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D:\Projet\Start-up\Forêt\Atmosylva\Projets forestiers\Arbre et compagnie\Mayenne\Dossier Projet\Eléments dossier\Documents finaux\"/>
    </mc:Choice>
  </mc:AlternateContent>
  <xr:revisionPtr revIDLastSave="0" documentId="13_ncr:1_{E5B39FFE-7804-4B16-8571-9F13871DF5DE}" xr6:coauthVersionLast="47" xr6:coauthVersionMax="47" xr10:uidLastSave="{00000000-0000-0000-0000-000000000000}"/>
  <bookViews>
    <workbookView xWindow="7764" yWindow="36" windowWidth="13680" windowHeight="12084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5" i="6" l="1"/>
  <c r="C304" i="6"/>
  <c r="C303" i="6"/>
  <c r="C302" i="6"/>
  <c r="C274" i="6"/>
  <c r="C273" i="6"/>
  <c r="C272" i="6"/>
  <c r="C271" i="6"/>
  <c r="C243" i="6"/>
  <c r="C242" i="6"/>
  <c r="C241" i="6"/>
  <c r="C240" i="6"/>
  <c r="P25" i="6"/>
  <c r="I22" i="6"/>
  <c r="I23" i="6"/>
  <c r="I21" i="6"/>
  <c r="I20" i="6"/>
  <c r="C212" i="6"/>
  <c r="C211" i="6"/>
  <c r="C210" i="6"/>
  <c r="C209" i="6"/>
  <c r="C182" i="6"/>
  <c r="C181" i="6"/>
  <c r="C180" i="6"/>
  <c r="C179" i="6"/>
  <c r="C178" i="6"/>
  <c r="C151" i="6"/>
  <c r="C150" i="6"/>
  <c r="C149" i="6"/>
  <c r="C148" i="6"/>
  <c r="C147" i="6"/>
  <c r="C116" i="6"/>
  <c r="C124" i="6"/>
  <c r="C123" i="6"/>
  <c r="C121" i="6"/>
  <c r="C120" i="6"/>
  <c r="C119" i="6"/>
  <c r="C118" i="6"/>
  <c r="C117" i="6"/>
  <c r="C93" i="6"/>
  <c r="C92" i="6"/>
  <c r="C90" i="6"/>
  <c r="C89" i="6"/>
  <c r="C88" i="6"/>
  <c r="C87" i="6"/>
  <c r="C86" i="6"/>
  <c r="C85" i="6"/>
  <c r="C62" i="6"/>
  <c r="C61" i="6"/>
  <c r="C59" i="6"/>
  <c r="C58" i="6"/>
  <c r="C57" i="6"/>
  <c r="C56" i="6"/>
  <c r="C55" i="6"/>
  <c r="C54" i="6"/>
  <c r="C31" i="6"/>
  <c r="C30" i="6"/>
  <c r="C28" i="6"/>
  <c r="C27" i="6"/>
  <c r="C26" i="6"/>
  <c r="C25" i="6"/>
  <c r="C24" i="6"/>
  <c r="C23" i="6"/>
  <c r="E29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E303" i="6" s="1"/>
  <c r="D305" i="6"/>
  <c r="E305" i="6" s="1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E302" i="6" s="1"/>
  <c r="D272" i="6"/>
  <c r="E272" i="6" s="1"/>
  <c r="D273" i="6"/>
  <c r="E273" i="6" s="1"/>
  <c r="D274" i="6"/>
  <c r="E274" i="6" s="1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E271" i="6" s="1"/>
  <c r="D241" i="6"/>
  <c r="E241" i="6" s="1"/>
  <c r="D242" i="6"/>
  <c r="E242" i="6" s="1"/>
  <c r="D243" i="6"/>
  <c r="E243" i="6" s="1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E240" i="6" s="1"/>
  <c r="D210" i="6"/>
  <c r="E210" i="6" s="1"/>
  <c r="D211" i="6"/>
  <c r="E211" i="6" s="1"/>
  <c r="D212" i="6"/>
  <c r="E212" i="6" s="1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E209" i="6" s="1"/>
  <c r="D179" i="6"/>
  <c r="E179" i="6" s="1"/>
  <c r="D180" i="6"/>
  <c r="E180" i="6" s="1"/>
  <c r="D181" i="6"/>
  <c r="E181" i="6" s="1"/>
  <c r="D182" i="6"/>
  <c r="E182" i="6" s="1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E178" i="6" s="1"/>
  <c r="D148" i="6"/>
  <c r="E148" i="6" s="1"/>
  <c r="D149" i="6"/>
  <c r="E149" i="6" s="1"/>
  <c r="D150" i="6"/>
  <c r="E150" i="6" s="1"/>
  <c r="D151" i="6"/>
  <c r="E151" i="6" s="1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E147" i="6" s="1"/>
  <c r="D117" i="6"/>
  <c r="E117" i="6" s="1"/>
  <c r="D118" i="6"/>
  <c r="E118" i="6" s="1"/>
  <c r="D119" i="6"/>
  <c r="E119" i="6" s="1"/>
  <c r="D120" i="6"/>
  <c r="E120" i="6" s="1"/>
  <c r="D121" i="6"/>
  <c r="E121" i="6" s="1"/>
  <c r="D122" i="6"/>
  <c r="E122" i="6" s="1"/>
  <c r="D123" i="6"/>
  <c r="E123" i="6" s="1"/>
  <c r="D124" i="6"/>
  <c r="E124" i="6" s="1"/>
  <c r="D125" i="6"/>
  <c r="D126" i="6"/>
  <c r="D127" i="6"/>
  <c r="D128" i="6"/>
  <c r="D129" i="6"/>
  <c r="D130" i="6"/>
  <c r="D131" i="6"/>
  <c r="D132" i="6"/>
  <c r="D133" i="6"/>
  <c r="D134" i="6"/>
  <c r="D135" i="6"/>
  <c r="D116" i="6"/>
  <c r="E116" i="6" s="1"/>
  <c r="D86" i="6"/>
  <c r="E86" i="6" s="1"/>
  <c r="D87" i="6"/>
  <c r="E87" i="6" s="1"/>
  <c r="D88" i="6"/>
  <c r="E88" i="6" s="1"/>
  <c r="D89" i="6"/>
  <c r="E89" i="6" s="1"/>
  <c r="D90" i="6"/>
  <c r="E90" i="6" s="1"/>
  <c r="D91" i="6"/>
  <c r="E91" i="6" s="1"/>
  <c r="D92" i="6"/>
  <c r="E92" i="6" s="1"/>
  <c r="D93" i="6"/>
  <c r="E93" i="6" s="1"/>
  <c r="D94" i="6"/>
  <c r="D95" i="6"/>
  <c r="D96" i="6"/>
  <c r="D97" i="6"/>
  <c r="D98" i="6"/>
  <c r="D99" i="6"/>
  <c r="D100" i="6"/>
  <c r="D101" i="6"/>
  <c r="D102" i="6"/>
  <c r="D103" i="6"/>
  <c r="D104" i="6"/>
  <c r="D85" i="6"/>
  <c r="E85" i="6" s="1"/>
  <c r="D55" i="6"/>
  <c r="E55" i="6" s="1"/>
  <c r="D56" i="6"/>
  <c r="E56" i="6" s="1"/>
  <c r="D57" i="6"/>
  <c r="E57" i="6" s="1"/>
  <c r="D58" i="6"/>
  <c r="E58" i="6" s="1"/>
  <c r="D59" i="6"/>
  <c r="E59" i="6" s="1"/>
  <c r="D60" i="6"/>
  <c r="E60" i="6" s="1"/>
  <c r="D61" i="6"/>
  <c r="E61" i="6" s="1"/>
  <c r="D62" i="6"/>
  <c r="E62" i="6" s="1"/>
  <c r="D63" i="6"/>
  <c r="D64" i="6"/>
  <c r="D65" i="6"/>
  <c r="D66" i="6"/>
  <c r="D67" i="6"/>
  <c r="D68" i="6"/>
  <c r="D69" i="6"/>
  <c r="D70" i="6"/>
  <c r="D71" i="6"/>
  <c r="D72" i="6"/>
  <c r="D73" i="6"/>
  <c r="D54" i="6"/>
  <c r="E54" i="6" s="1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E24" i="6" s="1"/>
  <c r="D25" i="6"/>
  <c r="E25" i="6" s="1"/>
  <c r="D26" i="6"/>
  <c r="E26" i="6" s="1"/>
  <c r="D27" i="6"/>
  <c r="E27" i="6" s="1"/>
  <c r="D28" i="6"/>
  <c r="E28" i="6" s="1"/>
  <c r="D29" i="6"/>
  <c r="D30" i="6"/>
  <c r="E30" i="6" s="1"/>
  <c r="D31" i="6"/>
  <c r="E31" i="6" s="1"/>
  <c r="D32" i="6"/>
  <c r="D33" i="6"/>
  <c r="D34" i="6"/>
  <c r="D35" i="6"/>
  <c r="D36" i="6"/>
  <c r="D37" i="6"/>
  <c r="D38" i="6"/>
  <c r="D39" i="6"/>
  <c r="D40" i="6"/>
  <c r="D41" i="6"/>
  <c r="D42" i="6"/>
  <c r="D23" i="6"/>
  <c r="E23" i="6" s="1"/>
  <c r="D304" i="6"/>
  <c r="E304" i="6" s="1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B7" i="2"/>
  <c r="EV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FS18" i="2"/>
  <c r="EA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I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C22" i="2"/>
  <c r="EA22" i="2"/>
  <c r="HH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EW24" i="2"/>
  <c r="FR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A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X43" i="2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G57" i="2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H85" i="2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HG107" i="2"/>
  <c r="EC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B108" i="2"/>
  <c r="EA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HH118" i="2"/>
  <c r="EX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HH122" i="2"/>
  <c r="EW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HG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FS139" i="2"/>
  <c r="HH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HG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S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FS150" i="2"/>
  <c r="HI150" i="2"/>
  <c r="HG150" i="2"/>
  <c r="EV150" i="2"/>
  <c r="HH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H154" i="2"/>
  <c r="HG154" i="2"/>
  <c r="HJ154" i="2" s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Y154" i="2"/>
  <c r="AC154" i="2"/>
  <c r="EX155" i="2"/>
  <c r="HH155" i="2"/>
  <c r="EA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B156" i="2"/>
  <c r="ED155" i="2"/>
  <c r="DH156" i="2"/>
  <c r="HI156" i="2"/>
  <c r="EX156" i="2"/>
  <c r="AB156" i="2"/>
  <c r="HG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X157" i="2"/>
  <c r="EC157" i="2"/>
  <c r="EA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D157" i="2"/>
  <c r="EC158" i="2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I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DG160" i="2"/>
  <c r="HI160" i="2"/>
  <c r="HG160" i="2"/>
  <c r="FS160" i="2"/>
  <c r="EY159" i="2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HH161" i="2"/>
  <c r="HG161" i="2"/>
  <c r="EX161" i="2"/>
  <c r="FS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D161" i="2"/>
  <c r="DI161" i="2"/>
  <c r="EY161" i="2"/>
  <c r="EC162" i="2"/>
  <c r="HG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Y162" i="2"/>
  <c r="EB163" i="2"/>
  <c r="ED162" i="2"/>
  <c r="HG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G164" i="2" l="1"/>
  <c r="HH164" i="2"/>
  <c r="FR164" i="2"/>
  <c r="EY163" i="2"/>
  <c r="EX164" i="2"/>
  <c r="ED163" i="2"/>
  <c r="DH164" i="2"/>
  <c r="FS164" i="2"/>
  <c r="EA164" i="2"/>
  <c r="EV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FS166" i="2"/>
  <c r="HG166" i="2"/>
  <c r="HI166" i="2"/>
  <c r="HJ166" i="2" s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C167" i="2"/>
  <c r="EX167" i="2"/>
  <c r="DG167" i="2"/>
  <c r="EA167" i="2"/>
  <c r="EB167" i="2"/>
  <c r="FR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I167" i="2"/>
  <c r="DG168" i="2"/>
  <c r="EW168" i="2"/>
  <c r="EV168" i="2"/>
  <c r="EB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EX169" i="2"/>
  <c r="EB169" i="2"/>
  <c r="EA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HG172" i="2"/>
  <c r="EY171" i="2"/>
  <c r="EV172" i="2"/>
  <c r="EW172" i="2"/>
  <c r="EB172" i="2"/>
  <c r="EA172" i="2"/>
  <c r="HI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X173" i="2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G174" i="2" l="1"/>
  <c r="EY173" i="2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A175" i="2" l="1"/>
  <c r="ED174" i="2"/>
  <c r="FS175" i="2"/>
  <c r="EW175" i="2"/>
  <c r="EB175" i="2"/>
  <c r="HI175" i="2"/>
  <c r="A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HI179" i="2"/>
  <c r="EB179" i="2"/>
  <c r="DF179" i="2"/>
  <c r="EA179" i="2"/>
  <c r="HG179" i="2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B185" i="2"/>
  <c r="EW185" i="2"/>
  <c r="EA185" i="2"/>
  <c r="EV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HG186" i="2"/>
  <c r="FS186" i="2"/>
  <c r="ED185" i="2"/>
  <c r="EA186" i="2"/>
  <c r="FR186" i="2"/>
  <c r="HH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Y186" i="2"/>
  <c r="EB187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ED187" i="2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HH189" i="2" l="1"/>
  <c r="HJ189" i="2" s="1"/>
  <c r="EY188" i="2"/>
  <c r="EB189" i="2"/>
  <c r="EV189" i="2"/>
  <c r="AA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Y191" i="2"/>
  <c r="EC192" i="2"/>
  <c r="EV192" i="2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HI193" i="2"/>
  <c r="FQ193" i="2"/>
  <c r="EY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D193" i="2"/>
  <c r="EA194" i="2"/>
  <c r="EB194" i="2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EX195" i="2"/>
  <c r="ED194" i="2"/>
  <c r="HG195" i="2"/>
  <c r="FQ195" i="2"/>
  <c r="EB195" i="2"/>
  <c r="EA195" i="2"/>
  <c r="DH195" i="2"/>
  <c r="HI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W196" i="2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AA197" i="2"/>
  <c r="EY196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V198" i="2"/>
  <c r="ED197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Y198" i="2"/>
  <c r="EW199" i="2"/>
  <c r="HH199" i="2"/>
  <c r="EA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EY200" i="2"/>
  <c r="ED200" i="2"/>
  <c r="DI200" i="2"/>
  <c r="HG201" i="2"/>
  <c r="FS201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EY201" i="2"/>
  <c r="FR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81" i="2" a="1"/>
  <c r="GT181" i="2" s="1"/>
  <c r="GT68" i="2" a="1"/>
  <c r="GT68" i="2" s="1"/>
  <c r="GT121" i="2" a="1"/>
  <c r="GT121" i="2" s="1"/>
  <c r="GT133" i="2" a="1"/>
  <c r="GT133" i="2" s="1"/>
  <c r="GT147" i="2" a="1"/>
  <c r="GT147" i="2" s="1"/>
  <c r="GT102" i="2" a="1"/>
  <c r="GT102" i="2" s="1"/>
  <c r="EI198" i="2" a="1"/>
  <c r="EI198" i="2" s="1"/>
  <c r="EI166" i="2" a="1"/>
  <c r="EI166" i="2" s="1"/>
  <c r="EI153" i="2" a="1"/>
  <c r="EI153" i="2" s="1"/>
  <c r="EI178" i="2" a="1"/>
  <c r="EI178" i="2" s="1"/>
  <c r="EI142" i="2" a="1"/>
  <c r="EI142" i="2" s="1"/>
  <c r="CS66" i="2" a="1"/>
  <c r="CS66" i="2" s="1"/>
  <c r="EI195" i="2" a="1"/>
  <c r="EI195" i="2" s="1"/>
  <c r="AH151" i="2" a="1"/>
  <c r="AH151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21" i="2" a="1"/>
  <c r="GT21" i="2" s="1"/>
  <c r="GT198" i="2" a="1"/>
  <c r="GT198" i="2" s="1"/>
  <c r="GT74" i="2" a="1"/>
  <c r="GT74" i="2" s="1"/>
  <c r="GT126" i="2" a="1"/>
  <c r="GT126" i="2" s="1"/>
  <c r="GT190" i="2" a="1"/>
  <c r="GT190" i="2" s="1"/>
  <c r="GT174" i="2" a="1"/>
  <c r="GT174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80" i="2" a="1"/>
  <c r="DN80" i="2" s="1"/>
  <c r="CS56" i="2" a="1"/>
  <c r="CS56" i="2" s="1"/>
  <c r="CS114" i="2" a="1"/>
  <c r="CS114" i="2" s="1"/>
  <c r="DN6" i="2" a="1"/>
  <c r="DN6" i="2" s="1"/>
  <c r="DO6" i="2" s="1"/>
  <c r="DN30" i="2" a="1"/>
  <c r="DN30" i="2" s="1"/>
  <c r="CS24" i="2" a="1"/>
  <c r="CS24" i="2" s="1"/>
  <c r="CS72" i="2" a="1"/>
  <c r="CS72" i="2" s="1"/>
  <c r="BX107" i="2" a="1"/>
  <c r="BX107" i="2" s="1"/>
  <c r="FD82" i="2" a="1"/>
  <c r="FD82" i="2" s="1"/>
  <c r="HJ202" i="2"/>
  <c r="AX200" i="2"/>
  <c r="GT191" i="2" l="1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GT138" i="2" a="1"/>
  <c r="GT138" i="2" s="1"/>
  <c r="GT107" i="2" a="1"/>
  <c r="GT107" i="2" s="1"/>
  <c r="GT38" i="2" a="1"/>
  <c r="GT38" i="2" s="1"/>
  <c r="GT189" i="2" a="1"/>
  <c r="GT189" i="2" s="1"/>
  <c r="GT11" i="2" a="1"/>
  <c r="GT11" i="2" s="1"/>
  <c r="GT33" i="2" a="1"/>
  <c r="GT33" i="2" s="1"/>
  <c r="GT51" i="2" a="1"/>
  <c r="GT51" i="2" s="1"/>
  <c r="GT115" i="2" a="1"/>
  <c r="GT115" i="2" s="1"/>
  <c r="FY79" i="2" a="1"/>
  <c r="FY79" i="2" s="1"/>
  <c r="FD21" i="2" a="1"/>
  <c r="FD21" i="2" s="1"/>
  <c r="FD48" i="2" a="1"/>
  <c r="FD48" i="2" s="1"/>
  <c r="EI145" i="2" a="1"/>
  <c r="EI145" i="2" s="1"/>
  <c r="EI162" i="2" a="1"/>
  <c r="EI162" i="2" s="1"/>
  <c r="EI150" i="2" a="1"/>
  <c r="EI150" i="2" s="1"/>
  <c r="EI29" i="2" a="1"/>
  <c r="EI29" i="2" s="1"/>
  <c r="EY202" i="2"/>
  <c r="EI106" i="2" a="1"/>
  <c r="EI106" i="2" s="1"/>
  <c r="DN16" i="2" a="1"/>
  <c r="DN16" i="2" s="1"/>
  <c r="DN150" i="2" a="1"/>
  <c r="DN150" i="2" s="1"/>
  <c r="DN103" i="2" a="1"/>
  <c r="DN103" i="2" s="1"/>
  <c r="DN86" i="2" a="1"/>
  <c r="DN86" i="2" s="1"/>
  <c r="DN135" i="2" a="1"/>
  <c r="DN135" i="2" s="1"/>
  <c r="DN190" i="2" a="1"/>
  <c r="DN190" i="2" s="1"/>
  <c r="DN25" i="2" a="1"/>
  <c r="DN25" i="2" s="1"/>
  <c r="DN55" i="2" a="1"/>
  <c r="DN55" i="2" s="1"/>
  <c r="DN41" i="2" a="1"/>
  <c r="DN41" i="2" s="1"/>
  <c r="DN124" i="2" a="1"/>
  <c r="DN124" i="2" s="1"/>
  <c r="DN170" i="2" a="1"/>
  <c r="DN170" i="2" s="1"/>
  <c r="DN45" i="2" a="1"/>
  <c r="DN45" i="2" s="1"/>
  <c r="DN162" i="2" a="1"/>
  <c r="DN162" i="2" s="1"/>
  <c r="DN38" i="2" a="1"/>
  <c r="DN38" i="2" s="1"/>
  <c r="DN168" i="2" a="1"/>
  <c r="DN168" i="2" s="1"/>
  <c r="DN63" i="2" a="1"/>
  <c r="DN63" i="2" s="1"/>
  <c r="DN192" i="2" a="1"/>
  <c r="DN192" i="2" s="1"/>
  <c r="DN177" i="2" a="1"/>
  <c r="DN177" i="2" s="1"/>
  <c r="DN129" i="2" a="1"/>
  <c r="DN129" i="2" s="1"/>
  <c r="DN184" i="2" a="1"/>
  <c r="DN184" i="2" s="1"/>
  <c r="DN43" i="2" a="1"/>
  <c r="DN43" i="2" s="1"/>
  <c r="DN187" i="2" a="1"/>
  <c r="DN187" i="2" s="1"/>
  <c r="DN133" i="2" a="1"/>
  <c r="DN133" i="2" s="1"/>
  <c r="DN65" i="2" a="1"/>
  <c r="DN65" i="2" s="1"/>
  <c r="DN31" i="2" a="1"/>
  <c r="DN31" i="2" s="1"/>
  <c r="DN49" i="2" a="1"/>
  <c r="DN49" i="2" s="1"/>
  <c r="DN123" i="2" a="1"/>
  <c r="DN123" i="2" s="1"/>
  <c r="DN66" i="2" a="1"/>
  <c r="DN66" i="2" s="1"/>
  <c r="DN115" i="2" a="1"/>
  <c r="DN115" i="2" s="1"/>
  <c r="DN50" i="2" a="1"/>
  <c r="DN50" i="2" s="1"/>
  <c r="DN152" i="2" a="1"/>
  <c r="DN152" i="2" s="1"/>
  <c r="DN186" i="2" a="1"/>
  <c r="DN186" i="2" s="1"/>
  <c r="DN155" i="2" a="1"/>
  <c r="DN155" i="2" s="1"/>
  <c r="DN56" i="2" a="1"/>
  <c r="DN56" i="2" s="1"/>
  <c r="DN46" i="2" a="1"/>
  <c r="DN46" i="2" s="1"/>
  <c r="DN110" i="2" a="1"/>
  <c r="DN110" i="2" s="1"/>
  <c r="DN132" i="2" a="1"/>
  <c r="DN132" i="2" s="1"/>
  <c r="DN176" i="2" a="1"/>
  <c r="DN176" i="2" s="1"/>
  <c r="DN70" i="2" a="1"/>
  <c r="DN70" i="2" s="1"/>
  <c r="DN167" i="2" a="1"/>
  <c r="DN167" i="2" s="1"/>
  <c r="DN164" i="2" a="1"/>
  <c r="DN164" i="2" s="1"/>
  <c r="DN114" i="2" a="1"/>
  <c r="DN114" i="2" s="1"/>
  <c r="DN188" i="2" a="1"/>
  <c r="DN188" i="2" s="1"/>
  <c r="DN153" i="2" a="1"/>
  <c r="DN153" i="2" s="1"/>
  <c r="DN113" i="2" a="1"/>
  <c r="DN113" i="2" s="1"/>
  <c r="DN29" i="2" a="1"/>
  <c r="DN29" i="2" s="1"/>
  <c r="DN137" i="2" a="1"/>
  <c r="DN137" i="2" s="1"/>
  <c r="CS134" i="2" a="1"/>
  <c r="CS134" i="2" s="1"/>
  <c r="CS77" i="2" a="1"/>
  <c r="CS77" i="2" s="1"/>
  <c r="CS38" i="2" a="1"/>
  <c r="CS38" i="2" s="1"/>
  <c r="CS129" i="2" a="1"/>
  <c r="CS129" i="2" s="1"/>
  <c r="CS120" i="2" a="1"/>
  <c r="CS120" i="2" s="1"/>
  <c r="CS105" i="2" a="1"/>
  <c r="CS105" i="2" s="1"/>
  <c r="CS137" i="2" a="1"/>
  <c r="CS137" i="2" s="1"/>
  <c r="CS185" i="2" a="1"/>
  <c r="CS185" i="2" s="1"/>
  <c r="CS161" i="2" a="1"/>
  <c r="CS161" i="2" s="1"/>
  <c r="CS116" i="2" a="1"/>
  <c r="CS116" i="2" s="1"/>
  <c r="CS52" i="2" a="1"/>
  <c r="CS52" i="2" s="1"/>
  <c r="FR203" i="2"/>
  <c r="BP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CN203" i="2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Z11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Z186" i="2" l="1"/>
  <c r="GZ95" i="2"/>
  <c r="GZ70" i="2"/>
  <c r="GZ88" i="2"/>
  <c r="GZ189" i="2"/>
  <c r="GZ91" i="2"/>
  <c r="GZ136" i="2"/>
  <c r="GZ18" i="2"/>
  <c r="GZ177" i="2"/>
  <c r="GZ168" i="2"/>
  <c r="GZ94" i="2"/>
  <c r="GZ37" i="2"/>
  <c r="GZ191" i="2"/>
  <c r="GZ200" i="2"/>
  <c r="GZ114" i="2"/>
  <c r="GZ15" i="2"/>
  <c r="GZ26" i="2"/>
  <c r="GZ151" i="2"/>
  <c r="GZ117" i="2"/>
  <c r="GZ11" i="2"/>
  <c r="GZ19" i="2"/>
  <c r="GZ76" i="2"/>
  <c r="GZ203" i="2"/>
  <c r="GZ198" i="2"/>
  <c r="GZ139" i="2"/>
  <c r="GZ129" i="2"/>
  <c r="GZ164" i="2"/>
  <c r="GZ149" i="2"/>
  <c r="GZ121" i="2"/>
  <c r="GZ102" i="2"/>
  <c r="GZ74" i="2"/>
  <c r="GZ84" i="2"/>
  <c r="GZ131" i="2"/>
  <c r="GZ41" i="2"/>
  <c r="GZ99" i="2"/>
  <c r="GZ159" i="2"/>
  <c r="GZ134" i="2"/>
  <c r="GZ10" i="2"/>
  <c r="GZ108" i="2"/>
  <c r="GZ47" i="2"/>
  <c r="GZ61" i="2"/>
  <c r="GZ195" i="2"/>
  <c r="GZ138" i="2"/>
  <c r="GZ167" i="2"/>
  <c r="GZ89" i="2"/>
  <c r="GZ64" i="2"/>
  <c r="GZ32" i="2"/>
  <c r="GZ65" i="2"/>
  <c r="GZ112" i="2"/>
  <c r="GZ92" i="2"/>
  <c r="GZ140" i="2"/>
  <c r="GZ143" i="2"/>
  <c r="GZ52" i="2"/>
  <c r="GZ188" i="2"/>
  <c r="GZ23" i="2"/>
  <c r="GZ72" i="2"/>
  <c r="GZ68" i="2"/>
  <c r="GZ148" i="2"/>
  <c r="GZ49" i="2"/>
  <c r="GZ161" i="2"/>
  <c r="GZ201" i="2"/>
  <c r="GZ60" i="2"/>
  <c r="GZ90" i="2"/>
  <c r="GZ30" i="2"/>
  <c r="GZ5" i="2"/>
  <c r="GZ22" i="2"/>
  <c r="GZ118" i="2"/>
  <c r="GZ181" i="2"/>
  <c r="GZ156" i="2"/>
  <c r="GZ77" i="2"/>
  <c r="GZ81" i="2"/>
  <c r="GZ113" i="2"/>
  <c r="GZ182" i="2"/>
  <c r="GZ35" i="2"/>
  <c r="GZ31" i="2"/>
  <c r="GZ69" i="2"/>
  <c r="GZ8" i="2"/>
  <c r="GZ79" i="2"/>
  <c r="GZ111" i="2"/>
  <c r="GZ175" i="2"/>
  <c r="GZ80" i="2"/>
  <c r="GZ39" i="2"/>
  <c r="GZ155" i="2"/>
  <c r="GZ128" i="2"/>
  <c r="GZ154" i="2"/>
  <c r="GZ34" i="2"/>
  <c r="GZ170" i="2"/>
  <c r="GZ146" i="2"/>
  <c r="GZ194" i="2"/>
  <c r="GZ142" i="2"/>
  <c r="GZ56" i="2"/>
  <c r="GZ192" i="2"/>
  <c r="GZ173" i="2"/>
  <c r="GZ147" i="2"/>
  <c r="GZ193" i="2"/>
  <c r="GZ96" i="2"/>
  <c r="GZ28" i="2"/>
  <c r="GZ171" i="2"/>
  <c r="GZ24" i="2"/>
  <c r="GZ172" i="2"/>
  <c r="GZ184" i="2"/>
  <c r="GZ67" i="2"/>
  <c r="GZ40" i="2"/>
  <c r="GZ122" i="2"/>
  <c r="GZ179" i="2"/>
  <c r="GZ124" i="2"/>
  <c r="GZ101" i="2"/>
  <c r="GZ133" i="2"/>
  <c r="GZ157" i="2"/>
  <c r="GZ12" i="2"/>
  <c r="GZ87" i="2"/>
  <c r="GZ7" i="2"/>
  <c r="GZ93" i="2"/>
  <c r="GZ9" i="2"/>
  <c r="GZ115" i="2"/>
  <c r="GZ130" i="2"/>
  <c r="GZ59" i="2"/>
  <c r="GZ196" i="2"/>
  <c r="GZ46" i="2"/>
  <c r="GZ4" i="2"/>
  <c r="GZ21" i="2"/>
  <c r="GZ197" i="2"/>
  <c r="GZ176" i="2"/>
  <c r="GZ73" i="2"/>
  <c r="GZ62" i="2"/>
  <c r="GZ6" i="2"/>
  <c r="GZ126" i="2"/>
  <c r="GZ85" i="2"/>
  <c r="GZ180" i="2"/>
  <c r="GZ86" i="2"/>
  <c r="GZ16" i="2"/>
  <c r="GZ48" i="2"/>
  <c r="GZ119" i="2"/>
  <c r="GZ14" i="2"/>
  <c r="GZ160" i="2"/>
  <c r="GZ152" i="2"/>
  <c r="GZ63" i="2"/>
  <c r="GZ58" i="2"/>
  <c r="GZ105" i="2"/>
  <c r="GZ106" i="2"/>
  <c r="GZ127" i="2"/>
  <c r="GZ53" i="2"/>
  <c r="GZ55" i="2"/>
  <c r="GZ43" i="2"/>
  <c r="GZ109" i="2"/>
  <c r="GZ25" i="2"/>
  <c r="GZ135" i="2"/>
  <c r="GZ110" i="2"/>
  <c r="GZ145" i="2"/>
  <c r="GZ44" i="2"/>
  <c r="GZ78" i="2"/>
  <c r="GZ150" i="2"/>
  <c r="GZ141" i="2"/>
  <c r="GZ166" i="2"/>
  <c r="GZ98" i="2"/>
  <c r="GZ144" i="2"/>
  <c r="GZ120" i="2"/>
  <c r="GZ174" i="2"/>
  <c r="GZ199" i="2"/>
  <c r="GZ66" i="2"/>
  <c r="GZ107" i="2"/>
  <c r="GZ104" i="2"/>
  <c r="GZ169" i="2"/>
  <c r="GZ20" i="2"/>
  <c r="GZ82" i="2"/>
  <c r="GZ178" i="2"/>
  <c r="GZ27" i="2"/>
  <c r="GZ50" i="2"/>
  <c r="GZ163" i="2"/>
  <c r="GZ123" i="2"/>
  <c r="GZ13" i="2"/>
  <c r="GZ187" i="2"/>
  <c r="GZ57" i="2"/>
  <c r="GZ42" i="2"/>
  <c r="GZ202" i="2"/>
  <c r="GZ137" i="2"/>
  <c r="GZ190" i="2"/>
  <c r="GZ103" i="2"/>
  <c r="GZ125" i="2"/>
  <c r="GZ132" i="2"/>
  <c r="GZ29" i="2"/>
  <c r="GZ165" i="2"/>
  <c r="GZ162" i="2"/>
  <c r="GZ36" i="2"/>
  <c r="GZ158" i="2"/>
  <c r="GZ17" i="2"/>
  <c r="GZ45" i="2"/>
  <c r="GZ183" i="2"/>
  <c r="GZ54" i="2"/>
  <c r="GZ71" i="2"/>
  <c r="GZ185" i="2"/>
  <c r="GZ75" i="2"/>
  <c r="GZ153" i="2"/>
  <c r="GZ51" i="2"/>
  <c r="GZ100" i="2"/>
  <c r="GZ116" i="2"/>
  <c r="GZ38" i="2"/>
  <c r="GZ83" i="2"/>
  <c r="GZ97" i="2"/>
  <c r="GZ33" i="2"/>
  <c r="GZ3" i="2"/>
  <c r="C15" i="4" s="1"/>
  <c r="E15" i="4" s="1"/>
  <c r="F15" i="4" s="1"/>
  <c r="G15" i="4" s="1"/>
  <c r="L15" i="4" s="1"/>
  <c r="GE11" i="2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CD120" i="2" l="1"/>
  <c r="CD43" i="2"/>
  <c r="CD60" i="2"/>
  <c r="CD28" i="2"/>
  <c r="CD166" i="2"/>
  <c r="CD126" i="2"/>
  <c r="CD114" i="2"/>
  <c r="CD167" i="2"/>
  <c r="CD160" i="2"/>
  <c r="CD159" i="2"/>
  <c r="CD62" i="2"/>
  <c r="CD93" i="2"/>
  <c r="CD52" i="2"/>
  <c r="CD127" i="2"/>
  <c r="CD133" i="2"/>
  <c r="CD105" i="2"/>
  <c r="CD174" i="2"/>
  <c r="CD10" i="2"/>
  <c r="CD57" i="2"/>
  <c r="CD37" i="2"/>
  <c r="CD131" i="2"/>
  <c r="CD21" i="2"/>
  <c r="CD102" i="2"/>
  <c r="CD197" i="2"/>
  <c r="CD110" i="2"/>
  <c r="CD77" i="2"/>
  <c r="CD142" i="2"/>
  <c r="CD109" i="2"/>
  <c r="CD16" i="2"/>
  <c r="CD144" i="2"/>
  <c r="CD123" i="2"/>
  <c r="CD182" i="2"/>
  <c r="CD156" i="2"/>
  <c r="CD66" i="2"/>
  <c r="CD165" i="2"/>
  <c r="CD3" i="2"/>
  <c r="C9" i="4" s="1"/>
  <c r="E9" i="4" s="1"/>
  <c r="F9" i="4" s="1"/>
  <c r="G9" i="4" s="1"/>
  <c r="L9" i="4" s="1"/>
  <c r="CD200" i="2"/>
  <c r="CD88" i="2"/>
  <c r="CD83" i="2"/>
  <c r="CD203" i="2"/>
  <c r="CD100" i="2"/>
  <c r="CD117" i="2"/>
  <c r="CD140" i="2"/>
  <c r="CD91" i="2"/>
  <c r="CD53" i="2"/>
  <c r="CD67" i="2"/>
  <c r="CD106" i="2"/>
  <c r="CD115" i="2"/>
  <c r="CD7" i="2"/>
  <c r="CD89" i="2"/>
  <c r="CD124" i="2"/>
  <c r="CD92" i="2"/>
  <c r="CD155" i="2"/>
  <c r="CD6" i="2"/>
  <c r="CD32" i="2"/>
  <c r="CD183" i="2"/>
  <c r="CD45" i="2"/>
  <c r="CD180" i="2"/>
  <c r="CD145" i="2"/>
  <c r="CD196" i="2"/>
  <c r="CD94" i="2"/>
  <c r="CD137" i="2"/>
  <c r="CD5" i="2"/>
  <c r="CD59" i="2"/>
  <c r="CD194" i="2"/>
  <c r="CD190" i="2"/>
  <c r="CD39" i="2"/>
  <c r="CD164" i="2"/>
  <c r="CD65" i="2"/>
  <c r="CD48" i="2"/>
  <c r="CD185" i="2"/>
  <c r="CD193" i="2"/>
  <c r="CD63" i="2"/>
  <c r="CD87" i="2"/>
  <c r="CD42" i="2"/>
  <c r="CD103" i="2"/>
  <c r="CD157" i="2"/>
  <c r="CD128" i="2"/>
  <c r="CD23" i="2"/>
  <c r="CD181" i="2"/>
  <c r="CD55" i="2"/>
  <c r="CD108" i="2"/>
  <c r="CD20" i="2"/>
  <c r="CD75" i="2"/>
  <c r="CD36" i="2"/>
  <c r="CD13" i="2"/>
  <c r="CD79" i="2"/>
  <c r="CD30" i="2"/>
  <c r="CD54" i="2"/>
  <c r="CD186" i="2"/>
  <c r="CD101" i="2"/>
  <c r="CD71" i="2"/>
  <c r="CD61" i="2"/>
  <c r="CD22" i="2"/>
  <c r="CD78" i="2"/>
  <c r="CD118" i="2"/>
  <c r="CD161" i="2"/>
  <c r="CD198" i="2"/>
  <c r="CD178" i="2"/>
  <c r="CD152" i="2"/>
  <c r="CD177" i="2"/>
  <c r="CD29" i="2"/>
  <c r="CD150" i="2"/>
  <c r="CD46" i="2"/>
  <c r="CD113" i="2"/>
  <c r="CD169" i="2"/>
  <c r="CD148" i="2"/>
  <c r="CD153" i="2"/>
  <c r="CD201" i="2"/>
  <c r="CD202" i="2"/>
  <c r="CD58" i="2"/>
  <c r="CD135" i="2"/>
  <c r="CD111" i="2"/>
  <c r="CD85" i="2"/>
  <c r="CD170" i="2"/>
  <c r="CD19" i="2"/>
  <c r="CD191" i="2"/>
  <c r="CD188" i="2"/>
  <c r="CD90" i="2"/>
  <c r="CD8" i="2"/>
  <c r="CD31" i="2"/>
  <c r="CD139" i="2"/>
  <c r="CD184" i="2"/>
  <c r="CD154" i="2"/>
  <c r="CD149" i="2"/>
  <c r="CD33" i="2"/>
  <c r="CD176" i="2"/>
  <c r="CD151" i="2"/>
  <c r="CD147" i="2"/>
  <c r="CD96" i="2"/>
  <c r="CD12" i="2"/>
  <c r="CD146" i="2"/>
  <c r="CD35" i="2"/>
  <c r="CD73" i="2"/>
  <c r="CD72" i="2"/>
  <c r="CD27" i="2"/>
  <c r="CD44" i="2"/>
  <c r="CD199" i="2"/>
  <c r="CD25" i="2"/>
  <c r="CD47" i="2"/>
  <c r="CD136" i="2"/>
  <c r="CD18" i="2"/>
  <c r="CD15" i="2"/>
  <c r="CD163" i="2"/>
  <c r="CD97" i="2"/>
  <c r="CD95" i="2"/>
  <c r="CD172" i="2"/>
  <c r="CD132" i="2"/>
  <c r="CD141" i="2"/>
  <c r="CD74" i="2"/>
  <c r="CD76" i="2"/>
  <c r="CD81" i="2"/>
  <c r="CD122" i="2"/>
  <c r="CD70" i="2"/>
  <c r="CD50" i="2"/>
  <c r="CD189" i="2"/>
  <c r="CD99" i="2"/>
  <c r="CD192" i="2"/>
  <c r="CD68" i="2"/>
  <c r="CD187" i="2"/>
  <c r="CD129" i="2"/>
  <c r="CD26" i="2"/>
  <c r="CD11" i="2"/>
  <c r="CD24" i="2"/>
  <c r="CD104" i="2"/>
  <c r="CD130" i="2"/>
  <c r="CD86" i="2"/>
  <c r="CD51" i="2"/>
  <c r="CD4" i="2"/>
  <c r="CD168" i="2"/>
  <c r="CD119" i="2"/>
  <c r="CD179" i="2"/>
  <c r="CD80" i="2"/>
  <c r="CD173" i="2"/>
  <c r="CD56" i="2"/>
  <c r="CD175" i="2"/>
  <c r="CD107" i="2"/>
  <c r="CD195" i="2"/>
  <c r="CD49" i="2"/>
  <c r="CD69" i="2"/>
  <c r="CD171" i="2"/>
  <c r="CD41" i="2"/>
  <c r="CD82" i="2"/>
  <c r="CD64" i="2"/>
  <c r="CD38" i="2"/>
  <c r="CD116" i="2"/>
  <c r="CD158" i="2"/>
  <c r="CD17" i="2"/>
  <c r="CD112" i="2"/>
  <c r="CD162" i="2"/>
  <c r="CD40" i="2"/>
  <c r="CD143" i="2"/>
  <c r="CD9" i="2"/>
  <c r="CD98" i="2"/>
  <c r="CD134" i="2"/>
  <c r="CD125" i="2"/>
  <c r="CD34" i="2"/>
  <c r="CD121" i="2"/>
  <c r="CD138" i="2"/>
  <c r="CD84" i="2"/>
  <c r="CD14" i="2"/>
  <c r="FE145" i="2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I47" i="2" l="1"/>
  <c r="BI3" i="2"/>
  <c r="C8" i="4" s="1"/>
  <c r="E8" i="4" s="1"/>
  <c r="F8" i="4" s="1"/>
  <c r="G8" i="4" s="1"/>
  <c r="L8" i="4" s="1"/>
  <c r="BI15" i="2"/>
  <c r="BI165" i="2"/>
  <c r="BI26" i="2"/>
  <c r="BI155" i="2"/>
  <c r="BI196" i="2"/>
  <c r="BI120" i="2"/>
  <c r="BI72" i="2"/>
  <c r="BI25" i="2"/>
  <c r="BI202" i="2"/>
  <c r="BI17" i="2"/>
  <c r="BI67" i="2"/>
  <c r="BI146" i="2"/>
  <c r="BI77" i="2"/>
  <c r="BI109" i="2"/>
  <c r="BI154" i="2"/>
  <c r="BI108" i="2"/>
  <c r="BI11" i="2"/>
  <c r="BI12" i="2"/>
  <c r="BI93" i="2"/>
  <c r="BI158" i="2"/>
  <c r="BI34" i="2"/>
  <c r="BI105" i="2"/>
  <c r="BI50" i="2"/>
  <c r="BI156" i="2"/>
  <c r="BI153" i="2"/>
  <c r="BI180" i="2"/>
  <c r="BI193" i="2"/>
  <c r="BI56" i="2"/>
  <c r="BI116" i="2"/>
  <c r="BI137" i="2"/>
  <c r="BI9" i="2"/>
  <c r="BI175" i="2"/>
  <c r="BI124" i="2"/>
  <c r="BI89" i="2"/>
  <c r="BI28" i="2"/>
  <c r="BI172" i="2"/>
  <c r="BI192" i="2"/>
  <c r="BI130" i="2"/>
  <c r="BI82" i="2"/>
  <c r="BI68" i="2"/>
  <c r="BI84" i="2"/>
  <c r="BI60" i="2"/>
  <c r="BI123" i="2"/>
  <c r="BI182" i="2"/>
  <c r="BI157" i="2"/>
  <c r="BI166" i="2"/>
  <c r="BI160" i="2"/>
  <c r="BI8" i="2"/>
  <c r="BI117" i="2"/>
  <c r="BI87" i="2"/>
  <c r="BI149" i="2"/>
  <c r="BI151" i="2"/>
  <c r="BI162" i="2"/>
  <c r="BI197" i="2"/>
  <c r="BI179" i="2"/>
  <c r="BI58" i="2"/>
  <c r="BI20" i="2"/>
  <c r="BI178" i="2"/>
  <c r="BI96" i="2"/>
  <c r="BI90" i="2"/>
  <c r="BI97" i="2"/>
  <c r="BI63" i="2"/>
  <c r="BI103" i="2"/>
  <c r="BI59" i="2"/>
  <c r="BI5" i="2"/>
  <c r="BI143" i="2"/>
  <c r="BI129" i="2"/>
  <c r="BI37" i="2"/>
  <c r="BI170" i="2"/>
  <c r="BI163" i="2"/>
  <c r="BI23" i="2"/>
  <c r="BI131" i="2"/>
  <c r="BI148" i="2"/>
  <c r="BI100" i="2"/>
  <c r="BI6" i="2"/>
  <c r="BI191" i="2"/>
  <c r="BI126" i="2"/>
  <c r="BI45" i="2"/>
  <c r="BI10" i="2"/>
  <c r="BI199" i="2"/>
  <c r="BI39" i="2"/>
  <c r="BI106" i="2"/>
  <c r="BI31" i="2"/>
  <c r="BI128" i="2"/>
  <c r="BI91" i="2"/>
  <c r="BI136" i="2"/>
  <c r="BI36" i="2"/>
  <c r="BI132" i="2"/>
  <c r="BI101" i="2"/>
  <c r="BI171" i="2"/>
  <c r="BI41" i="2"/>
  <c r="BI43" i="2"/>
  <c r="BI24" i="2"/>
  <c r="BI121" i="2"/>
  <c r="BI92" i="2"/>
  <c r="BI73" i="2"/>
  <c r="BI114" i="2"/>
  <c r="BI147" i="2"/>
  <c r="BI144" i="2"/>
  <c r="BI57" i="2"/>
  <c r="BI30" i="2"/>
  <c r="BI53" i="2"/>
  <c r="BI16" i="2"/>
  <c r="BI161" i="2"/>
  <c r="BI4" i="2"/>
  <c r="BI74" i="2"/>
  <c r="BI70" i="2"/>
  <c r="BI140" i="2"/>
  <c r="BI169" i="2"/>
  <c r="BI98" i="2"/>
  <c r="BI118" i="2"/>
  <c r="BI48" i="2"/>
  <c r="BI177" i="2"/>
  <c r="BI176" i="2"/>
  <c r="BI198" i="2"/>
  <c r="BI110" i="2"/>
  <c r="BI76" i="2"/>
  <c r="BI38" i="2"/>
  <c r="BI52" i="2"/>
  <c r="BI18" i="2"/>
  <c r="BI164" i="2"/>
  <c r="BI78" i="2"/>
  <c r="BI35" i="2"/>
  <c r="BI29" i="2"/>
  <c r="BI183" i="2"/>
  <c r="BI150" i="2"/>
  <c r="BI201" i="2"/>
  <c r="BI42" i="2"/>
  <c r="BI21" i="2"/>
  <c r="BI115" i="2"/>
  <c r="BI54" i="2"/>
  <c r="BI107" i="2"/>
  <c r="BI81" i="2"/>
  <c r="BI40" i="2"/>
  <c r="BI127" i="2"/>
  <c r="BI102" i="2"/>
  <c r="BI113" i="2"/>
  <c r="BI142" i="2"/>
  <c r="BI83" i="2"/>
  <c r="BI46" i="2"/>
  <c r="BI135" i="2"/>
  <c r="BI173" i="2"/>
  <c r="BI125" i="2"/>
  <c r="BI188" i="2"/>
  <c r="BI152" i="2"/>
  <c r="BI185" i="2"/>
  <c r="BI203" i="2"/>
  <c r="BI80" i="2"/>
  <c r="BI62" i="2"/>
  <c r="BI71" i="2"/>
  <c r="BI33" i="2"/>
  <c r="BI27" i="2"/>
  <c r="BI168" i="2"/>
  <c r="BI194" i="2"/>
  <c r="BI119" i="2"/>
  <c r="BI159" i="2"/>
  <c r="BI19" i="2"/>
  <c r="BI32" i="2"/>
  <c r="BI79" i="2"/>
  <c r="BI189" i="2"/>
  <c r="BI174" i="2"/>
  <c r="BI44" i="2"/>
  <c r="BI64" i="2"/>
  <c r="BI186" i="2"/>
  <c r="BI112" i="2"/>
  <c r="BI141" i="2"/>
  <c r="BI138" i="2"/>
  <c r="BI200" i="2"/>
  <c r="BI69" i="2"/>
  <c r="BI86" i="2"/>
  <c r="BI75" i="2"/>
  <c r="BI85" i="2"/>
  <c r="BI195" i="2"/>
  <c r="BI51" i="2"/>
  <c r="BI22" i="2"/>
  <c r="BI13" i="2"/>
  <c r="BI88" i="2"/>
  <c r="BI55" i="2"/>
  <c r="BI65" i="2"/>
  <c r="BI104" i="2"/>
  <c r="BI184" i="2"/>
  <c r="BI61" i="2"/>
  <c r="BI134" i="2"/>
  <c r="BI66" i="2"/>
  <c r="BI181" i="2"/>
  <c r="BI7" i="2"/>
  <c r="BI14" i="2"/>
  <c r="BI133" i="2"/>
  <c r="BI94" i="2"/>
  <c r="BI99" i="2"/>
  <c r="BI49" i="2"/>
  <c r="BI187" i="2"/>
  <c r="BI145" i="2"/>
  <c r="BI139" i="2"/>
  <c r="BI111" i="2"/>
  <c r="BI95" i="2"/>
  <c r="BI122" i="2"/>
  <c r="BI167" i="2"/>
  <c r="BI190" i="2"/>
  <c r="BF144" i="2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<sst xmlns="http://schemas.openxmlformats.org/spreadsheetml/2006/main" count="1179" uniqueCount="324">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</sst>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2.6983922872111883</c:v>
                </c:pt>
                <c:pt idx="2">
                  <c:v>3.1515225582666857</c:v>
                </c:pt>
                <c:pt idx="3">
                  <c:v>3.6810219267545965</c:v>
                </c:pt>
                <c:pt idx="4">
                  <c:v>4.2998054460356281</c:v>
                </c:pt>
                <c:pt idx="5">
                  <c:v>5.0229792685898964</c:v>
                </c:pt>
                <c:pt idx="6">
                  <c:v>5.868213480839251</c:v>
                </c:pt>
                <c:pt idx="7">
                  <c:v>6.8561785531584674</c:v>
                </c:pt>
                <c:pt idx="8">
                  <c:v>8.0110562868047221</c:v>
                </c:pt>
                <c:pt idx="9">
                  <c:v>9.3611380051591038</c:v>
                </c:pt>
                <c:pt idx="10">
                  <c:v>10.939524922874542</c:v>
                </c:pt>
                <c:pt idx="11">
                  <c:v>12.784948188436658</c:v>
                </c:pt>
                <c:pt idx="12">
                  <c:v>14.942729097956558</c:v>
                </c:pt>
                <c:pt idx="13">
                  <c:v>17.465903496573073</c:v>
                </c:pt>
                <c:pt idx="14">
                  <c:v>20.416538507575922</c:v>
                </c:pt>
                <c:pt idx="15">
                  <c:v>23.86727456254431</c:v>
                </c:pt>
                <c:pt idx="16">
                  <c:v>27.903131370696858</c:v>
                </c:pt>
                <c:pt idx="17">
                  <c:v>32.623623105643567</c:v>
                </c:pt>
                <c:pt idx="18">
                  <c:v>38.145235870948106</c:v>
                </c:pt>
                <c:pt idx="19">
                  <c:v>44.604329629512812</c:v>
                </c:pt>
                <c:pt idx="20">
                  <c:v>52.160537477007232</c:v>
                </c:pt>
                <c:pt idx="21">
                  <c:v>61.000747677538776</c:v>
                </c:pt>
                <c:pt idx="22">
                  <c:v>71.343768578528028</c:v>
                </c:pt>
                <c:pt idx="23">
                  <c:v>83.445793754284864</c:v>
                </c:pt>
                <c:pt idx="24">
                  <c:v>97.606804931536445</c:v>
                </c:pt>
                <c:pt idx="25">
                  <c:v>114.17807393822544</c:v>
                </c:pt>
                <c:pt idx="26">
                  <c:v>133.57095269108225</c:v>
                </c:pt>
                <c:pt idx="27">
                  <c:v>156.26717280368752</c:v>
                </c:pt>
                <c:pt idx="28">
                  <c:v>182.83091458297932</c:v>
                </c:pt>
                <c:pt idx="29">
                  <c:v>213.92294995970562</c:v>
                </c:pt>
                <c:pt idx="30">
                  <c:v>250.31721640651642</c:v>
                </c:pt>
                <c:pt idx="31">
                  <c:v>292.92024047277602</c:v>
                </c:pt>
                <c:pt idx="32">
                  <c:v>342.79390177565824</c:v>
                </c:pt>
                <c:pt idx="33">
                  <c:v>401.18211297203874</c:v>
                </c:pt>
                <c:pt idx="34">
                  <c:v>383.84160613447671</c:v>
                </c:pt>
                <c:pt idx="35">
                  <c:v>425.2697356468027</c:v>
                </c:pt>
                <c:pt idx="36">
                  <c:v>466.61104058146134</c:v>
                </c:pt>
                <c:pt idx="37">
                  <c:v>507.87428174915118</c:v>
                </c:pt>
                <c:pt idx="38">
                  <c:v>549.06668140309989</c:v>
                </c:pt>
                <c:pt idx="39">
                  <c:v>590.19429095953865</c:v>
                </c:pt>
                <c:pt idx="40">
                  <c:v>631.26225081378072</c:v>
                </c:pt>
                <c:pt idx="41">
                  <c:v>672.27497901412335</c:v>
                </c:pt>
                <c:pt idx="42">
                  <c:v>603.76376872629965</c:v>
                </c:pt>
                <c:pt idx="43">
                  <c:v>666.86250441130085</c:v>
                </c:pt>
                <c:pt idx="44">
                  <c:v>729.83845524598644</c:v>
                </c:pt>
                <c:pt idx="45">
                  <c:v>792.70367597875156</c:v>
                </c:pt>
                <c:pt idx="46">
                  <c:v>855.46815697869533</c:v>
                </c:pt>
                <c:pt idx="47">
                  <c:v>918.14030625642465</c:v>
                </c:pt>
                <c:pt idx="48">
                  <c:v>980.72729307774398</c:v>
                </c:pt>
                <c:pt idx="49">
                  <c:v>1043.2352993765778</c:v>
                </c:pt>
                <c:pt idx="50">
                  <c:v>1105.6697078522545</c:v>
                </c:pt>
                <c:pt idx="51">
                  <c:v>1168.0352454372251</c:v>
                </c:pt>
                <c:pt idx="52">
                  <c:v>1230.3360945853365</c:v>
                </c:pt>
                <c:pt idx="53">
                  <c:v>1292.5759808918235</c:v>
                </c:pt>
                <c:pt idx="54">
                  <c:v>1354.7582429964011</c:v>
                </c:pt>
                <c:pt idx="55">
                  <c:v>1416.8858890150905</c:v>
                </c:pt>
                <c:pt idx="56">
                  <c:v>1226.8931623991384</c:v>
                </c:pt>
                <c:pt idx="57">
                  <c:v>1314.8586135876985</c:v>
                </c:pt>
                <c:pt idx="58">
                  <c:v>1402.7110999098852</c:v>
                </c:pt>
                <c:pt idx="59">
                  <c:v>1490.45866340255</c:v>
                </c:pt>
                <c:pt idx="60">
                  <c:v>1578.1083252459375</c:v>
                </c:pt>
                <c:pt idx="61">
                  <c:v>1665.6662658744237</c:v>
                </c:pt>
                <c:pt idx="62">
                  <c:v>1753.1379653445026</c:v>
                </c:pt>
                <c:pt idx="63">
                  <c:v>1840.5283143095821</c:v>
                </c:pt>
                <c:pt idx="64">
                  <c:v>1927.8417028841075</c:v>
                </c:pt>
                <c:pt idx="65">
                  <c:v>2015.0820926215126</c:v>
                </c:pt>
                <c:pt idx="66">
                  <c:v>2102.2530754194272</c:v>
                </c:pt>
                <c:pt idx="67">
                  <c:v>2189.3579221793048</c:v>
                </c:pt>
                <c:pt idx="68">
                  <c:v>2276.3996233461899</c:v>
                </c:pt>
                <c:pt idx="69">
                  <c:v>2363.3809229475228</c:v>
                </c:pt>
                <c:pt idx="70">
                  <c:v>2450.3043473784201</c:v>
                </c:pt>
                <c:pt idx="71">
                  <c:v>2055.651200771752</c:v>
                </c:pt>
                <c:pt idx="72">
                  <c:v>2142.3018437993001</c:v>
                </c:pt>
                <c:pt idx="73">
                  <c:v>2228.8884832978624</c:v>
                </c:pt>
                <c:pt idx="74">
                  <c:v>2315.4139450578009</c:v>
                </c:pt>
                <c:pt idx="75">
                  <c:v>2401.8808273029795</c:v>
                </c:pt>
                <c:pt idx="76">
                  <c:v>2488.2915266926548</c:v>
                </c:pt>
                <c:pt idx="77">
                  <c:v>2574.648260537077</c:v>
                </c:pt>
                <c:pt idx="78">
                  <c:v>2660.9530858888083</c:v>
                </c:pt>
                <c:pt idx="79">
                  <c:v>2747.2079160379126</c:v>
                </c:pt>
                <c:pt idx="80">
                  <c:v>2833.4145348358579</c:v>
                </c:pt>
                <c:pt idx="81">
                  <c:v>2919.574609192417</c:v>
                </c:pt>
                <c:pt idx="82">
                  <c:v>3005.689700026544</c:v>
                </c:pt>
                <c:pt idx="83">
                  <c:v>3091.761271902049</c:v>
                </c:pt>
                <c:pt idx="84">
                  <c:v>2593.1491055839165</c:v>
                </c:pt>
                <c:pt idx="85">
                  <c:v>2702.10358758134</c:v>
                </c:pt>
                <c:pt idx="86">
                  <c:v>2810.9797289558592</c:v>
                </c:pt>
                <c:pt idx="87">
                  <c:v>2919.7809767200779</c:v>
                </c:pt>
                <c:pt idx="88">
                  <c:v>3028.5105012009371</c:v>
                </c:pt>
                <c:pt idx="89">
                  <c:v>3137.1712275541936</c:v>
                </c:pt>
                <c:pt idx="90">
                  <c:v>3245.7658627038786</c:v>
                </c:pt>
                <c:pt idx="91">
                  <c:v>3354.2969185042807</c:v>
                </c:pt>
                <c:pt idx="92">
                  <c:v>3462.7667317612054</c:v>
                </c:pt>
                <c:pt idx="93">
                  <c:v>3571.1774816250768</c:v>
                </c:pt>
                <c:pt idx="94">
                  <c:v>3679.5312047714719</c:v>
                </c:pt>
                <c:pt idx="95">
                  <c:v>3787.8298087085027</c:v>
                </c:pt>
                <c:pt idx="96">
                  <c:v>3896.0750834899868</c:v>
                </c:pt>
                <c:pt idx="97">
                  <c:v>4004.2687120651058</c:v>
                </c:pt>
                <c:pt idx="98">
                  <c:v>3323.9175556441078</c:v>
                </c:pt>
                <c:pt idx="99">
                  <c:v>3430.8398090398091</c:v>
                </c:pt>
                <c:pt idx="100">
                  <c:v>3537.704082895822</c:v>
                </c:pt>
                <c:pt idx="101">
                  <c:v>3644.5123666899394</c:v>
                </c:pt>
                <c:pt idx="102">
                  <c:v>3751.2665243274296</c:v>
                </c:pt>
                <c:pt idx="103">
                  <c:v>3857.9683054754801</c:v>
                </c:pt>
                <c:pt idx="104">
                  <c:v>3964.6193555841478</c:v>
                </c:pt>
                <c:pt idx="105">
                  <c:v>4071.221224777873</c:v>
                </c:pt>
                <c:pt idx="106">
                  <c:v>4177.7753757715518</c:v>
                </c:pt>
                <c:pt idx="107">
                  <c:v>4284.2831909407523</c:v>
                </c:pt>
                <c:pt idx="108">
                  <c:v>4390.7459786555883</c:v>
                </c:pt>
                <c:pt idx="109">
                  <c:v>4497.1649789711901</c:v>
                </c:pt>
                <c:pt idx="110">
                  <c:v>4603.5413687541122</c:v>
                </c:pt>
                <c:pt idx="111">
                  <c:v>4709.8762663124871</c:v>
                </c:pt>
                <c:pt idx="112">
                  <c:v>3921.9112259034732</c:v>
                </c:pt>
                <c:pt idx="113">
                  <c:v>4060.1940041948906</c:v>
                </c:pt>
                <c:pt idx="114">
                  <c:v>4198.3962497306829</c:v>
                </c:pt>
                <c:pt idx="115">
                  <c:v>4336.5209724980932</c:v>
                </c:pt>
                <c:pt idx="116">
                  <c:v>4474.5709760867985</c:v>
                </c:pt>
                <c:pt idx="117">
                  <c:v>4612.54887787811</c:v>
                </c:pt>
                <c:pt idx="118">
                  <c:v>4750.4571267046585</c:v>
                </c:pt>
                <c:pt idx="119">
                  <c:v>4888.2980183628642</c:v>
                </c:pt>
                <c:pt idx="120">
                  <c:v>5026.0737092934642</c:v>
                </c:pt>
                <c:pt idx="121">
                  <c:v>5163.7862286914997</c:v>
                </c:pt>
                <c:pt idx="122">
                  <c:v>5301.4374892638125</c:v>
                </c:pt>
                <c:pt idx="123">
                  <c:v>5439.0292968168751</c:v>
                </c:pt>
                <c:pt idx="124">
                  <c:v>5576.5633588289556</c:v>
                </c:pt>
                <c:pt idx="125">
                  <c:v>5714.041292137008</c:v>
                </c:pt>
                <c:pt idx="126">
                  <c:v>4782.6966427098159</c:v>
                </c:pt>
                <c:pt idx="127">
                  <c:v>4975.4095534860544</c:v>
                </c:pt>
                <c:pt idx="128">
                  <c:v>5167.9974855941118</c:v>
                </c:pt>
                <c:pt idx="129">
                  <c:v>5360.4657241697169</c:v>
                </c:pt>
                <c:pt idx="130">
                  <c:v>5552.819146030768</c:v>
                </c:pt>
                <c:pt idx="131">
                  <c:v>5745.062264501219</c:v>
                </c:pt>
                <c:pt idx="132">
                  <c:v>5937.1992679553869</c:v>
                </c:pt>
                <c:pt idx="133">
                  <c:v>6129.2340531403643</c:v>
                </c:pt>
                <c:pt idx="134">
                  <c:v>6321.1702541279292</c:v>
                </c:pt>
                <c:pt idx="135">
                  <c:v>6513.0112675865557</c:v>
                </c:pt>
                <c:pt idx="136">
                  <c:v>6704.7602749375446</c:v>
                </c:pt>
                <c:pt idx="137">
                  <c:v>6896.4202618589507</c:v>
                </c:pt>
                <c:pt idx="138">
                  <c:v>7087.9940355207764</c:v>
                </c:pt>
                <c:pt idx="139">
                  <c:v>7279.4842398705332</c:v>
                </c:pt>
                <c:pt idx="140">
                  <c:v>7470.8933692359196</c:v>
                </c:pt>
                <c:pt idx="141">
                  <c:v>8.3864197914474037E-11</c:v>
                </c:pt>
                <c:pt idx="142">
                  <c:v>8.3864197914474037E-11</c:v>
                </c:pt>
                <c:pt idx="143">
                  <c:v>8.3864197914474037E-11</c:v>
                </c:pt>
                <c:pt idx="144">
                  <c:v>8.3864197914474037E-11</c:v>
                </c:pt>
                <c:pt idx="145">
                  <c:v>8.3864197914474037E-11</c:v>
                </c:pt>
                <c:pt idx="146">
                  <c:v>8.3864197914474037E-11</c:v>
                </c:pt>
                <c:pt idx="147">
                  <c:v>8.3864197914474037E-11</c:v>
                </c:pt>
                <c:pt idx="148">
                  <c:v>8.3864197914474037E-11</c:v>
                </c:pt>
                <c:pt idx="149">
                  <c:v>8.3864197914474037E-11</c:v>
                </c:pt>
                <c:pt idx="150">
                  <c:v>8.3864197914474037E-11</c:v>
                </c:pt>
                <c:pt idx="151">
                  <c:v>8.3864197914474037E-11</c:v>
                </c:pt>
                <c:pt idx="152">
                  <c:v>8.3864197914474037E-11</c:v>
                </c:pt>
                <c:pt idx="153">
                  <c:v>8.3864197914474037E-11</c:v>
                </c:pt>
                <c:pt idx="154">
                  <c:v>8.3864197914474037E-11</c:v>
                </c:pt>
                <c:pt idx="155">
                  <c:v>8.3864197914474037E-11</c:v>
                </c:pt>
                <c:pt idx="156">
                  <c:v>8.3864197914474037E-11</c:v>
                </c:pt>
                <c:pt idx="157">
                  <c:v>8.3864197914474037E-11</c:v>
                </c:pt>
                <c:pt idx="158">
                  <c:v>8.3864197914474037E-11</c:v>
                </c:pt>
                <c:pt idx="159">
                  <c:v>8.3864197914474037E-11</c:v>
                </c:pt>
                <c:pt idx="160">
                  <c:v>8.3864197914474037E-11</c:v>
                </c:pt>
                <c:pt idx="161">
                  <c:v>8.3864197914474037E-11</c:v>
                </c:pt>
                <c:pt idx="162">
                  <c:v>8.3864197914474037E-11</c:v>
                </c:pt>
                <c:pt idx="163">
                  <c:v>8.3864197914474037E-11</c:v>
                </c:pt>
                <c:pt idx="164">
                  <c:v>8.3864197914474037E-11</c:v>
                </c:pt>
                <c:pt idx="165">
                  <c:v>8.3864197914474037E-11</c:v>
                </c:pt>
                <c:pt idx="166">
                  <c:v>8.3864197914474037E-11</c:v>
                </c:pt>
                <c:pt idx="167">
                  <c:v>8.3864197914474037E-11</c:v>
                </c:pt>
                <c:pt idx="168">
                  <c:v>8.3864197914474037E-11</c:v>
                </c:pt>
                <c:pt idx="169">
                  <c:v>8.3864197914474037E-11</c:v>
                </c:pt>
                <c:pt idx="170">
                  <c:v>8.3864197914474037E-11</c:v>
                </c:pt>
                <c:pt idx="171">
                  <c:v>8.3864197914474037E-11</c:v>
                </c:pt>
                <c:pt idx="172">
                  <c:v>8.3864197914474037E-11</c:v>
                </c:pt>
                <c:pt idx="173">
                  <c:v>8.3864197914474037E-11</c:v>
                </c:pt>
                <c:pt idx="174">
                  <c:v>8.3864197914474037E-11</c:v>
                </c:pt>
                <c:pt idx="175">
                  <c:v>8.3864197914474037E-11</c:v>
                </c:pt>
                <c:pt idx="176">
                  <c:v>8.3864197914474037E-11</c:v>
                </c:pt>
                <c:pt idx="177">
                  <c:v>8.3864197914474037E-11</c:v>
                </c:pt>
                <c:pt idx="178">
                  <c:v>8.3864197914474037E-11</c:v>
                </c:pt>
                <c:pt idx="179">
                  <c:v>8.3864197914474037E-11</c:v>
                </c:pt>
                <c:pt idx="180">
                  <c:v>8.3864197914474037E-11</c:v>
                </c:pt>
                <c:pt idx="181">
                  <c:v>8.3864197914474037E-11</c:v>
                </c:pt>
                <c:pt idx="182">
                  <c:v>8.3864197914474037E-11</c:v>
                </c:pt>
                <c:pt idx="183">
                  <c:v>8.3864197914474037E-11</c:v>
                </c:pt>
                <c:pt idx="184">
                  <c:v>8.3864197914474037E-11</c:v>
                </c:pt>
                <c:pt idx="185">
                  <c:v>8.3864197914474037E-11</c:v>
                </c:pt>
                <c:pt idx="186">
                  <c:v>8.3864197914474037E-11</c:v>
                </c:pt>
                <c:pt idx="187">
                  <c:v>8.3864197914474037E-11</c:v>
                </c:pt>
                <c:pt idx="188">
                  <c:v>8.3864197914474037E-11</c:v>
                </c:pt>
                <c:pt idx="189">
                  <c:v>8.3864197914474037E-11</c:v>
                </c:pt>
                <c:pt idx="190">
                  <c:v>8.3864197914474037E-11</c:v>
                </c:pt>
                <c:pt idx="191">
                  <c:v>8.3864197914474037E-11</c:v>
                </c:pt>
                <c:pt idx="192">
                  <c:v>8.3864197914474037E-11</c:v>
                </c:pt>
                <c:pt idx="193">
                  <c:v>8.3864197914474037E-11</c:v>
                </c:pt>
                <c:pt idx="194">
                  <c:v>8.3864197914474037E-11</c:v>
                </c:pt>
                <c:pt idx="195">
                  <c:v>8.3864197914474037E-11</c:v>
                </c:pt>
                <c:pt idx="196">
                  <c:v>8.3864197914474037E-11</c:v>
                </c:pt>
                <c:pt idx="197">
                  <c:v>8.3864197914474037E-11</c:v>
                </c:pt>
                <c:pt idx="198">
                  <c:v>8.3864197914474037E-11</c:v>
                </c:pt>
                <c:pt idx="199">
                  <c:v>8.3864197914474037E-11</c:v>
                </c:pt>
                <c:pt idx="200">
                  <c:v>8.3864197914474037E-11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3.1337016756657472</c:v>
                </c:pt>
                <c:pt idx="2">
                  <c:v>3.5955849273878453</c:v>
                </c:pt>
                <c:pt idx="3">
                  <c:v>4.1257878237682108</c:v>
                </c:pt>
                <c:pt idx="4">
                  <c:v>4.7344496396004079</c:v>
                </c:pt>
                <c:pt idx="5">
                  <c:v>5.4332191093404774</c:v>
                </c:pt>
                <c:pt idx="6">
                  <c:v>6.235479795594423</c:v>
                </c:pt>
                <c:pt idx="7">
                  <c:v>7.1566091961058085</c:v>
                </c:pt>
                <c:pt idx="8">
                  <c:v>8.2142766524394109</c:v>
                </c:pt>
                <c:pt idx="9">
                  <c:v>9.4287858851070094</c:v>
                </c:pt>
                <c:pt idx="10">
                  <c:v>10.823468856209452</c:v>
                </c:pt>
                <c:pt idx="11">
                  <c:v>12.42513866910671</c:v>
                </c:pt>
                <c:pt idx="12">
                  <c:v>14.264610375126219</c:v>
                </c:pt>
                <c:pt idx="13">
                  <c:v>16.377299892850793</c:v>
                </c:pt>
                <c:pt idx="14">
                  <c:v>18.803912782536631</c:v>
                </c:pt>
                <c:pt idx="15">
                  <c:v>21.591236387148019</c:v>
                </c:pt>
                <c:pt idx="16">
                  <c:v>24.793050887415884</c:v>
                </c:pt>
                <c:pt idx="17">
                  <c:v>28.471177161596987</c:v>
                </c:pt>
                <c:pt idx="18">
                  <c:v>32.696682037706957</c:v>
                </c:pt>
                <c:pt idx="19">
                  <c:v>37.55126463043807</c:v>
                </c:pt>
                <c:pt idx="20">
                  <c:v>43.128851028376722</c:v>
                </c:pt>
                <c:pt idx="21">
                  <c:v>49.53742871046061</c:v>
                </c:pt>
                <c:pt idx="22">
                  <c:v>56.901156805576704</c:v>
                </c:pt>
                <c:pt idx="23">
                  <c:v>65.362793759889215</c:v>
                </c:pt>
                <c:pt idx="24">
                  <c:v>75.086490251261708</c:v>
                </c:pt>
                <c:pt idx="25">
                  <c:v>86.261002413783558</c:v>
                </c:pt>
                <c:pt idx="26">
                  <c:v>99.103388751636558</c:v>
                </c:pt>
                <c:pt idx="27">
                  <c:v>113.86326369584283</c:v>
                </c:pt>
                <c:pt idx="28">
                  <c:v>130.82769178042409</c:v>
                </c:pt>
                <c:pt idx="29">
                  <c:v>150.32681910570028</c:v>
                </c:pt>
                <c:pt idx="30">
                  <c:v>172.7403533686861</c:v>
                </c:pt>
                <c:pt idx="31">
                  <c:v>198.50502056500409</c:v>
                </c:pt>
                <c:pt idx="32">
                  <c:v>228.12314583882321</c:v>
                </c:pt>
                <c:pt idx="33">
                  <c:v>262.17252826334351</c:v>
                </c:pt>
                <c:pt idx="34">
                  <c:v>251.90675848512021</c:v>
                </c:pt>
                <c:pt idx="35">
                  <c:v>279.99914367779974</c:v>
                </c:pt>
                <c:pt idx="36">
                  <c:v>308.0283182010748</c:v>
                </c:pt>
                <c:pt idx="37">
                  <c:v>336.00083858134127</c:v>
                </c:pt>
                <c:pt idx="38">
                  <c:v>363.92208036236462</c:v>
                </c:pt>
                <c:pt idx="39">
                  <c:v>391.79652704959136</c:v>
                </c:pt>
                <c:pt idx="40">
                  <c:v>419.62797240115316</c:v>
                </c:pt>
                <c:pt idx="41">
                  <c:v>447.41966619384988</c:v>
                </c:pt>
                <c:pt idx="42">
                  <c:v>401.76878976481999</c:v>
                </c:pt>
                <c:pt idx="43">
                  <c:v>443.63601979232732</c:v>
                </c:pt>
                <c:pt idx="44">
                  <c:v>485.41860808171322</c:v>
                </c:pt>
                <c:pt idx="45">
                  <c:v>527.12485132011886</c:v>
                </c:pt>
                <c:pt idx="46">
                  <c:v>568.76162747197179</c:v>
                </c:pt>
                <c:pt idx="47">
                  <c:v>610.33472659155711</c:v>
                </c:pt>
                <c:pt idx="48">
                  <c:v>651.84908676683222</c:v>
                </c:pt>
                <c:pt idx="49">
                  <c:v>693.30896682819775</c:v>
                </c:pt>
                <c:pt idx="50">
                  <c:v>734.7180756107673</c:v>
                </c:pt>
                <c:pt idx="51">
                  <c:v>776.07967057886788</c:v>
                </c:pt>
                <c:pt idx="52">
                  <c:v>817.39663435119257</c:v>
                </c:pt>
                <c:pt idx="53">
                  <c:v>706.64546556919458</c:v>
                </c:pt>
                <c:pt idx="54">
                  <c:v>756.06787734389661</c:v>
                </c:pt>
                <c:pt idx="55">
                  <c:v>805.4247051529901</c:v>
                </c:pt>
                <c:pt idx="56">
                  <c:v>854.72052266311539</c:v>
                </c:pt>
                <c:pt idx="57">
                  <c:v>903.95933412483555</c:v>
                </c:pt>
                <c:pt idx="58">
                  <c:v>953.14467300879426</c:v>
                </c:pt>
                <c:pt idx="59">
                  <c:v>1002.2796792522764</c:v>
                </c:pt>
                <c:pt idx="60">
                  <c:v>1051.3671605950208</c:v>
                </c:pt>
                <c:pt idx="61">
                  <c:v>4.7946546453085093E-12</c:v>
                </c:pt>
                <c:pt idx="62">
                  <c:v>4.7946546453085093E-12</c:v>
                </c:pt>
                <c:pt idx="63">
                  <c:v>4.7946546453085093E-12</c:v>
                </c:pt>
                <c:pt idx="64">
                  <c:v>4.7946546453085093E-12</c:v>
                </c:pt>
                <c:pt idx="65">
                  <c:v>4.7946546453085093E-12</c:v>
                </c:pt>
                <c:pt idx="66">
                  <c:v>4.7946546453085093E-12</c:v>
                </c:pt>
                <c:pt idx="67">
                  <c:v>4.7946546453085093E-12</c:v>
                </c:pt>
                <c:pt idx="68">
                  <c:v>4.7946546453085093E-12</c:v>
                </c:pt>
                <c:pt idx="69">
                  <c:v>4.7946546453085093E-12</c:v>
                </c:pt>
                <c:pt idx="70">
                  <c:v>4.7946546453085093E-12</c:v>
                </c:pt>
                <c:pt idx="71">
                  <c:v>4.7946546453085093E-12</c:v>
                </c:pt>
                <c:pt idx="72">
                  <c:v>4.7946546453085093E-12</c:v>
                </c:pt>
                <c:pt idx="73">
                  <c:v>4.7946546453085093E-12</c:v>
                </c:pt>
                <c:pt idx="74">
                  <c:v>4.7946546453085093E-12</c:v>
                </c:pt>
                <c:pt idx="75">
                  <c:v>4.7946546453085093E-12</c:v>
                </c:pt>
                <c:pt idx="76">
                  <c:v>4.7946546453085093E-12</c:v>
                </c:pt>
                <c:pt idx="77">
                  <c:v>4.7946546453085093E-12</c:v>
                </c:pt>
                <c:pt idx="78">
                  <c:v>4.7946546453085093E-12</c:v>
                </c:pt>
                <c:pt idx="79">
                  <c:v>4.7946546453085093E-12</c:v>
                </c:pt>
                <c:pt idx="80">
                  <c:v>4.7946546453085093E-12</c:v>
                </c:pt>
                <c:pt idx="81">
                  <c:v>4.7946546453085093E-12</c:v>
                </c:pt>
                <c:pt idx="82">
                  <c:v>4.7946546453085093E-12</c:v>
                </c:pt>
                <c:pt idx="83">
                  <c:v>4.7946546453085093E-12</c:v>
                </c:pt>
                <c:pt idx="84">
                  <c:v>4.7946546453085093E-12</c:v>
                </c:pt>
                <c:pt idx="85">
                  <c:v>4.7946546453085093E-12</c:v>
                </c:pt>
                <c:pt idx="86">
                  <c:v>4.7946546453085093E-12</c:v>
                </c:pt>
                <c:pt idx="87">
                  <c:v>4.7946546453085093E-12</c:v>
                </c:pt>
                <c:pt idx="88">
                  <c:v>4.7946546453085093E-12</c:v>
                </c:pt>
                <c:pt idx="89">
                  <c:v>4.7946546453085093E-12</c:v>
                </c:pt>
                <c:pt idx="90">
                  <c:v>4.7946546453085093E-12</c:v>
                </c:pt>
                <c:pt idx="91">
                  <c:v>4.7946546453085093E-12</c:v>
                </c:pt>
                <c:pt idx="92">
                  <c:v>4.7946546453085093E-12</c:v>
                </c:pt>
                <c:pt idx="93">
                  <c:v>4.7946546453085093E-12</c:v>
                </c:pt>
                <c:pt idx="94">
                  <c:v>4.7946546453085093E-12</c:v>
                </c:pt>
                <c:pt idx="95">
                  <c:v>4.7946546453085093E-12</c:v>
                </c:pt>
                <c:pt idx="96">
                  <c:v>4.7946546453085093E-12</c:v>
                </c:pt>
                <c:pt idx="97">
                  <c:v>4.7946546453085093E-12</c:v>
                </c:pt>
                <c:pt idx="98">
                  <c:v>4.7946546453085093E-12</c:v>
                </c:pt>
                <c:pt idx="99">
                  <c:v>4.7946546453085093E-12</c:v>
                </c:pt>
                <c:pt idx="100">
                  <c:v>4.7946546453085093E-12</c:v>
                </c:pt>
                <c:pt idx="101">
                  <c:v>4.7946546453085093E-12</c:v>
                </c:pt>
                <c:pt idx="102">
                  <c:v>4.7946546453085093E-12</c:v>
                </c:pt>
                <c:pt idx="103">
                  <c:v>4.7946546453085093E-12</c:v>
                </c:pt>
                <c:pt idx="104">
                  <c:v>4.7946546453085093E-12</c:v>
                </c:pt>
                <c:pt idx="105">
                  <c:v>4.7946546453085093E-12</c:v>
                </c:pt>
                <c:pt idx="106">
                  <c:v>4.7946546453085093E-12</c:v>
                </c:pt>
                <c:pt idx="107">
                  <c:v>4.7946546453085093E-12</c:v>
                </c:pt>
                <c:pt idx="108">
                  <c:v>4.7946546453085093E-12</c:v>
                </c:pt>
                <c:pt idx="109">
                  <c:v>4.7946546453085093E-12</c:v>
                </c:pt>
                <c:pt idx="110">
                  <c:v>4.7946546453085093E-12</c:v>
                </c:pt>
                <c:pt idx="111">
                  <c:v>4.7946546453085093E-12</c:v>
                </c:pt>
                <c:pt idx="112">
                  <c:v>4.7946546453085093E-12</c:v>
                </c:pt>
                <c:pt idx="113">
                  <c:v>4.7946546453085093E-12</c:v>
                </c:pt>
                <c:pt idx="114">
                  <c:v>4.7946546453085093E-12</c:v>
                </c:pt>
                <c:pt idx="115">
                  <c:v>4.7946546453085093E-12</c:v>
                </c:pt>
                <c:pt idx="116">
                  <c:v>4.7946546453085093E-12</c:v>
                </c:pt>
                <c:pt idx="117">
                  <c:v>4.7946546453085093E-12</c:v>
                </c:pt>
                <c:pt idx="118">
                  <c:v>4.7946546453085093E-12</c:v>
                </c:pt>
                <c:pt idx="119">
                  <c:v>4.7946546453085093E-12</c:v>
                </c:pt>
                <c:pt idx="120">
                  <c:v>4.7946546453085093E-12</c:v>
                </c:pt>
                <c:pt idx="121">
                  <c:v>4.7946546453085093E-12</c:v>
                </c:pt>
                <c:pt idx="122">
                  <c:v>4.7946546453085093E-12</c:v>
                </c:pt>
                <c:pt idx="123">
                  <c:v>4.7946546453085093E-12</c:v>
                </c:pt>
                <c:pt idx="124">
                  <c:v>4.7946546453085093E-12</c:v>
                </c:pt>
                <c:pt idx="125">
                  <c:v>4.7946546453085093E-12</c:v>
                </c:pt>
                <c:pt idx="126">
                  <c:v>4.7946546453085093E-12</c:v>
                </c:pt>
                <c:pt idx="127">
                  <c:v>4.7946546453085093E-12</c:v>
                </c:pt>
                <c:pt idx="128">
                  <c:v>4.7946546453085093E-12</c:v>
                </c:pt>
                <c:pt idx="129">
                  <c:v>4.7946546453085093E-12</c:v>
                </c:pt>
                <c:pt idx="130">
                  <c:v>4.7946546453085093E-12</c:v>
                </c:pt>
                <c:pt idx="131">
                  <c:v>4.7946546453085093E-12</c:v>
                </c:pt>
                <c:pt idx="132">
                  <c:v>4.7946546453085093E-12</c:v>
                </c:pt>
                <c:pt idx="133">
                  <c:v>4.7946546453085093E-12</c:v>
                </c:pt>
                <c:pt idx="134">
                  <c:v>4.7946546453085093E-12</c:v>
                </c:pt>
                <c:pt idx="135">
                  <c:v>4.7946546453085093E-12</c:v>
                </c:pt>
                <c:pt idx="136">
                  <c:v>4.7946546453085093E-12</c:v>
                </c:pt>
                <c:pt idx="137">
                  <c:v>4.7946546453085093E-12</c:v>
                </c:pt>
                <c:pt idx="138">
                  <c:v>4.7946546453085093E-12</c:v>
                </c:pt>
                <c:pt idx="139">
                  <c:v>4.7946546453085093E-12</c:v>
                </c:pt>
                <c:pt idx="140">
                  <c:v>4.7946546453085093E-12</c:v>
                </c:pt>
                <c:pt idx="141">
                  <c:v>4.7946546453085093E-12</c:v>
                </c:pt>
                <c:pt idx="142">
                  <c:v>4.7946546453085093E-12</c:v>
                </c:pt>
                <c:pt idx="143">
                  <c:v>4.7946546453085093E-12</c:v>
                </c:pt>
                <c:pt idx="144">
                  <c:v>4.7946546453085093E-12</c:v>
                </c:pt>
                <c:pt idx="145">
                  <c:v>4.7946546453085093E-12</c:v>
                </c:pt>
                <c:pt idx="146">
                  <c:v>4.7946546453085093E-12</c:v>
                </c:pt>
                <c:pt idx="147">
                  <c:v>4.7946546453085093E-12</c:v>
                </c:pt>
                <c:pt idx="148">
                  <c:v>4.7946546453085093E-12</c:v>
                </c:pt>
                <c:pt idx="149">
                  <c:v>4.7946546453085093E-12</c:v>
                </c:pt>
                <c:pt idx="150">
                  <c:v>4.7946546453085093E-12</c:v>
                </c:pt>
                <c:pt idx="151">
                  <c:v>4.7946546453085093E-12</c:v>
                </c:pt>
                <c:pt idx="152">
                  <c:v>4.7946546453085093E-12</c:v>
                </c:pt>
                <c:pt idx="153">
                  <c:v>4.7946546453085093E-12</c:v>
                </c:pt>
                <c:pt idx="154">
                  <c:v>4.7946546453085093E-12</c:v>
                </c:pt>
                <c:pt idx="155">
                  <c:v>4.7946546453085093E-12</c:v>
                </c:pt>
                <c:pt idx="156">
                  <c:v>4.7946546453085093E-12</c:v>
                </c:pt>
                <c:pt idx="157">
                  <c:v>4.7946546453085093E-12</c:v>
                </c:pt>
                <c:pt idx="158">
                  <c:v>4.7946546453085093E-12</c:v>
                </c:pt>
                <c:pt idx="159">
                  <c:v>4.7946546453085093E-12</c:v>
                </c:pt>
                <c:pt idx="160">
                  <c:v>4.7946546453085093E-12</c:v>
                </c:pt>
                <c:pt idx="161">
                  <c:v>4.7946546453085093E-12</c:v>
                </c:pt>
                <c:pt idx="162">
                  <c:v>4.7946546453085093E-12</c:v>
                </c:pt>
                <c:pt idx="163">
                  <c:v>4.7946546453085093E-12</c:v>
                </c:pt>
                <c:pt idx="164">
                  <c:v>4.7946546453085093E-12</c:v>
                </c:pt>
                <c:pt idx="165">
                  <c:v>4.7946546453085093E-12</c:v>
                </c:pt>
                <c:pt idx="166">
                  <c:v>4.7946546453085093E-12</c:v>
                </c:pt>
                <c:pt idx="167">
                  <c:v>4.7946546453085093E-12</c:v>
                </c:pt>
                <c:pt idx="168">
                  <c:v>4.7946546453085093E-12</c:v>
                </c:pt>
                <c:pt idx="169">
                  <c:v>4.7946546453085093E-12</c:v>
                </c:pt>
                <c:pt idx="170">
                  <c:v>4.7946546453085093E-12</c:v>
                </c:pt>
                <c:pt idx="171">
                  <c:v>4.7946546453085093E-12</c:v>
                </c:pt>
                <c:pt idx="172">
                  <c:v>4.7946546453085093E-12</c:v>
                </c:pt>
                <c:pt idx="173">
                  <c:v>4.7946546453085093E-12</c:v>
                </c:pt>
                <c:pt idx="174">
                  <c:v>4.7946546453085093E-12</c:v>
                </c:pt>
                <c:pt idx="175">
                  <c:v>4.7946546453085093E-12</c:v>
                </c:pt>
                <c:pt idx="176">
                  <c:v>4.7946546453085093E-12</c:v>
                </c:pt>
                <c:pt idx="177">
                  <c:v>4.7946546453085093E-12</c:v>
                </c:pt>
                <c:pt idx="178">
                  <c:v>4.7946546453085093E-12</c:v>
                </c:pt>
                <c:pt idx="179">
                  <c:v>4.7946546453085093E-12</c:v>
                </c:pt>
                <c:pt idx="180">
                  <c:v>4.7946546453085093E-12</c:v>
                </c:pt>
                <c:pt idx="181">
                  <c:v>4.7946546453085093E-12</c:v>
                </c:pt>
                <c:pt idx="182">
                  <c:v>4.7946546453085093E-12</c:v>
                </c:pt>
                <c:pt idx="183">
                  <c:v>4.7946546453085093E-12</c:v>
                </c:pt>
                <c:pt idx="184">
                  <c:v>4.7946546453085093E-12</c:v>
                </c:pt>
                <c:pt idx="185">
                  <c:v>4.7946546453085093E-12</c:v>
                </c:pt>
                <c:pt idx="186">
                  <c:v>4.7946546453085093E-12</c:v>
                </c:pt>
                <c:pt idx="187">
                  <c:v>4.7946546453085093E-12</c:v>
                </c:pt>
                <c:pt idx="188">
                  <c:v>4.7946546453085093E-12</c:v>
                </c:pt>
                <c:pt idx="189">
                  <c:v>4.7946546453085093E-12</c:v>
                </c:pt>
                <c:pt idx="190">
                  <c:v>4.7946546453085093E-12</c:v>
                </c:pt>
                <c:pt idx="191">
                  <c:v>4.7946546453085093E-12</c:v>
                </c:pt>
                <c:pt idx="192">
                  <c:v>4.7946546453085093E-12</c:v>
                </c:pt>
                <c:pt idx="193">
                  <c:v>4.7946546453085093E-12</c:v>
                </c:pt>
                <c:pt idx="194">
                  <c:v>4.7946546453085093E-12</c:v>
                </c:pt>
                <c:pt idx="195">
                  <c:v>4.7946546453085093E-12</c:v>
                </c:pt>
                <c:pt idx="196">
                  <c:v>4.7946546453085093E-12</c:v>
                </c:pt>
                <c:pt idx="197">
                  <c:v>4.7946546453085093E-12</c:v>
                </c:pt>
                <c:pt idx="198">
                  <c:v>4.7946546453085093E-12</c:v>
                </c:pt>
                <c:pt idx="199">
                  <c:v>4.7946546453085093E-12</c:v>
                </c:pt>
                <c:pt idx="200">
                  <c:v>4.7946546453085093E-12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3.011552164938625</c:v>
                </c:pt>
                <c:pt idx="2">
                  <c:v>3.5174573849821509</c:v>
                </c:pt>
                <c:pt idx="3">
                  <c:v>4.1086560306384072</c:v>
                </c:pt>
                <c:pt idx="4">
                  <c:v>4.7995771090519304</c:v>
                </c:pt>
                <c:pt idx="5">
                  <c:v>5.6070983232791702</c:v>
                </c:pt>
                <c:pt idx="6">
                  <c:v>6.5509628572546132</c:v>
                </c:pt>
                <c:pt idx="7">
                  <c:v>7.6542672934720963</c:v>
                </c:pt>
                <c:pt idx="8">
                  <c:v>8.9440328339242381</c:v>
                </c:pt>
                <c:pt idx="9">
                  <c:v>10.451874081926434</c:v>
                </c:pt>
                <c:pt idx="10">
                  <c:v>12.214782088183959</c:v>
                </c:pt>
                <c:pt idx="11">
                  <c:v>14.276041230587987</c:v>
                </c:pt>
                <c:pt idx="12">
                  <c:v>16.686302856143744</c:v>
                </c:pt>
                <c:pt idx="13">
                  <c:v>19.504842550024758</c:v>
                </c:pt>
                <c:pt idx="14">
                  <c:v>22.801032510538779</c:v>
                </c:pt>
                <c:pt idx="15">
                  <c:v>26.656065916487236</c:v>
                </c:pt>
                <c:pt idx="16">
                  <c:v>31.164976511848121</c:v>
                </c:pt>
                <c:pt idx="17">
                  <c:v>36.439004062385166</c:v>
                </c:pt>
                <c:pt idx="18">
                  <c:v>42.608365047867551</c:v>
                </c:pt>
                <c:pt idx="19">
                  <c:v>49.825498162759139</c:v>
                </c:pt>
                <c:pt idx="20">
                  <c:v>58.268866166313764</c:v>
                </c:pt>
                <c:pt idx="21">
                  <c:v>68.14740965351875</c:v>
                </c:pt>
                <c:pt idx="22">
                  <c:v>79.705764767244233</c:v>
                </c:pt>
                <c:pt idx="23">
                  <c:v>93.230376156794179</c:v>
                </c:pt>
                <c:pt idx="24">
                  <c:v>109.05665909850565</c:v>
                </c:pt>
                <c:pt idx="25">
                  <c:v>127.57739120447997</c:v>
                </c:pt>
                <c:pt idx="26">
                  <c:v>149.25254522965076</c:v>
                </c:pt>
                <c:pt idx="27">
                  <c:v>174.62081093544268</c:v>
                </c:pt>
                <c:pt idx="28">
                  <c:v>204.31309670720478</c:v>
                </c:pt>
                <c:pt idx="29">
                  <c:v>239.06835173977629</c:v>
                </c:pt>
                <c:pt idx="30">
                  <c:v>279.75210837649746</c:v>
                </c:pt>
                <c:pt idx="31">
                  <c:v>327.37821310805958</c:v>
                </c:pt>
                <c:pt idx="32">
                  <c:v>383.13429556418424</c:v>
                </c:pt>
                <c:pt idx="33">
                  <c:v>448.41161962259031</c:v>
                </c:pt>
                <c:pt idx="34">
                  <c:v>429.02489053419578</c:v>
                </c:pt>
                <c:pt idx="35">
                  <c:v>475.3419642302631</c:v>
                </c:pt>
                <c:pt idx="36">
                  <c:v>521.56301654565902</c:v>
                </c:pt>
                <c:pt idx="37">
                  <c:v>567.69773627083543</c:v>
                </c:pt>
                <c:pt idx="38">
                  <c:v>613.75411066867434</c:v>
                </c:pt>
                <c:pt idx="39">
                  <c:v>659.73883214537216</c:v>
                </c:pt>
                <c:pt idx="40">
                  <c:v>705.65758558726395</c:v>
                </c:pt>
                <c:pt idx="41">
                  <c:v>751.51525701981382</c:v>
                </c:pt>
                <c:pt idx="42">
                  <c:v>674.9110081700569</c:v>
                </c:pt>
                <c:pt idx="43">
                  <c:v>745.46335541541214</c:v>
                </c:pt>
                <c:pt idx="44">
                  <c:v>815.87991195300265</c:v>
                </c:pt>
                <c:pt idx="45">
                  <c:v>886.17400941789799</c:v>
                </c:pt>
                <c:pt idx="46">
                  <c:v>956.35669639864409</c:v>
                </c:pt>
                <c:pt idx="47">
                  <c:v>1026.4372715156185</c:v>
                </c:pt>
                <c:pt idx="48">
                  <c:v>1096.4236634316433</c:v>
                </c:pt>
                <c:pt idx="49">
                  <c:v>1166.3227088955575</c:v>
                </c:pt>
                <c:pt idx="50">
                  <c:v>1236.1403607635132</c:v>
                </c:pt>
                <c:pt idx="51">
                  <c:v>1305.8818466633604</c:v>
                </c:pt>
                <c:pt idx="52">
                  <c:v>1375.5517920710147</c:v>
                </c:pt>
                <c:pt idx="53">
                  <c:v>1445.1543172115091</c:v>
                </c:pt>
                <c:pt idx="54">
                  <c:v>1514.6931143664945</c:v>
                </c:pt>
                <c:pt idx="55">
                  <c:v>1584.1715102835503</c:v>
                </c:pt>
                <c:pt idx="56">
                  <c:v>1371.701601399398</c:v>
                </c:pt>
                <c:pt idx="57">
                  <c:v>1470.0730391771942</c:v>
                </c:pt>
                <c:pt idx="58">
                  <c:v>1568.3195464027431</c:v>
                </c:pt>
                <c:pt idx="59">
                  <c:v>1666.4500169572796</c:v>
                </c:pt>
                <c:pt idx="60">
                  <c:v>1764.4722157322567</c:v>
                </c:pt>
                <c:pt idx="61">
                  <c:v>1862.3929778181252</c:v>
                </c:pt>
                <c:pt idx="62">
                  <c:v>1960.2183637406608</c:v>
                </c:pt>
                <c:pt idx="63">
                  <c:v>2057.953782190642</c:v>
                </c:pt>
                <c:pt idx="64">
                  <c:v>2155.6040883008168</c:v>
                </c:pt>
                <c:pt idx="65">
                  <c:v>2253.1736632480424</c:v>
                </c:pt>
                <c:pt idx="66">
                  <c:v>2350.6664793979648</c:v>
                </c:pt>
                <c:pt idx="67">
                  <c:v>2448.0861541188692</c:v>
                </c:pt>
                <c:pt idx="68">
                  <c:v>2545.4359946155787</c:v>
                </c:pt>
                <c:pt idx="69">
                  <c:v>2642.7190355737844</c:v>
                </c:pt>
                <c:pt idx="70">
                  <c:v>2739.9380709943744</c:v>
                </c:pt>
                <c:pt idx="71">
                  <c:v>2298.5464157673632</c:v>
                </c:pt>
                <c:pt idx="72">
                  <c:v>2395.4576637944392</c:v>
                </c:pt>
                <c:pt idx="73">
                  <c:v>2492.2981287853509</c:v>
                </c:pt>
                <c:pt idx="74">
                  <c:v>2589.0709358493609</c:v>
                </c:pt>
                <c:pt idx="75">
                  <c:v>2685.7789584244915</c:v>
                </c:pt>
                <c:pt idx="76">
                  <c:v>2782.4248470336365</c:v>
                </c:pt>
                <c:pt idx="77">
                  <c:v>2879.0110538533268</c:v>
                </c:pt>
                <c:pt idx="78">
                  <c:v>2975.5398538272761</c:v>
                </c:pt>
                <c:pt idx="79">
                  <c:v>3072.013362908805</c:v>
                </c:pt>
                <c:pt idx="80">
                  <c:v>3168.4335539019921</c:v>
                </c:pt>
                <c:pt idx="81">
                  <c:v>3264.8022702822923</c:v>
                </c:pt>
                <c:pt idx="82">
                  <c:v>3361.1212383073757</c:v>
                </c:pt>
                <c:pt idx="83">
                  <c:v>3457.3920776734485</c:v>
                </c:pt>
                <c:pt idx="84">
                  <c:v>2899.7035204305071</c:v>
                </c:pt>
                <c:pt idx="85">
                  <c:v>3021.5654116376099</c:v>
                </c:pt>
                <c:pt idx="86">
                  <c:v>3143.3406640728804</c:v>
                </c:pt>
                <c:pt idx="87">
                  <c:v>3265.0330898701454</c:v>
                </c:pt>
                <c:pt idx="88">
                  <c:v>3386.6461951699257</c:v>
                </c:pt>
                <c:pt idx="89">
                  <c:v>3508.1832149720553</c:v>
                </c:pt>
                <c:pt idx="90">
                  <c:v>3629.6471429286789</c:v>
                </c:pt>
                <c:pt idx="91">
                  <c:v>3751.0407569596323</c:v>
                </c:pt>
                <c:pt idx="92">
                  <c:v>3872.3666413944447</c:v>
                </c:pt>
                <c:pt idx="93">
                  <c:v>3993.6272062077805</c:v>
                </c:pt>
                <c:pt idx="94">
                  <c:v>4114.824703807958</c:v>
                </c:pt>
                <c:pt idx="95">
                  <c:v>4235.961243753899</c:v>
                </c:pt>
                <c:pt idx="96">
                  <c:v>4357.0388057090058</c:v>
                </c:pt>
                <c:pt idx="97">
                  <c:v>4478.0592508871041</c:v>
                </c:pt>
                <c:pt idx="98">
                  <c:v>3717.0609049177197</c:v>
                </c:pt>
                <c:pt idx="99">
                  <c:v>3836.6555939364612</c:v>
                </c:pt>
                <c:pt idx="100">
                  <c:v>3956.1861619931301</c:v>
                </c:pt>
                <c:pt idx="101">
                  <c:v>4075.6548092988828</c:v>
                </c:pt>
                <c:pt idx="102">
                  <c:v>4195.0635971912143</c:v>
                </c:pt>
                <c:pt idx="103">
                  <c:v>4314.4144606689852</c:v>
                </c:pt>
                <c:pt idx="104">
                  <c:v>4433.7092194748402</c:v>
                </c:pt>
                <c:pt idx="105">
                  <c:v>4552.9495879285341</c:v>
                </c:pt>
                <c:pt idx="106">
                  <c:v>4672.1371836815188</c:v>
                </c:pt>
                <c:pt idx="107">
                  <c:v>4791.2735355360528</c:v>
                </c:pt>
                <c:pt idx="108">
                  <c:v>4910.3600904499908</c:v>
                </c:pt>
                <c:pt idx="109">
                  <c:v>5029.3982198300173</c:v>
                </c:pt>
                <c:pt idx="110">
                  <c:v>5148.3892252010437</c:v>
                </c:pt>
                <c:pt idx="111">
                  <c:v>5267.3343433268365</c:v>
                </c:pt>
                <c:pt idx="112">
                  <c:v>4385.9378746061111</c:v>
                </c:pt>
                <c:pt idx="113">
                  <c:v>4540.6149743924898</c:v>
                </c:pt>
                <c:pt idx="114">
                  <c:v>4695.203011074942</c:v>
                </c:pt>
                <c:pt idx="115">
                  <c:v>4849.7053134704738</c:v>
                </c:pt>
                <c:pt idx="116">
                  <c:v>5004.1249821360771</c:v>
                </c:pt>
                <c:pt idx="117">
                  <c:v>5158.4649116964611</c:v>
                </c:pt>
                <c:pt idx="118">
                  <c:v>5312.7278103742965</c:v>
                </c:pt>
                <c:pt idx="119">
                  <c:v>5466.9162171458493</c:v>
                </c:pt>
                <c:pt idx="120">
                  <c:v>5621.032516870604</c:v>
                </c:pt>
                <c:pt idx="121">
                  <c:v>5775.0789536839657</c:v>
                </c:pt>
                <c:pt idx="122">
                  <c:v>5929.0576428942632</c:v>
                </c:pt>
                <c:pt idx="123">
                  <c:v>6082.9705815861389</c:v>
                </c:pt>
                <c:pt idx="124">
                  <c:v>6236.8196581007151</c:v>
                </c:pt>
                <c:pt idx="125">
                  <c:v>6390.6066605367232</c:v>
                </c:pt>
                <c:pt idx="126">
                  <c:v>5348.7907605646815</c:v>
                </c:pt>
                <c:pt idx="127">
                  <c:v>5564.3593462863437</c:v>
                </c:pt>
                <c:pt idx="128">
                  <c:v>5779.7897151045063</c:v>
                </c:pt>
                <c:pt idx="129">
                  <c:v>5995.0877119773904</c:v>
                </c:pt>
                <c:pt idx="130">
                  <c:v>6210.2587302947586</c:v>
                </c:pt>
                <c:pt idx="131">
                  <c:v>6425.3077614497024</c:v>
                </c:pt>
                <c:pt idx="132">
                  <c:v>6640.2394374657333</c:v>
                </c:pt>
                <c:pt idx="133">
                  <c:v>6855.0580678488186</c:v>
                </c:pt>
                <c:pt idx="134">
                  <c:v>7069.7676716060059</c:v>
                </c:pt>
                <c:pt idx="135">
                  <c:v>7284.3720051943465</c:v>
                </c:pt>
                <c:pt idx="136">
                  <c:v>7498.8745870238781</c:v>
                </c:pt>
                <c:pt idx="137">
                  <c:v>7713.2787190274948</c:v>
                </c:pt>
                <c:pt idx="138">
                  <c:v>7927.5875057217536</c:v>
                </c:pt>
                <c:pt idx="139">
                  <c:v>8141.8038711115632</c:v>
                </c:pt>
                <c:pt idx="140">
                  <c:v>8355.9305737336854</c:v>
                </c:pt>
                <c:pt idx="141">
                  <c:v>9.2863820801313432E-11</c:v>
                </c:pt>
                <c:pt idx="142">
                  <c:v>9.2863820801313432E-11</c:v>
                </c:pt>
                <c:pt idx="143">
                  <c:v>9.2863820801313432E-11</c:v>
                </c:pt>
                <c:pt idx="144">
                  <c:v>9.2863820801313432E-11</c:v>
                </c:pt>
                <c:pt idx="145">
                  <c:v>9.2863820801313432E-11</c:v>
                </c:pt>
                <c:pt idx="146">
                  <c:v>9.2863820801313432E-11</c:v>
                </c:pt>
                <c:pt idx="147">
                  <c:v>9.2863820801313432E-11</c:v>
                </c:pt>
                <c:pt idx="148">
                  <c:v>9.2863820801313432E-11</c:v>
                </c:pt>
                <c:pt idx="149">
                  <c:v>9.2863820801313432E-11</c:v>
                </c:pt>
                <c:pt idx="150">
                  <c:v>9.2863820801313432E-11</c:v>
                </c:pt>
                <c:pt idx="151">
                  <c:v>9.2863820801313432E-11</c:v>
                </c:pt>
                <c:pt idx="152">
                  <c:v>9.2863820801313432E-11</c:v>
                </c:pt>
                <c:pt idx="153">
                  <c:v>9.2863820801313432E-11</c:v>
                </c:pt>
                <c:pt idx="154">
                  <c:v>9.2863820801313432E-11</c:v>
                </c:pt>
                <c:pt idx="155">
                  <c:v>9.2863820801313432E-11</c:v>
                </c:pt>
                <c:pt idx="156">
                  <c:v>9.2863820801313432E-11</c:v>
                </c:pt>
                <c:pt idx="157">
                  <c:v>9.2863820801313432E-11</c:v>
                </c:pt>
                <c:pt idx="158">
                  <c:v>9.2863820801313432E-11</c:v>
                </c:pt>
                <c:pt idx="159">
                  <c:v>9.2863820801313432E-11</c:v>
                </c:pt>
                <c:pt idx="160">
                  <c:v>9.2863820801313432E-11</c:v>
                </c:pt>
                <c:pt idx="161">
                  <c:v>9.2863820801313432E-11</c:v>
                </c:pt>
                <c:pt idx="162">
                  <c:v>9.2863820801313432E-11</c:v>
                </c:pt>
                <c:pt idx="163">
                  <c:v>9.2863820801313432E-11</c:v>
                </c:pt>
                <c:pt idx="164">
                  <c:v>9.2863820801313432E-11</c:v>
                </c:pt>
                <c:pt idx="165">
                  <c:v>9.2863820801313432E-11</c:v>
                </c:pt>
                <c:pt idx="166">
                  <c:v>9.2863820801313432E-11</c:v>
                </c:pt>
                <c:pt idx="167">
                  <c:v>9.2863820801313432E-11</c:v>
                </c:pt>
                <c:pt idx="168">
                  <c:v>9.2863820801313432E-11</c:v>
                </c:pt>
                <c:pt idx="169">
                  <c:v>9.2863820801313432E-11</c:v>
                </c:pt>
                <c:pt idx="170">
                  <c:v>9.2863820801313432E-11</c:v>
                </c:pt>
                <c:pt idx="171">
                  <c:v>9.2863820801313432E-11</c:v>
                </c:pt>
                <c:pt idx="172">
                  <c:v>9.2863820801313432E-11</c:v>
                </c:pt>
                <c:pt idx="173">
                  <c:v>9.2863820801313432E-11</c:v>
                </c:pt>
                <c:pt idx="174">
                  <c:v>9.2863820801313432E-11</c:v>
                </c:pt>
                <c:pt idx="175">
                  <c:v>9.2863820801313432E-11</c:v>
                </c:pt>
                <c:pt idx="176">
                  <c:v>9.2863820801313432E-11</c:v>
                </c:pt>
                <c:pt idx="177">
                  <c:v>9.2863820801313432E-11</c:v>
                </c:pt>
                <c:pt idx="178">
                  <c:v>9.2863820801313432E-11</c:v>
                </c:pt>
                <c:pt idx="179">
                  <c:v>9.2863820801313432E-11</c:v>
                </c:pt>
                <c:pt idx="180">
                  <c:v>9.2863820801313432E-11</c:v>
                </c:pt>
                <c:pt idx="181">
                  <c:v>9.2863820801313432E-11</c:v>
                </c:pt>
                <c:pt idx="182">
                  <c:v>9.2863820801313432E-11</c:v>
                </c:pt>
                <c:pt idx="183">
                  <c:v>9.2863820801313432E-11</c:v>
                </c:pt>
                <c:pt idx="184">
                  <c:v>9.2863820801313432E-11</c:v>
                </c:pt>
                <c:pt idx="185">
                  <c:v>9.2863820801313432E-11</c:v>
                </c:pt>
                <c:pt idx="186">
                  <c:v>9.2863820801313432E-11</c:v>
                </c:pt>
                <c:pt idx="187">
                  <c:v>9.2863820801313432E-11</c:v>
                </c:pt>
                <c:pt idx="188">
                  <c:v>9.2863820801313432E-11</c:v>
                </c:pt>
                <c:pt idx="189">
                  <c:v>9.2863820801313432E-11</c:v>
                </c:pt>
                <c:pt idx="190">
                  <c:v>9.2863820801313432E-11</c:v>
                </c:pt>
                <c:pt idx="191">
                  <c:v>9.2863820801313432E-11</c:v>
                </c:pt>
                <c:pt idx="192">
                  <c:v>9.2863820801313432E-11</c:v>
                </c:pt>
                <c:pt idx="193">
                  <c:v>9.2863820801313432E-11</c:v>
                </c:pt>
                <c:pt idx="194">
                  <c:v>9.2863820801313432E-11</c:v>
                </c:pt>
                <c:pt idx="195">
                  <c:v>9.2863820801313432E-11</c:v>
                </c:pt>
                <c:pt idx="196">
                  <c:v>9.2863820801313432E-11</c:v>
                </c:pt>
                <c:pt idx="197">
                  <c:v>9.2863820801313432E-11</c:v>
                </c:pt>
                <c:pt idx="198">
                  <c:v>9.2863820801313432E-11</c:v>
                </c:pt>
                <c:pt idx="199">
                  <c:v>9.2863820801313432E-11</c:v>
                </c:pt>
                <c:pt idx="200">
                  <c:v>9.2863820801313432E-11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3.1008148880796722</c:v>
                </c:pt>
                <c:pt idx="2">
                  <c:v>3.6217663107326921</c:v>
                </c:pt>
                <c:pt idx="3">
                  <c:v>4.2305560183012849</c:v>
                </c:pt>
                <c:pt idx="4">
                  <c:v>4.9420448192172817</c:v>
                </c:pt>
                <c:pt idx="5">
                  <c:v>5.773615701130633</c:v>
                </c:pt>
                <c:pt idx="6">
                  <c:v>6.745603155350719</c:v>
                </c:pt>
                <c:pt idx="7">
                  <c:v>7.8817957791588897</c:v>
                </c:pt>
                <c:pt idx="8">
                  <c:v>9.2100246943532618</c:v>
                </c:pt>
                <c:pt idx="9">
                  <c:v>10.762852470669602</c:v>
                </c:pt>
                <c:pt idx="10">
                  <c:v>12.578379762533061</c:v>
                </c:pt>
                <c:pt idx="11">
                  <c:v>14.701189820557017</c:v>
                </c:pt>
                <c:pt idx="12">
                  <c:v>17.183454499912902</c:v>
                </c:pt>
                <c:pt idx="13">
                  <c:v>20.086229443611213</c:v>
                </c:pt>
                <c:pt idx="14">
                  <c:v>23.480970872413071</c:v>
                </c:pt>
                <c:pt idx="15">
                  <c:v>27.451311984785615</c:v>
                </c:pt>
                <c:pt idx="16">
                  <c:v>32.095143501033029</c:v>
                </c:pt>
                <c:pt idx="17">
                  <c:v>37.527050540832185</c:v>
                </c:pt>
                <c:pt idx="18">
                  <c:v>43.881166996787748</c:v>
                </c:pt>
                <c:pt idx="19">
                  <c:v>51.314519085696638</c:v>
                </c:pt>
                <c:pt idx="20">
                  <c:v>60.010942090662176</c:v>
                </c:pt>
                <c:pt idx="21">
                  <c:v>70.185668763791639</c:v>
                </c:pt>
                <c:pt idx="22">
                  <c:v>82.090704807766187</c:v>
                </c:pt>
                <c:pt idx="23">
                  <c:v>96.021126725317558</c:v>
                </c:pt>
                <c:pt idx="24">
                  <c:v>112.32246062318968</c:v>
                </c:pt>
                <c:pt idx="25">
                  <c:v>131.3993278733733</c:v>
                </c:pt>
                <c:pt idx="26">
                  <c:v>153.72557556350515</c:v>
                </c:pt>
                <c:pt idx="27">
                  <c:v>179.85614722464979</c:v>
                </c:pt>
                <c:pt idx="28">
                  <c:v>210.44099336343209</c:v>
                </c:pt>
                <c:pt idx="29">
                  <c:v>246.24137296717944</c:v>
                </c:pt>
                <c:pt idx="30">
                  <c:v>288.14895770978859</c:v>
                </c:pt>
                <c:pt idx="31">
                  <c:v>337.2082216044335</c:v>
                </c:pt>
                <c:pt idx="32">
                  <c:v>394.64268213589872</c:v>
                </c:pt>
                <c:pt idx="33">
                  <c:v>461.8856565824376</c:v>
                </c:pt>
                <c:pt idx="34">
                  <c:v>441.91508058441292</c:v>
                </c:pt>
                <c:pt idx="35">
                  <c:v>489.62711829337906</c:v>
                </c:pt>
                <c:pt idx="36">
                  <c:v>537.24052864422822</c:v>
                </c:pt>
                <c:pt idx="37">
                  <c:v>584.76526337686369</c:v>
                </c:pt>
                <c:pt idx="38">
                  <c:v>632.20952652492019</c:v>
                </c:pt>
                <c:pt idx="39">
                  <c:v>679.58019212351303</c:v>
                </c:pt>
                <c:pt idx="40">
                  <c:v>726.8830993442574</c:v>
                </c:pt>
                <c:pt idx="41">
                  <c:v>774.12326681716877</c:v>
                </c:pt>
                <c:pt idx="42">
                  <c:v>695.20969009010548</c:v>
                </c:pt>
                <c:pt idx="43">
                  <c:v>767.88890520349014</c:v>
                </c:pt>
                <c:pt idx="44">
                  <c:v>840.42864430986481</c:v>
                </c:pt>
                <c:pt idx="45">
                  <c:v>912.84260085892822</c:v>
                </c:pt>
                <c:pt idx="46">
                  <c:v>985.14212329299232</c:v>
                </c:pt>
                <c:pt idx="47">
                  <c:v>1057.3367625928436</c:v>
                </c:pt>
                <c:pt idx="48">
                  <c:v>1129.4346626016786</c:v>
                </c:pt>
                <c:pt idx="49">
                  <c:v>1201.4428456146488</c:v>
                </c:pt>
                <c:pt idx="50">
                  <c:v>1273.3674260457676</c:v>
                </c:pt>
                <c:pt idx="51">
                  <c:v>1345.2137733983743</c:v>
                </c:pt>
                <c:pt idx="52">
                  <c:v>1416.9866386817375</c:v>
                </c:pt>
                <c:pt idx="53">
                  <c:v>1488.6902539419589</c:v>
                </c:pt>
                <c:pt idx="54">
                  <c:v>1560.3284116675686</c:v>
                </c:pt>
                <c:pt idx="55">
                  <c:v>1631.9045288925888</c:v>
                </c:pt>
                <c:pt idx="56">
                  <c:v>1413.0202282612943</c:v>
                </c:pt>
                <c:pt idx="57">
                  <c:v>1514.3612446975994</c:v>
                </c:pt>
                <c:pt idx="58">
                  <c:v>1615.5739400221894</c:v>
                </c:pt>
                <c:pt idx="59">
                  <c:v>1716.6674494922681</c:v>
                </c:pt>
                <c:pt idx="60">
                  <c:v>1817.6497487349791</c:v>
                </c:pt>
                <c:pt idx="61">
                  <c:v>1918.5278583420811</c:v>
                </c:pt>
                <c:pt idx="62">
                  <c:v>2019.3080033193155</c:v>
                </c:pt>
                <c:pt idx="63">
                  <c:v>2119.9957391469156</c:v>
                </c:pt>
                <c:pt idx="64">
                  <c:v>2220.5960527237671</c:v>
                </c:pt>
                <c:pt idx="65">
                  <c:v>2321.1134441299137</c:v>
                </c:pt>
                <c:pt idx="66">
                  <c:v>2421.5519935392326</c:v>
                </c:pt>
                <c:pt idx="67">
                  <c:v>2521.9154164937718</c:v>
                </c:pt>
                <c:pt idx="68">
                  <c:v>2622.2071099544173</c:v>
                </c:pt>
                <c:pt idx="69">
                  <c:v>2722.4301909668766</c:v>
                </c:pt>
                <c:pt idx="70">
                  <c:v>2822.5875293599765</c:v>
                </c:pt>
                <c:pt idx="71">
                  <c:v>2367.8571000323668</c:v>
                </c:pt>
                <c:pt idx="72">
                  <c:v>2467.6966140759523</c:v>
                </c:pt>
                <c:pt idx="73">
                  <c:v>2567.4634240633409</c:v>
                </c:pt>
                <c:pt idx="74">
                  <c:v>2667.1607399178679</c:v>
                </c:pt>
                <c:pt idx="75">
                  <c:v>2766.7915130613824</c:v>
                </c:pt>
                <c:pt idx="76">
                  <c:v>2866.3584659507851</c:v>
                </c:pt>
                <c:pt idx="77">
                  <c:v>2965.864117313587</c:v>
                </c:pt>
                <c:pt idx="78">
                  <c:v>3065.3108038344562</c:v>
                </c:pt>
                <c:pt idx="79">
                  <c:v>3164.700698892746</c:v>
                </c:pt>
                <c:pt idx="80">
                  <c:v>3264.0358288335551</c:v>
                </c:pt>
                <c:pt idx="81">
                  <c:v>3363.3180871634413</c:v>
                </c:pt>
                <c:pt idx="82">
                  <c:v>3462.5492469899395</c:v>
                </c:pt>
                <c:pt idx="83">
                  <c:v>3561.7309719670861</c:v>
                </c:pt>
                <c:pt idx="84">
                  <c:v>2987.1820640695619</c:v>
                </c:pt>
                <c:pt idx="85">
                  <c:v>3112.727689414804</c:v>
                </c:pt>
                <c:pt idx="86">
                  <c:v>3238.1843246505887</c:v>
                </c:pt>
                <c:pt idx="87">
                  <c:v>3363.5558853703515</c:v>
                </c:pt>
                <c:pt idx="88">
                  <c:v>3488.8459728697067</c:v>
                </c:pt>
                <c:pt idx="89">
                  <c:v>3614.0579099449387</c:v>
                </c:pt>
                <c:pt idx="90">
                  <c:v>3739.1947714945759</c:v>
                </c:pt>
                <c:pt idx="91">
                  <c:v>3864.2594108299613</c:v>
                </c:pt>
                <c:pt idx="92">
                  <c:v>3989.254482418175</c:v>
                </c:pt>
                <c:pt idx="93">
                  <c:v>4114.182461639517</c:v>
                </c:pt>
                <c:pt idx="94">
                  <c:v>4239.0456620316627</c:v>
                </c:pt>
                <c:pt idx="95">
                  <c:v>4363.8462504060244</c:v>
                </c:pt>
                <c:pt idx="96">
                  <c:v>4488.5862601531853</c:v>
                </c:pt>
                <c:pt idx="97">
                  <c:v>4613.2676029994846</c:v>
                </c:pt>
                <c:pt idx="98">
                  <c:v>3829.2519634881155</c:v>
                </c:pt>
                <c:pt idx="99">
                  <c:v>3952.46342544155</c:v>
                </c:pt>
                <c:pt idx="100">
                  <c:v>4075.609026218599</c:v>
                </c:pt>
                <c:pt idx="101">
                  <c:v>4198.6910257431691</c:v>
                </c:pt>
                <c:pt idx="102">
                  <c:v>4321.711541296535</c:v>
                </c:pt>
                <c:pt idx="103">
                  <c:v>4444.6725603925652</c:v>
                </c:pt>
                <c:pt idx="104">
                  <c:v>4567.5759521609061</c:v>
                </c:pt>
                <c:pt idx="105">
                  <c:v>4690.4234774471852</c:v>
                </c:pt>
                <c:pt idx="106">
                  <c:v>4813.2167978051939</c:v>
                </c:pt>
                <c:pt idx="107">
                  <c:v>4935.9574835282046</c:v>
                </c:pt>
                <c:pt idx="108">
                  <c:v>5058.6470208438614</c:v>
                </c:pt>
                <c:pt idx="109">
                  <c:v>5181.286818378213</c:v>
                </c:pt>
                <c:pt idx="110">
                  <c:v>5303.8782129789797</c:v>
                </c:pt>
                <c:pt idx="111">
                  <c:v>5426.4224749751411</c:v>
                </c:pt>
                <c:pt idx="112">
                  <c:v>4518.359516921606</c:v>
                </c:pt>
                <c:pt idx="113">
                  <c:v>4677.7157201163882</c:v>
                </c:pt>
                <c:pt idx="114">
                  <c:v>4836.9804430743252</c:v>
                </c:pt>
                <c:pt idx="115">
                  <c:v>4996.1571049550321</c:v>
                </c:pt>
                <c:pt idx="116">
                  <c:v>5155.2488904632382</c:v>
                </c:pt>
                <c:pt idx="117">
                  <c:v>5314.2587727824694</c:v>
                </c:pt>
                <c:pt idx="118">
                  <c:v>5473.1895336353564</c:v>
                </c:pt>
                <c:pt idx="119">
                  <c:v>5632.0437809048499</c:v>
                </c:pt>
                <c:pt idx="120">
                  <c:v>5790.823964174454</c:v>
                </c:pt>
                <c:pt idx="121">
                  <c:v>5949.5323884844083</c:v>
                </c:pt>
                <c:pt idx="122">
                  <c:v>6108.171226551568</c:v>
                </c:pt>
                <c:pt idx="123">
                  <c:v>6266.7425296605606</c:v>
                </c:pt>
                <c:pt idx="124">
                  <c:v>6425.2482374012461</c:v>
                </c:pt>
                <c:pt idx="125">
                  <c:v>6583.6901864005531</c:v>
                </c:pt>
                <c:pt idx="126">
                  <c:v>5510.3437513802855</c:v>
                </c:pt>
                <c:pt idx="127">
                  <c:v>5732.4357184635192</c:v>
                </c:pt>
                <c:pt idx="128">
                  <c:v>5954.3857174981349</c:v>
                </c:pt>
                <c:pt idx="129">
                  <c:v>6176.1997520719187</c:v>
                </c:pt>
                <c:pt idx="130">
                  <c:v>6397.8833619488223</c:v>
                </c:pt>
                <c:pt idx="131">
                  <c:v>6619.4416739861199</c:v>
                </c:pt>
                <c:pt idx="132">
                  <c:v>6840.8794459183728</c:v>
                </c:pt>
                <c:pt idx="133">
                  <c:v>7062.2011042096246</c:v>
                </c:pt>
                <c:pt idx="134">
                  <c:v>7283.4107769409748</c:v>
                </c:pt>
                <c:pt idx="135">
                  <c:v>7504.5123225180478</c:v>
                </c:pt>
                <c:pt idx="136">
                  <c:v>7725.5093548389623</c:v>
                </c:pt>
                <c:pt idx="137">
                  <c:v>7946.4052654495872</c:v>
                </c:pt>
                <c:pt idx="138">
                  <c:v>8167.2032431216912</c:v>
                </c:pt>
                <c:pt idx="139">
                  <c:v>8387.9062912163572</c:v>
                </c:pt>
                <c:pt idx="140">
                  <c:v>8608.5172431358133</c:v>
                </c:pt>
                <c:pt idx="141">
                  <c:v>9.5416168669760364E-11</c:v>
                </c:pt>
                <c:pt idx="142">
                  <c:v>9.5416168669760364E-11</c:v>
                </c:pt>
                <c:pt idx="143">
                  <c:v>9.5416168669760364E-11</c:v>
                </c:pt>
                <c:pt idx="144">
                  <c:v>9.5416168669760364E-11</c:v>
                </c:pt>
                <c:pt idx="145">
                  <c:v>9.5416168669760364E-11</c:v>
                </c:pt>
                <c:pt idx="146">
                  <c:v>9.5416168669760364E-11</c:v>
                </c:pt>
                <c:pt idx="147">
                  <c:v>9.5416168669760364E-11</c:v>
                </c:pt>
                <c:pt idx="148">
                  <c:v>9.5416168669760364E-11</c:v>
                </c:pt>
                <c:pt idx="149">
                  <c:v>9.5416168669760364E-11</c:v>
                </c:pt>
                <c:pt idx="150">
                  <c:v>9.5416168669760364E-11</c:v>
                </c:pt>
                <c:pt idx="151">
                  <c:v>9.5416168669760364E-11</c:v>
                </c:pt>
                <c:pt idx="152">
                  <c:v>9.5416168669760364E-11</c:v>
                </c:pt>
                <c:pt idx="153">
                  <c:v>9.5416168669760364E-11</c:v>
                </c:pt>
                <c:pt idx="154">
                  <c:v>9.5416168669760364E-11</c:v>
                </c:pt>
                <c:pt idx="155">
                  <c:v>9.5416168669760364E-11</c:v>
                </c:pt>
                <c:pt idx="156">
                  <c:v>9.5416168669760364E-11</c:v>
                </c:pt>
                <c:pt idx="157">
                  <c:v>9.5416168669760364E-11</c:v>
                </c:pt>
                <c:pt idx="158">
                  <c:v>9.5416168669760364E-11</c:v>
                </c:pt>
                <c:pt idx="159">
                  <c:v>9.5416168669760364E-11</c:v>
                </c:pt>
                <c:pt idx="160">
                  <c:v>9.5416168669760364E-11</c:v>
                </c:pt>
                <c:pt idx="161">
                  <c:v>9.5416168669760364E-11</c:v>
                </c:pt>
                <c:pt idx="162">
                  <c:v>9.5416168669760364E-11</c:v>
                </c:pt>
                <c:pt idx="163">
                  <c:v>9.5416168669760364E-11</c:v>
                </c:pt>
                <c:pt idx="164">
                  <c:v>9.5416168669760364E-11</c:v>
                </c:pt>
                <c:pt idx="165">
                  <c:v>9.5416168669760364E-11</c:v>
                </c:pt>
                <c:pt idx="166">
                  <c:v>9.5416168669760364E-11</c:v>
                </c:pt>
                <c:pt idx="167">
                  <c:v>9.5416168669760364E-11</c:v>
                </c:pt>
                <c:pt idx="168">
                  <c:v>9.5416168669760364E-11</c:v>
                </c:pt>
                <c:pt idx="169">
                  <c:v>9.5416168669760364E-11</c:v>
                </c:pt>
                <c:pt idx="170">
                  <c:v>9.5416168669760364E-11</c:v>
                </c:pt>
                <c:pt idx="171">
                  <c:v>9.5416168669760364E-11</c:v>
                </c:pt>
                <c:pt idx="172">
                  <c:v>9.5416168669760364E-11</c:v>
                </c:pt>
                <c:pt idx="173">
                  <c:v>9.5416168669760364E-11</c:v>
                </c:pt>
                <c:pt idx="174">
                  <c:v>9.5416168669760364E-11</c:v>
                </c:pt>
                <c:pt idx="175">
                  <c:v>9.5416168669760364E-11</c:v>
                </c:pt>
                <c:pt idx="176">
                  <c:v>9.5416168669760364E-11</c:v>
                </c:pt>
                <c:pt idx="177">
                  <c:v>9.5416168669760364E-11</c:v>
                </c:pt>
                <c:pt idx="178">
                  <c:v>9.5416168669760364E-11</c:v>
                </c:pt>
                <c:pt idx="179">
                  <c:v>9.5416168669760364E-11</c:v>
                </c:pt>
                <c:pt idx="180">
                  <c:v>9.5416168669760364E-11</c:v>
                </c:pt>
                <c:pt idx="181">
                  <c:v>9.5416168669760364E-11</c:v>
                </c:pt>
                <c:pt idx="182">
                  <c:v>9.5416168669760364E-11</c:v>
                </c:pt>
                <c:pt idx="183">
                  <c:v>9.5416168669760364E-11</c:v>
                </c:pt>
                <c:pt idx="184">
                  <c:v>9.5416168669760364E-11</c:v>
                </c:pt>
                <c:pt idx="185">
                  <c:v>9.5416168669760364E-11</c:v>
                </c:pt>
                <c:pt idx="186">
                  <c:v>9.5416168669760364E-11</c:v>
                </c:pt>
                <c:pt idx="187">
                  <c:v>9.5416168669760364E-11</c:v>
                </c:pt>
                <c:pt idx="188">
                  <c:v>9.5416168669760364E-11</c:v>
                </c:pt>
                <c:pt idx="189">
                  <c:v>9.5416168669760364E-11</c:v>
                </c:pt>
                <c:pt idx="190">
                  <c:v>9.5416168669760364E-11</c:v>
                </c:pt>
                <c:pt idx="191">
                  <c:v>9.5416168669760364E-11</c:v>
                </c:pt>
                <c:pt idx="192">
                  <c:v>9.5416168669760364E-11</c:v>
                </c:pt>
                <c:pt idx="193">
                  <c:v>9.5416168669760364E-11</c:v>
                </c:pt>
                <c:pt idx="194">
                  <c:v>9.5416168669760364E-11</c:v>
                </c:pt>
                <c:pt idx="195">
                  <c:v>9.5416168669760364E-11</c:v>
                </c:pt>
                <c:pt idx="196">
                  <c:v>9.5416168669760364E-11</c:v>
                </c:pt>
                <c:pt idx="197">
                  <c:v>9.5416168669760364E-11</c:v>
                </c:pt>
                <c:pt idx="198">
                  <c:v>9.5416168669760364E-11</c:v>
                </c:pt>
                <c:pt idx="199">
                  <c:v>9.5416168669760364E-11</c:v>
                </c:pt>
                <c:pt idx="200">
                  <c:v>9.5416168669760364E-11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2.9668867857057251</c:v>
                </c:pt>
                <c:pt idx="2">
                  <c:v>3.465263701267435</c:v>
                </c:pt>
                <c:pt idx="3">
                  <c:v>4.047660816937662</c:v>
                </c:pt>
                <c:pt idx="4">
                  <c:v>4.7282911174874984</c:v>
                </c:pt>
                <c:pt idx="5">
                  <c:v>5.5237795233276579</c:v>
                </c:pt>
                <c:pt idx="6">
                  <c:v>6.4535734028890772</c:v>
                </c:pt>
                <c:pt idx="7">
                  <c:v>7.5404231447051338</c:v>
                </c:pt>
                <c:pt idx="8">
                  <c:v>8.8109447757626551</c:v>
                </c:pt>
                <c:pt idx="9">
                  <c:v>10.296278668162682</c:v>
                </c:pt>
                <c:pt idx="10">
                  <c:v>12.032860784812877</c:v>
                </c:pt>
                <c:pt idx="11">
                  <c:v>14.063325737569977</c:v>
                </c:pt>
                <c:pt idx="12">
                  <c:v>16.437564239257547</c:v>
                </c:pt>
                <c:pt idx="13">
                  <c:v>19.213961407894029</c:v>
                </c:pt>
                <c:pt idx="14">
                  <c:v>22.460846925293325</c:v>
                </c:pt>
                <c:pt idx="15">
                  <c:v>26.258193377873642</c:v>
                </c:pt>
                <c:pt idx="16">
                  <c:v>30.699605349795419</c:v>
                </c:pt>
                <c:pt idx="17">
                  <c:v>35.894649155478348</c:v>
                </c:pt>
                <c:pt idx="18">
                  <c:v>41.971581675439815</c:v>
                </c:pt>
                <c:pt idx="19">
                  <c:v>49.080546813579581</c:v>
                </c:pt>
                <c:pt idx="20">
                  <c:v>57.39731988037741</c:v>
                </c:pt>
                <c:pt idx="21">
                  <c:v>67.127694023876572</c:v>
                </c:pt>
                <c:pt idx="22">
                  <c:v>78.512619029356401</c:v>
                </c:pt>
                <c:pt idx="23">
                  <c:v>91.834221800406439</c:v>
                </c:pt>
                <c:pt idx="24">
                  <c:v>107.42286010093407</c:v>
                </c:pt>
                <c:pt idx="25">
                  <c:v>125.66538724508848</c:v>
                </c:pt>
                <c:pt idx="26">
                  <c:v>147.01483603359725</c:v>
                </c:pt>
                <c:pt idx="27">
                  <c:v>172.00176612879406</c:v>
                </c:pt>
                <c:pt idx="28">
                  <c:v>201.24756114947954</c:v>
                </c:pt>
                <c:pt idx="29">
                  <c:v>235.4800111215003</c:v>
                </c:pt>
                <c:pt idx="30">
                  <c:v>275.55157379663092</c:v>
                </c:pt>
                <c:pt idx="31">
                  <c:v>322.46077622453231</c:v>
                </c:pt>
                <c:pt idx="32">
                  <c:v>377.37729755885374</c:v>
                </c:pt>
                <c:pt idx="33">
                  <c:v>441.67136742687126</c:v>
                </c:pt>
                <c:pt idx="34">
                  <c:v>422.57668852174476</c:v>
                </c:pt>
                <c:pt idx="35">
                  <c:v>468.19597832476512</c:v>
                </c:pt>
                <c:pt idx="36">
                  <c:v>513.72055322248207</c:v>
                </c:pt>
                <c:pt idx="37">
                  <c:v>559.1599701788108</c:v>
                </c:pt>
                <c:pt idx="38">
                  <c:v>604.52210778123037</c:v>
                </c:pt>
                <c:pt idx="39">
                  <c:v>649.81356737846875</c:v>
                </c:pt>
                <c:pt idx="40">
                  <c:v>695.03995650779655</c:v>
                </c:pt>
                <c:pt idx="41">
                  <c:v>740.20609471498483</c:v>
                </c:pt>
                <c:pt idx="42">
                  <c:v>664.75698725210896</c:v>
                </c:pt>
                <c:pt idx="43">
                  <c:v>734.24546065355071</c:v>
                </c:pt>
                <c:pt idx="44">
                  <c:v>803.59999092756516</c:v>
                </c:pt>
                <c:pt idx="45">
                  <c:v>872.83372831782015</c:v>
                </c:pt>
                <c:pt idx="46">
                  <c:v>941.95757108479222</c:v>
                </c:pt>
                <c:pt idx="47">
                  <c:v>1010.98069133101</c:v>
                </c:pt>
                <c:pt idx="48">
                  <c:v>1079.9109098412112</c:v>
                </c:pt>
                <c:pt idx="49">
                  <c:v>1148.7549703428274</c:v>
                </c:pt>
                <c:pt idx="50">
                  <c:v>1217.5187446969246</c:v>
                </c:pt>
                <c:pt idx="51">
                  <c:v>1286.2073894037883</c:v>
                </c:pt>
                <c:pt idx="52">
                  <c:v>1354.8254670047011</c:v>
                </c:pt>
                <c:pt idx="53">
                  <c:v>1423.3770416645502</c:v>
                </c:pt>
                <c:pt idx="54">
                  <c:v>1491.8657554274785</c:v>
                </c:pt>
                <c:pt idx="55">
                  <c:v>1560.2948897770427</c:v>
                </c:pt>
                <c:pt idx="56">
                  <c:v>1351.0334086929581</c:v>
                </c:pt>
                <c:pt idx="57">
                  <c:v>1447.919484566856</c:v>
                </c:pt>
                <c:pt idx="58">
                  <c:v>1544.682329704611</c:v>
                </c:pt>
                <c:pt idx="59">
                  <c:v>1641.3307169765251</c:v>
                </c:pt>
                <c:pt idx="60">
                  <c:v>1737.872305624255</c:v>
                </c:pt>
                <c:pt idx="61">
                  <c:v>1834.3138377394091</c:v>
                </c:pt>
                <c:pt idx="62">
                  <c:v>1930.6612913877136</c:v>
                </c:pt>
                <c:pt idx="63">
                  <c:v>2026.9200016688246</c:v>
                </c:pt>
                <c:pt idx="64">
                  <c:v>2123.0947576561252</c:v>
                </c:pt>
                <c:pt idx="65">
                  <c:v>2219.1898809157947</c:v>
                </c:pt>
                <c:pt idx="66">
                  <c:v>2315.2092897651223</c:v>
                </c:pt>
                <c:pt idx="67">
                  <c:v>2411.1565523541612</c:v>
                </c:pt>
                <c:pt idx="68">
                  <c:v>2507.0349308896148</c:v>
                </c:pt>
                <c:pt idx="69">
                  <c:v>2602.8474187669713</c:v>
                </c:pt>
                <c:pt idx="70">
                  <c:v>2698.5967719716996</c:v>
                </c:pt>
                <c:pt idx="71">
                  <c:v>2263.876929830788</c:v>
                </c:pt>
                <c:pt idx="72">
                  <c:v>2359.3235084520124</c:v>
                </c:pt>
                <c:pt idx="73">
                  <c:v>2454.7002671173</c:v>
                </c:pt>
                <c:pt idx="74">
                  <c:v>2550.010288415403</c:v>
                </c:pt>
                <c:pt idx="75">
                  <c:v>2645.2564066880927</c:v>
                </c:pt>
                <c:pt idx="76">
                  <c:v>2740.4412363950128</c:v>
                </c:pt>
                <c:pt idx="77">
                  <c:v>2835.5671963481659</c:v>
                </c:pt>
                <c:pt idx="78">
                  <c:v>2930.6365305381792</c:v>
                </c:pt>
                <c:pt idx="79">
                  <c:v>3025.651326128529</c:v>
                </c:pt>
                <c:pt idx="80">
                  <c:v>3120.613529081144</c:v>
                </c:pt>
                <c:pt idx="81">
                  <c:v>3215.524957788994</c:v>
                </c:pt>
                <c:pt idx="82">
                  <c:v>3310.3873150221311</c:v>
                </c:pt>
                <c:pt idx="83">
                  <c:v>3405.2021984390353</c:v>
                </c:pt>
                <c:pt idx="84">
                  <c:v>2855.9468106805707</c:v>
                </c:pt>
                <c:pt idx="85">
                  <c:v>2975.9661759327846</c:v>
                </c:pt>
                <c:pt idx="86">
                  <c:v>3095.9000812279314</c:v>
                </c:pt>
                <c:pt idx="87">
                  <c:v>3215.7522868316096</c:v>
                </c:pt>
                <c:pt idx="88">
                  <c:v>3335.5262511794808</c:v>
                </c:pt>
                <c:pt idx="89">
                  <c:v>3455.2251652556897</c:v>
                </c:pt>
                <c:pt idx="90">
                  <c:v>3574.8519819804828</c:v>
                </c:pt>
                <c:pt idx="91">
                  <c:v>3694.4094414770771</c:v>
                </c:pt>
                <c:pt idx="92">
                  <c:v>3813.9000929123845</c:v>
                </c:pt>
                <c:pt idx="93">
                  <c:v>3933.326313470739</c:v>
                </c:pt>
                <c:pt idx="94">
                  <c:v>4052.6903249139982</c:v>
                </c:pt>
                <c:pt idx="95">
                  <c:v>4171.9942080982355</c:v>
                </c:pt>
                <c:pt idx="96">
                  <c:v>4291.2399157513819</c:v>
                </c:pt>
                <c:pt idx="97">
                  <c:v>4410.4292837634193</c:v>
                </c:pt>
                <c:pt idx="98">
                  <c:v>3660.9435665422202</c:v>
                </c:pt>
                <c:pt idx="99">
                  <c:v>3778.7292382075116</c:v>
                </c:pt>
                <c:pt idx="100">
                  <c:v>3896.4516613461929</c:v>
                </c:pt>
                <c:pt idx="101">
                  <c:v>4014.1130062331517</c:v>
                </c:pt>
                <c:pt idx="102">
                  <c:v>4131.7153061591443</c:v>
                </c:pt>
                <c:pt idx="103">
                  <c:v>4249.2604697952656</c:v>
                </c:pt>
                <c:pt idx="104">
                  <c:v>4366.7502921245805</c:v>
                </c:pt>
                <c:pt idx="105">
                  <c:v>4484.1864641416614</c:v>
                </c:pt>
                <c:pt idx="106">
                  <c:v>4601.5705814880466</c:v>
                </c:pt>
                <c:pt idx="107">
                  <c:v>4718.9041521649833</c:v>
                </c:pt>
                <c:pt idx="108">
                  <c:v>4836.1886034428835</c:v>
                </c:pt>
                <c:pt idx="109">
                  <c:v>4953.4252880689555</c:v>
                </c:pt>
                <c:pt idx="110">
                  <c:v>5070.6154898594496</c:v>
                </c:pt>
                <c:pt idx="111">
                  <c:v>5187.7604287506083</c:v>
                </c:pt>
                <c:pt idx="112">
                  <c:v>4319.7017405109182</c:v>
                </c:pt>
                <c:pt idx="113">
                  <c:v>4472.0384863560112</c:v>
                </c:pt>
                <c:pt idx="114">
                  <c:v>4624.2873808976165</c:v>
                </c:pt>
                <c:pt idx="115">
                  <c:v>4776.4517076605662</c:v>
                </c:pt>
                <c:pt idx="116">
                  <c:v>4928.5345250153996</c:v>
                </c:pt>
                <c:pt idx="117">
                  <c:v>5080.5386882023058</c:v>
                </c:pt>
                <c:pt idx="118">
                  <c:v>5232.4668685956403</c:v>
                </c:pt>
                <c:pt idx="119">
                  <c:v>5384.3215706261371</c:v>
                </c:pt>
                <c:pt idx="120">
                  <c:v>5536.1051467046664</c:v>
                </c:pt>
                <c:pt idx="121">
                  <c:v>5687.8198104327321</c:v>
                </c:pt>
                <c:pt idx="122">
                  <c:v>5839.4676483375924</c:v>
                </c:pt>
                <c:pt idx="123">
                  <c:v>5991.0506303313787</c:v>
                </c:pt>
                <c:pt idx="124">
                  <c:v>6142.5706190622805</c:v>
                </c:pt>
                <c:pt idx="125">
                  <c:v>6294.0293782999952</c:v>
                </c:pt>
                <c:pt idx="126">
                  <c:v>5267.9840013192616</c:v>
                </c:pt>
                <c:pt idx="127">
                  <c:v>5480.2898009447681</c:v>
                </c:pt>
                <c:pt idx="128">
                  <c:v>5692.459264258142</c:v>
                </c:pt>
                <c:pt idx="129">
                  <c:v>5904.4981566905954</c:v>
                </c:pt>
                <c:pt idx="130">
                  <c:v>6116.4117982489479</c:v>
                </c:pt>
                <c:pt idx="131">
                  <c:v>6328.2051124129612</c:v>
                </c:pt>
                <c:pt idx="132">
                  <c:v>6539.8826681824221</c:v>
                </c:pt>
                <c:pt idx="133">
                  <c:v>6751.4487164277825</c:v>
                </c:pt>
                <c:pt idx="134">
                  <c:v>6962.9072214731286</c:v>
                </c:pt>
                <c:pt idx="135">
                  <c:v>7174.2618886648197</c:v>
                </c:pt>
                <c:pt idx="136">
                  <c:v>7385.5161885411026</c:v>
                </c:pt>
                <c:pt idx="137">
                  <c:v>7596.6733781084731</c:v>
                </c:pt>
                <c:pt idx="138">
                  <c:v>7807.7365196431738</c:v>
                </c:pt>
                <c:pt idx="139">
                  <c:v>8018.708497365832</c:v>
                </c:pt>
                <c:pt idx="140">
                  <c:v>8229.5920322803267</c:v>
                </c:pt>
                <c:pt idx="141">
                  <c:v>9.1584595655298897E-11</c:v>
                </c:pt>
                <c:pt idx="142">
                  <c:v>9.1584595655298897E-11</c:v>
                </c:pt>
                <c:pt idx="143">
                  <c:v>9.1584595655298897E-11</c:v>
                </c:pt>
                <c:pt idx="144">
                  <c:v>9.1584595655298897E-11</c:v>
                </c:pt>
                <c:pt idx="145">
                  <c:v>9.1584595655298897E-11</c:v>
                </c:pt>
                <c:pt idx="146">
                  <c:v>9.1584595655298897E-11</c:v>
                </c:pt>
                <c:pt idx="147">
                  <c:v>9.1584595655298897E-11</c:v>
                </c:pt>
                <c:pt idx="148">
                  <c:v>9.1584595655298897E-11</c:v>
                </c:pt>
                <c:pt idx="149">
                  <c:v>9.1584595655298897E-11</c:v>
                </c:pt>
                <c:pt idx="150">
                  <c:v>9.1584595655298897E-11</c:v>
                </c:pt>
                <c:pt idx="151">
                  <c:v>9.1584595655298897E-11</c:v>
                </c:pt>
                <c:pt idx="152">
                  <c:v>9.1584595655298897E-11</c:v>
                </c:pt>
                <c:pt idx="153">
                  <c:v>9.1584595655298897E-11</c:v>
                </c:pt>
                <c:pt idx="154">
                  <c:v>9.1584595655298897E-11</c:v>
                </c:pt>
                <c:pt idx="155">
                  <c:v>9.1584595655298897E-11</c:v>
                </c:pt>
                <c:pt idx="156">
                  <c:v>9.1584595655298897E-11</c:v>
                </c:pt>
                <c:pt idx="157">
                  <c:v>9.1584595655298897E-11</c:v>
                </c:pt>
                <c:pt idx="158">
                  <c:v>9.1584595655298897E-11</c:v>
                </c:pt>
                <c:pt idx="159">
                  <c:v>9.1584595655298897E-11</c:v>
                </c:pt>
                <c:pt idx="160">
                  <c:v>9.1584595655298897E-11</c:v>
                </c:pt>
                <c:pt idx="161">
                  <c:v>9.1584595655298897E-11</c:v>
                </c:pt>
                <c:pt idx="162">
                  <c:v>9.1584595655298897E-11</c:v>
                </c:pt>
                <c:pt idx="163">
                  <c:v>9.1584595655298897E-11</c:v>
                </c:pt>
                <c:pt idx="164">
                  <c:v>9.1584595655298897E-11</c:v>
                </c:pt>
                <c:pt idx="165">
                  <c:v>9.1584595655298897E-11</c:v>
                </c:pt>
                <c:pt idx="166">
                  <c:v>9.1584595655298897E-11</c:v>
                </c:pt>
                <c:pt idx="167">
                  <c:v>9.1584595655298897E-11</c:v>
                </c:pt>
                <c:pt idx="168">
                  <c:v>9.1584595655298897E-11</c:v>
                </c:pt>
                <c:pt idx="169">
                  <c:v>9.1584595655298897E-11</c:v>
                </c:pt>
                <c:pt idx="170">
                  <c:v>9.1584595655298897E-11</c:v>
                </c:pt>
                <c:pt idx="171">
                  <c:v>9.1584595655298897E-11</c:v>
                </c:pt>
                <c:pt idx="172">
                  <c:v>9.1584595655298897E-11</c:v>
                </c:pt>
                <c:pt idx="173">
                  <c:v>9.1584595655298897E-11</c:v>
                </c:pt>
                <c:pt idx="174">
                  <c:v>9.1584595655298897E-11</c:v>
                </c:pt>
                <c:pt idx="175">
                  <c:v>9.1584595655298897E-11</c:v>
                </c:pt>
                <c:pt idx="176">
                  <c:v>9.1584595655298897E-11</c:v>
                </c:pt>
                <c:pt idx="177">
                  <c:v>9.1584595655298897E-11</c:v>
                </c:pt>
                <c:pt idx="178">
                  <c:v>9.1584595655298897E-11</c:v>
                </c:pt>
                <c:pt idx="179">
                  <c:v>9.1584595655298897E-11</c:v>
                </c:pt>
                <c:pt idx="180">
                  <c:v>9.1584595655298897E-11</c:v>
                </c:pt>
                <c:pt idx="181">
                  <c:v>9.1584595655298897E-11</c:v>
                </c:pt>
                <c:pt idx="182">
                  <c:v>9.1584595655298897E-11</c:v>
                </c:pt>
                <c:pt idx="183">
                  <c:v>9.1584595655298897E-11</c:v>
                </c:pt>
                <c:pt idx="184">
                  <c:v>9.1584595655298897E-11</c:v>
                </c:pt>
                <c:pt idx="185">
                  <c:v>9.1584595655298897E-11</c:v>
                </c:pt>
                <c:pt idx="186">
                  <c:v>9.1584595655298897E-11</c:v>
                </c:pt>
                <c:pt idx="187">
                  <c:v>9.1584595655298897E-11</c:v>
                </c:pt>
                <c:pt idx="188">
                  <c:v>9.1584595655298897E-11</c:v>
                </c:pt>
                <c:pt idx="189">
                  <c:v>9.1584595655298897E-11</c:v>
                </c:pt>
                <c:pt idx="190">
                  <c:v>9.1584595655298897E-11</c:v>
                </c:pt>
                <c:pt idx="191">
                  <c:v>9.1584595655298897E-11</c:v>
                </c:pt>
                <c:pt idx="192">
                  <c:v>9.1584595655298897E-11</c:v>
                </c:pt>
                <c:pt idx="193">
                  <c:v>9.1584595655298897E-11</c:v>
                </c:pt>
                <c:pt idx="194">
                  <c:v>9.1584595655298897E-11</c:v>
                </c:pt>
                <c:pt idx="195">
                  <c:v>9.1584595655298897E-11</c:v>
                </c:pt>
                <c:pt idx="196">
                  <c:v>9.1584595655298897E-11</c:v>
                </c:pt>
                <c:pt idx="197">
                  <c:v>9.1584595655298897E-11</c:v>
                </c:pt>
                <c:pt idx="198">
                  <c:v>9.1584595655298897E-11</c:v>
                </c:pt>
                <c:pt idx="199">
                  <c:v>9.1584595655298897E-11</c:v>
                </c:pt>
                <c:pt idx="200">
                  <c:v>9.1584595655298897E-11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2.6300485132099567</c:v>
                </c:pt>
                <c:pt idx="2">
                  <c:v>3.0968234939218644</c:v>
                </c:pt>
                <c:pt idx="3">
                  <c:v>3.6467445958552553</c:v>
                </c:pt>
                <c:pt idx="4">
                  <c:v>4.294673687525294</c:v>
                </c:pt>
                <c:pt idx="5">
                  <c:v>5.0581376794044832</c:v>
                </c:pt>
                <c:pt idx="6">
                  <c:v>5.957807853371011</c:v>
                </c:pt>
                <c:pt idx="7">
                  <c:v>7.018065641903398</c:v>
                </c:pt>
                <c:pt idx="8">
                  <c:v>8.2676704883029952</c:v>
                </c:pt>
                <c:pt idx="9">
                  <c:v>9.7405482521265245</c:v>
                </c:pt>
                <c:pt idx="10">
                  <c:v>11.476721971408219</c:v>
                </c:pt>
                <c:pt idx="11">
                  <c:v>13.523410748763725</c:v>
                </c:pt>
                <c:pt idx="12">
                  <c:v>15.936327202778742</c:v>
                </c:pt>
                <c:pt idx="13">
                  <c:v>18.781209450056441</c:v>
                </c:pt>
                <c:pt idx="14">
                  <c:v>22.135630111655843</c:v>
                </c:pt>
                <c:pt idx="15">
                  <c:v>26.091132553347112</c:v>
                </c:pt>
                <c:pt idx="16">
                  <c:v>30.755753688466495</c:v>
                </c:pt>
                <c:pt idx="17">
                  <c:v>36.257003450976811</c:v>
                </c:pt>
                <c:pt idx="18">
                  <c:v>42.745383787123352</c:v>
                </c:pt>
                <c:pt idx="19">
                  <c:v>50.398545074537758</c:v>
                </c:pt>
                <c:pt idx="20">
                  <c:v>59.426195680825884</c:v>
                </c:pt>
                <c:pt idx="21">
                  <c:v>70.075901419881774</c:v>
                </c:pt>
                <c:pt idx="22">
                  <c:v>82.639936545101719</c:v>
                </c:pt>
                <c:pt idx="23">
                  <c:v>97.463377334141867</c:v>
                </c:pt>
                <c:pt idx="24">
                  <c:v>114.95366409757962</c:v>
                </c:pt>
                <c:pt idx="25">
                  <c:v>135.5918985628027</c:v>
                </c:pt>
                <c:pt idx="26">
                  <c:v>159.94619220265679</c:v>
                </c:pt>
                <c:pt idx="27">
                  <c:v>188.68743856556137</c:v>
                </c:pt>
                <c:pt idx="28">
                  <c:v>222.60795064022145</c:v>
                </c:pt>
                <c:pt idx="29">
                  <c:v>262.64348467034927</c:v>
                </c:pt>
                <c:pt idx="30">
                  <c:v>309.89926689029511</c:v>
                </c:pt>
                <c:pt idx="31">
                  <c:v>365.68075206336016</c:v>
                </c:pt>
                <c:pt idx="32">
                  <c:v>431.52997564399101</c:v>
                </c:pt>
                <c:pt idx="33">
                  <c:v>509.26851860696644</c:v>
                </c:pt>
                <c:pt idx="34">
                  <c:v>480.83105496120197</c:v>
                </c:pt>
                <c:pt idx="35">
                  <c:v>527.07444210799133</c:v>
                </c:pt>
                <c:pt idx="36">
                  <c:v>573.2324078018105</c:v>
                </c:pt>
                <c:pt idx="37">
                  <c:v>619.31278254622805</c:v>
                </c:pt>
                <c:pt idx="38">
                  <c:v>665.3221381771915</c:v>
                </c:pt>
                <c:pt idx="39">
                  <c:v>711.2660649622236</c:v>
                </c:pt>
                <c:pt idx="40">
                  <c:v>757.14937338577499</c:v>
                </c:pt>
                <c:pt idx="41">
                  <c:v>802.97624450176988</c:v>
                </c:pt>
                <c:pt idx="42">
                  <c:v>710.42764930382793</c:v>
                </c:pt>
                <c:pt idx="43">
                  <c:v>775.1825526695535</c:v>
                </c:pt>
                <c:pt idx="44">
                  <c:v>839.82790098116766</c:v>
                </c:pt>
                <c:pt idx="45">
                  <c:v>904.37328726952819</c:v>
                </c:pt>
                <c:pt idx="46">
                  <c:v>968.82682673586169</c:v>
                </c:pt>
                <c:pt idx="47">
                  <c:v>1033.1954694656197</c:v>
                </c:pt>
                <c:pt idx="48">
                  <c:v>1097.4852312433702</c:v>
                </c:pt>
                <c:pt idx="49">
                  <c:v>1161.7013675478067</c:v>
                </c:pt>
                <c:pt idx="50">
                  <c:v>1225.8485071393752</c:v>
                </c:pt>
                <c:pt idx="51">
                  <c:v>1289.9307562861397</c:v>
                </c:pt>
                <c:pt idx="52">
                  <c:v>1353.9517812456631</c:v>
                </c:pt>
                <c:pt idx="53">
                  <c:v>1417.9148743712049</c:v>
                </c:pt>
                <c:pt idx="54">
                  <c:v>1481.8230076985626</c:v>
                </c:pt>
                <c:pt idx="55">
                  <c:v>1545.6788768317263</c:v>
                </c:pt>
                <c:pt idx="56">
                  <c:v>1334.927886313317</c:v>
                </c:pt>
                <c:pt idx="57">
                  <c:v>1427.4633538259257</c:v>
                </c:pt>
                <c:pt idx="58">
                  <c:v>1519.8846348796378</c:v>
                </c:pt>
                <c:pt idx="59">
                  <c:v>1612.1996210270802</c:v>
                </c:pt>
                <c:pt idx="60">
                  <c:v>1704.4152296522122</c:v>
                </c:pt>
                <c:pt idx="61">
                  <c:v>1796.5375713674869</c:v>
                </c:pt>
                <c:pt idx="62">
                  <c:v>1888.5720813861435</c:v>
                </c:pt>
                <c:pt idx="63">
                  <c:v>1980.5236240305658</c:v>
                </c:pt>
                <c:pt idx="64">
                  <c:v>2072.3965768836924</c:v>
                </c:pt>
                <c:pt idx="65">
                  <c:v>2164.1948992908606</c:v>
                </c:pt>
                <c:pt idx="66">
                  <c:v>2255.9221886740943</c:v>
                </c:pt>
                <c:pt idx="67">
                  <c:v>2347.5817272429899</c:v>
                </c:pt>
                <c:pt idx="68">
                  <c:v>2439.1765210572357</c:v>
                </c:pt>
                <c:pt idx="69">
                  <c:v>2530.7093329381346</c:v>
                </c:pt>
                <c:pt idx="70">
                  <c:v>2622.1827103888813</c:v>
                </c:pt>
                <c:pt idx="71">
                  <c:v>2225.0632126577543</c:v>
                </c:pt>
                <c:pt idx="72">
                  <c:v>2343.0255645765501</c:v>
                </c:pt>
                <c:pt idx="73">
                  <c:v>2460.8804521606489</c:v>
                </c:pt>
                <c:pt idx="74">
                  <c:v>2578.6337214800201</c:v>
                </c:pt>
                <c:pt idx="75">
                  <c:v>2696.2906435278132</c:v>
                </c:pt>
                <c:pt idx="76">
                  <c:v>2813.8559938448652</c:v>
                </c:pt>
                <c:pt idx="77">
                  <c:v>2931.3341181973442</c:v>
                </c:pt>
                <c:pt idx="78">
                  <c:v>3048.728987220738</c:v>
                </c:pt>
                <c:pt idx="79">
                  <c:v>3166.0442422442975</c:v>
                </c:pt>
                <c:pt idx="80">
                  <c:v>3283.2832339988386</c:v>
                </c:pt>
                <c:pt idx="81">
                  <c:v>2.1622134899554243E-11</c:v>
                </c:pt>
                <c:pt idx="82">
                  <c:v>2.1622134899554243E-11</c:v>
                </c:pt>
                <c:pt idx="83">
                  <c:v>2.1622134899554243E-11</c:v>
                </c:pt>
                <c:pt idx="84">
                  <c:v>2.1622134899554243E-11</c:v>
                </c:pt>
                <c:pt idx="85">
                  <c:v>2.1622134899554243E-11</c:v>
                </c:pt>
                <c:pt idx="86">
                  <c:v>2.1622134899554243E-11</c:v>
                </c:pt>
                <c:pt idx="87">
                  <c:v>2.1622134899554243E-11</c:v>
                </c:pt>
                <c:pt idx="88">
                  <c:v>2.1622134899554243E-11</c:v>
                </c:pt>
                <c:pt idx="89">
                  <c:v>2.1622134899554243E-11</c:v>
                </c:pt>
                <c:pt idx="90">
                  <c:v>2.1622134899554243E-11</c:v>
                </c:pt>
                <c:pt idx="91">
                  <c:v>2.1622134899554243E-11</c:v>
                </c:pt>
                <c:pt idx="92">
                  <c:v>2.1622134899554243E-11</c:v>
                </c:pt>
                <c:pt idx="93">
                  <c:v>2.1622134899554243E-11</c:v>
                </c:pt>
                <c:pt idx="94">
                  <c:v>2.1622134899554243E-11</c:v>
                </c:pt>
                <c:pt idx="95">
                  <c:v>2.1622134899554243E-11</c:v>
                </c:pt>
                <c:pt idx="96">
                  <c:v>2.1622134899554243E-11</c:v>
                </c:pt>
                <c:pt idx="97">
                  <c:v>2.1622134899554243E-11</c:v>
                </c:pt>
                <c:pt idx="98">
                  <c:v>2.1622134899554243E-11</c:v>
                </c:pt>
                <c:pt idx="99">
                  <c:v>2.1622134899554243E-11</c:v>
                </c:pt>
                <c:pt idx="100">
                  <c:v>2.1622134899554243E-11</c:v>
                </c:pt>
                <c:pt idx="101">
                  <c:v>2.1622134899554243E-11</c:v>
                </c:pt>
                <c:pt idx="102">
                  <c:v>2.1622134899554243E-11</c:v>
                </c:pt>
                <c:pt idx="103">
                  <c:v>2.1622134899554243E-11</c:v>
                </c:pt>
                <c:pt idx="104">
                  <c:v>2.1622134899554243E-11</c:v>
                </c:pt>
                <c:pt idx="105">
                  <c:v>2.1622134899554243E-11</c:v>
                </c:pt>
                <c:pt idx="106">
                  <c:v>2.1622134899554243E-11</c:v>
                </c:pt>
                <c:pt idx="107">
                  <c:v>2.1622134899554243E-11</c:v>
                </c:pt>
                <c:pt idx="108">
                  <c:v>2.1622134899554243E-11</c:v>
                </c:pt>
                <c:pt idx="109">
                  <c:v>2.1622134899554243E-11</c:v>
                </c:pt>
                <c:pt idx="110">
                  <c:v>2.1622134899554243E-11</c:v>
                </c:pt>
                <c:pt idx="111">
                  <c:v>2.1622134899554243E-11</c:v>
                </c:pt>
                <c:pt idx="112">
                  <c:v>2.1622134899554243E-11</c:v>
                </c:pt>
                <c:pt idx="113">
                  <c:v>2.1622134899554243E-11</c:v>
                </c:pt>
                <c:pt idx="114">
                  <c:v>2.1622134899554243E-11</c:v>
                </c:pt>
                <c:pt idx="115">
                  <c:v>2.1622134899554243E-11</c:v>
                </c:pt>
                <c:pt idx="116">
                  <c:v>2.1622134899554243E-11</c:v>
                </c:pt>
                <c:pt idx="117">
                  <c:v>2.1622134899554243E-11</c:v>
                </c:pt>
                <c:pt idx="118">
                  <c:v>2.1622134899554243E-11</c:v>
                </c:pt>
                <c:pt idx="119">
                  <c:v>2.1622134899554243E-11</c:v>
                </c:pt>
                <c:pt idx="120">
                  <c:v>2.1622134899554243E-11</c:v>
                </c:pt>
                <c:pt idx="121">
                  <c:v>2.1622134899554243E-11</c:v>
                </c:pt>
                <c:pt idx="122">
                  <c:v>2.1622134899554243E-11</c:v>
                </c:pt>
                <c:pt idx="123">
                  <c:v>2.1622134899554243E-11</c:v>
                </c:pt>
                <c:pt idx="124">
                  <c:v>2.1622134899554243E-11</c:v>
                </c:pt>
                <c:pt idx="125">
                  <c:v>2.1622134899554243E-11</c:v>
                </c:pt>
                <c:pt idx="126">
                  <c:v>2.1622134899554243E-11</c:v>
                </c:pt>
                <c:pt idx="127">
                  <c:v>2.1622134899554243E-11</c:v>
                </c:pt>
                <c:pt idx="128">
                  <c:v>2.1622134899554243E-11</c:v>
                </c:pt>
                <c:pt idx="129">
                  <c:v>2.1622134899554243E-11</c:v>
                </c:pt>
                <c:pt idx="130">
                  <c:v>2.1622134899554243E-11</c:v>
                </c:pt>
                <c:pt idx="131">
                  <c:v>2.1622134899554243E-11</c:v>
                </c:pt>
                <c:pt idx="132">
                  <c:v>2.1622134899554243E-11</c:v>
                </c:pt>
                <c:pt idx="133">
                  <c:v>2.1622134899554243E-11</c:v>
                </c:pt>
                <c:pt idx="134">
                  <c:v>2.1622134899554243E-11</c:v>
                </c:pt>
                <c:pt idx="135">
                  <c:v>2.1622134899554243E-11</c:v>
                </c:pt>
                <c:pt idx="136">
                  <c:v>2.1622134899554243E-11</c:v>
                </c:pt>
                <c:pt idx="137">
                  <c:v>2.1622134899554243E-11</c:v>
                </c:pt>
                <c:pt idx="138">
                  <c:v>2.1622134899554243E-11</c:v>
                </c:pt>
                <c:pt idx="139">
                  <c:v>2.1622134899554243E-11</c:v>
                </c:pt>
                <c:pt idx="140">
                  <c:v>2.1622134899554243E-11</c:v>
                </c:pt>
                <c:pt idx="141">
                  <c:v>2.1622134899554243E-11</c:v>
                </c:pt>
                <c:pt idx="142">
                  <c:v>2.1622134899554243E-11</c:v>
                </c:pt>
                <c:pt idx="143">
                  <c:v>2.1622134899554243E-11</c:v>
                </c:pt>
                <c:pt idx="144">
                  <c:v>2.1622134899554243E-11</c:v>
                </c:pt>
                <c:pt idx="145">
                  <c:v>2.1622134899554243E-11</c:v>
                </c:pt>
                <c:pt idx="146">
                  <c:v>2.1622134899554243E-11</c:v>
                </c:pt>
                <c:pt idx="147">
                  <c:v>2.1622134899554243E-11</c:v>
                </c:pt>
                <c:pt idx="148">
                  <c:v>2.1622134899554243E-11</c:v>
                </c:pt>
                <c:pt idx="149">
                  <c:v>2.1622134899554243E-11</c:v>
                </c:pt>
                <c:pt idx="150">
                  <c:v>2.1622134899554243E-11</c:v>
                </c:pt>
                <c:pt idx="151">
                  <c:v>2.1622134899554243E-11</c:v>
                </c:pt>
                <c:pt idx="152">
                  <c:v>2.1622134899554243E-11</c:v>
                </c:pt>
                <c:pt idx="153">
                  <c:v>2.1622134899554243E-11</c:v>
                </c:pt>
                <c:pt idx="154">
                  <c:v>2.1622134899554243E-11</c:v>
                </c:pt>
                <c:pt idx="155">
                  <c:v>2.1622134899554243E-11</c:v>
                </c:pt>
                <c:pt idx="156">
                  <c:v>2.1622134899554243E-11</c:v>
                </c:pt>
                <c:pt idx="157">
                  <c:v>2.1622134899554243E-11</c:v>
                </c:pt>
                <c:pt idx="158">
                  <c:v>2.1622134899554243E-11</c:v>
                </c:pt>
                <c:pt idx="159">
                  <c:v>2.1622134899554243E-11</c:v>
                </c:pt>
                <c:pt idx="160">
                  <c:v>2.1622134899554243E-11</c:v>
                </c:pt>
                <c:pt idx="161">
                  <c:v>2.1622134899554243E-11</c:v>
                </c:pt>
                <c:pt idx="162">
                  <c:v>2.1622134899554243E-11</c:v>
                </c:pt>
                <c:pt idx="163">
                  <c:v>2.1622134899554243E-11</c:v>
                </c:pt>
                <c:pt idx="164">
                  <c:v>2.1622134899554243E-11</c:v>
                </c:pt>
                <c:pt idx="165">
                  <c:v>2.1622134899554243E-11</c:v>
                </c:pt>
                <c:pt idx="166">
                  <c:v>2.1622134899554243E-11</c:v>
                </c:pt>
                <c:pt idx="167">
                  <c:v>2.1622134899554243E-11</c:v>
                </c:pt>
                <c:pt idx="168">
                  <c:v>2.1622134899554243E-11</c:v>
                </c:pt>
                <c:pt idx="169">
                  <c:v>2.1622134899554243E-11</c:v>
                </c:pt>
                <c:pt idx="170">
                  <c:v>2.1622134899554243E-11</c:v>
                </c:pt>
                <c:pt idx="171">
                  <c:v>2.1622134899554243E-11</c:v>
                </c:pt>
                <c:pt idx="172">
                  <c:v>2.1622134899554243E-11</c:v>
                </c:pt>
                <c:pt idx="173">
                  <c:v>2.1622134899554243E-11</c:v>
                </c:pt>
                <c:pt idx="174">
                  <c:v>2.1622134899554243E-11</c:v>
                </c:pt>
                <c:pt idx="175">
                  <c:v>2.1622134899554243E-11</c:v>
                </c:pt>
                <c:pt idx="176">
                  <c:v>2.1622134899554243E-11</c:v>
                </c:pt>
                <c:pt idx="177">
                  <c:v>2.1622134899554243E-11</c:v>
                </c:pt>
                <c:pt idx="178">
                  <c:v>2.1622134899554243E-11</c:v>
                </c:pt>
                <c:pt idx="179">
                  <c:v>2.1622134899554243E-11</c:v>
                </c:pt>
                <c:pt idx="180">
                  <c:v>2.1622134899554243E-11</c:v>
                </c:pt>
                <c:pt idx="181">
                  <c:v>2.1622134899554243E-11</c:v>
                </c:pt>
                <c:pt idx="182">
                  <c:v>2.1622134899554243E-11</c:v>
                </c:pt>
                <c:pt idx="183">
                  <c:v>2.1622134899554243E-11</c:v>
                </c:pt>
                <c:pt idx="184">
                  <c:v>2.1622134899554243E-11</c:v>
                </c:pt>
                <c:pt idx="185">
                  <c:v>2.1622134899554243E-11</c:v>
                </c:pt>
                <c:pt idx="186">
                  <c:v>2.1622134899554243E-11</c:v>
                </c:pt>
                <c:pt idx="187">
                  <c:v>2.1622134899554243E-11</c:v>
                </c:pt>
                <c:pt idx="188">
                  <c:v>2.1622134899554243E-11</c:v>
                </c:pt>
                <c:pt idx="189">
                  <c:v>2.1622134899554243E-11</c:v>
                </c:pt>
                <c:pt idx="190">
                  <c:v>2.1622134899554243E-11</c:v>
                </c:pt>
                <c:pt idx="191">
                  <c:v>2.1622134899554243E-11</c:v>
                </c:pt>
                <c:pt idx="192">
                  <c:v>2.1622134899554243E-11</c:v>
                </c:pt>
                <c:pt idx="193">
                  <c:v>2.1622134899554243E-11</c:v>
                </c:pt>
                <c:pt idx="194">
                  <c:v>2.1622134899554243E-11</c:v>
                </c:pt>
                <c:pt idx="195">
                  <c:v>2.1622134899554243E-11</c:v>
                </c:pt>
                <c:pt idx="196">
                  <c:v>2.1622134899554243E-11</c:v>
                </c:pt>
                <c:pt idx="197">
                  <c:v>2.1622134899554243E-11</c:v>
                </c:pt>
                <c:pt idx="198">
                  <c:v>2.1622134899554243E-11</c:v>
                </c:pt>
                <c:pt idx="199">
                  <c:v>2.1622134899554243E-11</c:v>
                </c:pt>
                <c:pt idx="200">
                  <c:v>2.1622134899554243E-11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1.8131634587587111</c:v>
                </c:pt>
                <c:pt idx="2">
                  <c:v>2.2618831766818364</c:v>
                </c:pt>
                <c:pt idx="3">
                  <c:v>2.8220895264257346</c:v>
                </c:pt>
                <c:pt idx="4">
                  <c:v>3.521584765104345</c:v>
                </c:pt>
                <c:pt idx="5">
                  <c:v>4.3951284662450663</c:v>
                </c:pt>
                <c:pt idx="6">
                  <c:v>5.4861841456399025</c:v>
                </c:pt>
                <c:pt idx="7">
                  <c:v>6.8491056777300505</c:v>
                </c:pt>
                <c:pt idx="8">
                  <c:v>8.5518745407679955</c:v>
                </c:pt>
                <c:pt idx="9">
                  <c:v>10.679527033503703</c:v>
                </c:pt>
                <c:pt idx="10">
                  <c:v>13.33844584009406</c:v>
                </c:pt>
                <c:pt idx="11">
                  <c:v>16.661734495588991</c:v>
                </c:pt>
                <c:pt idx="12">
                  <c:v>20.815948695458001</c:v>
                </c:pt>
                <c:pt idx="13">
                  <c:v>26.009527852163121</c:v>
                </c:pt>
                <c:pt idx="14">
                  <c:v>32.503357409742236</c:v>
                </c:pt>
                <c:pt idx="15">
                  <c:v>40.624001676287129</c:v>
                </c:pt>
                <c:pt idx="16">
                  <c:v>50.780283962161519</c:v>
                </c:pt>
                <c:pt idx="17">
                  <c:v>63.484062694956087</c:v>
                </c:pt>
                <c:pt idx="18">
                  <c:v>79.37626780207404</c:v>
                </c:pt>
                <c:pt idx="19">
                  <c:v>99.259532156734963</c:v>
                </c:pt>
                <c:pt idx="20">
                  <c:v>124.139092267338</c:v>
                </c:pt>
                <c:pt idx="21">
                  <c:v>155.27405822134617</c:v>
                </c:pt>
                <c:pt idx="22">
                  <c:v>194.24168722826809</c:v>
                </c:pt>
                <c:pt idx="23">
                  <c:v>243.01796563205082</c:v>
                </c:pt>
                <c:pt idx="24">
                  <c:v>304.07864574796713</c:v>
                </c:pt>
                <c:pt idx="25">
                  <c:v>380.52593997693936</c:v>
                </c:pt>
                <c:pt idx="26">
                  <c:v>364.94663621695008</c:v>
                </c:pt>
                <c:pt idx="27">
                  <c:v>405.10310610657712</c:v>
                </c:pt>
                <c:pt idx="28">
                  <c:v>445.17352065790874</c:v>
                </c:pt>
                <c:pt idx="29">
                  <c:v>485.16670226848117</c:v>
                </c:pt>
                <c:pt idx="30">
                  <c:v>525.08990116269297</c:v>
                </c:pt>
                <c:pt idx="31">
                  <c:v>564.94917625610822</c:v>
                </c:pt>
                <c:pt idx="32">
                  <c:v>604.74966284602442</c:v>
                </c:pt>
                <c:pt idx="33">
                  <c:v>644.4957661408464</c:v>
                </c:pt>
                <c:pt idx="34">
                  <c:v>575.95973580119653</c:v>
                </c:pt>
                <c:pt idx="35">
                  <c:v>602.06658285816218</c:v>
                </c:pt>
                <c:pt idx="36">
                  <c:v>628.14991658228689</c:v>
                </c:pt>
                <c:pt idx="37">
                  <c:v>654.21084939411651</c:v>
                </c:pt>
                <c:pt idx="38">
                  <c:v>680.25039797508259</c:v>
                </c:pt>
                <c:pt idx="39">
                  <c:v>706.26949492910592</c:v>
                </c:pt>
                <c:pt idx="40">
                  <c:v>732.26899863812253</c:v>
                </c:pt>
                <c:pt idx="41">
                  <c:v>758.24970164665831</c:v>
                </c:pt>
                <c:pt idx="42">
                  <c:v>631.51618627578603</c:v>
                </c:pt>
                <c:pt idx="43">
                  <c:v>653.40271134315901</c:v>
                </c:pt>
                <c:pt idx="44">
                  <c:v>675.27413300535363</c:v>
                </c:pt>
                <c:pt idx="45">
                  <c:v>697.13100874580039</c:v>
                </c:pt>
                <c:pt idx="46">
                  <c:v>718.97385828113204</c:v>
                </c:pt>
                <c:pt idx="47">
                  <c:v>740.80316721230008</c:v>
                </c:pt>
                <c:pt idx="48">
                  <c:v>762.61939022341801</c:v>
                </c:pt>
                <c:pt idx="49">
                  <c:v>784.42295389594256</c:v>
                </c:pt>
                <c:pt idx="50">
                  <c:v>806.21425919406158</c:v>
                </c:pt>
                <c:pt idx="51">
                  <c:v>827.99368366771762</c:v>
                </c:pt>
                <c:pt idx="52">
                  <c:v>849.7615834120802</c:v>
                </c:pt>
                <c:pt idx="53">
                  <c:v>702.2312255773046</c:v>
                </c:pt>
                <c:pt idx="54">
                  <c:v>721.30160170944464</c:v>
                </c:pt>
                <c:pt idx="55">
                  <c:v>740.36169274392853</c:v>
                </c:pt>
                <c:pt idx="56">
                  <c:v>759.4118004714029</c:v>
                </c:pt>
                <c:pt idx="57">
                  <c:v>778.45221032344546</c:v>
                </c:pt>
                <c:pt idx="58">
                  <c:v>797.48319264585064</c:v>
                </c:pt>
                <c:pt idx="59">
                  <c:v>816.50500384419036</c:v>
                </c:pt>
                <c:pt idx="60">
                  <c:v>835.51788741719008</c:v>
                </c:pt>
                <c:pt idx="61">
                  <c:v>9.2015960881277352E-12</c:v>
                </c:pt>
                <c:pt idx="62">
                  <c:v>9.2015960881277352E-12</c:v>
                </c:pt>
                <c:pt idx="63">
                  <c:v>9.2015960881277352E-12</c:v>
                </c:pt>
                <c:pt idx="64">
                  <c:v>9.2015960881277352E-12</c:v>
                </c:pt>
                <c:pt idx="65">
                  <c:v>9.2015960881277352E-12</c:v>
                </c:pt>
                <c:pt idx="66">
                  <c:v>9.2015960881277352E-12</c:v>
                </c:pt>
                <c:pt idx="67">
                  <c:v>9.2015960881277352E-12</c:v>
                </c:pt>
                <c:pt idx="68">
                  <c:v>9.2015960881277352E-12</c:v>
                </c:pt>
                <c:pt idx="69">
                  <c:v>9.2015960881277352E-12</c:v>
                </c:pt>
                <c:pt idx="70">
                  <c:v>9.2015960881277352E-12</c:v>
                </c:pt>
                <c:pt idx="71">
                  <c:v>9.2015960881277352E-12</c:v>
                </c:pt>
                <c:pt idx="72">
                  <c:v>9.2015960881277352E-12</c:v>
                </c:pt>
                <c:pt idx="73">
                  <c:v>9.2015960881277352E-12</c:v>
                </c:pt>
                <c:pt idx="74">
                  <c:v>9.2015960881277352E-12</c:v>
                </c:pt>
                <c:pt idx="75">
                  <c:v>9.2015960881277352E-12</c:v>
                </c:pt>
                <c:pt idx="76">
                  <c:v>9.2015960881277352E-12</c:v>
                </c:pt>
                <c:pt idx="77">
                  <c:v>9.2015960881277352E-12</c:v>
                </c:pt>
                <c:pt idx="78">
                  <c:v>9.2015960881277352E-12</c:v>
                </c:pt>
                <c:pt idx="79">
                  <c:v>9.2015960881277352E-12</c:v>
                </c:pt>
                <c:pt idx="80">
                  <c:v>9.2015960881277352E-12</c:v>
                </c:pt>
                <c:pt idx="81">
                  <c:v>9.2015960881277352E-12</c:v>
                </c:pt>
                <c:pt idx="82">
                  <c:v>9.2015960881277352E-12</c:v>
                </c:pt>
                <c:pt idx="83">
                  <c:v>9.2015960881277352E-12</c:v>
                </c:pt>
                <c:pt idx="84">
                  <c:v>9.2015960881277352E-12</c:v>
                </c:pt>
                <c:pt idx="85">
                  <c:v>9.2015960881277352E-12</c:v>
                </c:pt>
                <c:pt idx="86">
                  <c:v>9.2015960881277352E-12</c:v>
                </c:pt>
                <c:pt idx="87">
                  <c:v>9.2015960881277352E-12</c:v>
                </c:pt>
                <c:pt idx="88">
                  <c:v>9.2015960881277352E-12</c:v>
                </c:pt>
                <c:pt idx="89">
                  <c:v>9.2015960881277352E-12</c:v>
                </c:pt>
                <c:pt idx="90">
                  <c:v>9.2015960881277352E-12</c:v>
                </c:pt>
                <c:pt idx="91">
                  <c:v>9.2015960881277352E-12</c:v>
                </c:pt>
                <c:pt idx="92">
                  <c:v>9.2015960881277352E-12</c:v>
                </c:pt>
                <c:pt idx="93">
                  <c:v>9.2015960881277352E-12</c:v>
                </c:pt>
                <c:pt idx="94">
                  <c:v>9.2015960881277352E-12</c:v>
                </c:pt>
                <c:pt idx="95">
                  <c:v>9.2015960881277352E-12</c:v>
                </c:pt>
                <c:pt idx="96">
                  <c:v>9.2015960881277352E-12</c:v>
                </c:pt>
                <c:pt idx="97">
                  <c:v>9.2015960881277352E-12</c:v>
                </c:pt>
                <c:pt idx="98">
                  <c:v>9.2015960881277352E-12</c:v>
                </c:pt>
                <c:pt idx="99">
                  <c:v>9.2015960881277352E-12</c:v>
                </c:pt>
                <c:pt idx="100">
                  <c:v>9.2015960881277352E-12</c:v>
                </c:pt>
                <c:pt idx="101">
                  <c:v>9.2015960881277352E-12</c:v>
                </c:pt>
                <c:pt idx="102">
                  <c:v>9.2015960881277352E-12</c:v>
                </c:pt>
                <c:pt idx="103">
                  <c:v>9.2015960881277352E-12</c:v>
                </c:pt>
                <c:pt idx="104">
                  <c:v>9.2015960881277352E-12</c:v>
                </c:pt>
                <c:pt idx="105">
                  <c:v>9.2015960881277352E-12</c:v>
                </c:pt>
                <c:pt idx="106">
                  <c:v>9.2015960881277352E-12</c:v>
                </c:pt>
                <c:pt idx="107">
                  <c:v>9.2015960881277352E-12</c:v>
                </c:pt>
                <c:pt idx="108">
                  <c:v>9.2015960881277352E-12</c:v>
                </c:pt>
                <c:pt idx="109">
                  <c:v>9.2015960881277352E-12</c:v>
                </c:pt>
                <c:pt idx="110">
                  <c:v>9.2015960881277352E-12</c:v>
                </c:pt>
                <c:pt idx="111">
                  <c:v>9.2015960881277352E-12</c:v>
                </c:pt>
                <c:pt idx="112">
                  <c:v>9.2015960881277352E-12</c:v>
                </c:pt>
                <c:pt idx="113">
                  <c:v>9.2015960881277352E-12</c:v>
                </c:pt>
                <c:pt idx="114">
                  <c:v>9.2015960881277352E-12</c:v>
                </c:pt>
                <c:pt idx="115">
                  <c:v>9.2015960881277352E-12</c:v>
                </c:pt>
                <c:pt idx="116">
                  <c:v>9.2015960881277352E-12</c:v>
                </c:pt>
                <c:pt idx="117">
                  <c:v>9.2015960881277352E-12</c:v>
                </c:pt>
                <c:pt idx="118">
                  <c:v>9.2015960881277352E-12</c:v>
                </c:pt>
                <c:pt idx="119">
                  <c:v>9.2015960881277352E-12</c:v>
                </c:pt>
                <c:pt idx="120">
                  <c:v>9.2015960881277352E-12</c:v>
                </c:pt>
                <c:pt idx="121">
                  <c:v>9.2015960881277352E-12</c:v>
                </c:pt>
                <c:pt idx="122">
                  <c:v>9.2015960881277352E-12</c:v>
                </c:pt>
                <c:pt idx="123">
                  <c:v>9.2015960881277352E-12</c:v>
                </c:pt>
                <c:pt idx="124">
                  <c:v>9.2015960881277352E-12</c:v>
                </c:pt>
                <c:pt idx="125">
                  <c:v>9.2015960881277352E-12</c:v>
                </c:pt>
                <c:pt idx="126">
                  <c:v>9.2015960881277352E-12</c:v>
                </c:pt>
                <c:pt idx="127">
                  <c:v>9.2015960881277352E-12</c:v>
                </c:pt>
                <c:pt idx="128">
                  <c:v>9.2015960881277352E-12</c:v>
                </c:pt>
                <c:pt idx="129">
                  <c:v>9.2015960881277352E-12</c:v>
                </c:pt>
                <c:pt idx="130">
                  <c:v>9.2015960881277352E-12</c:v>
                </c:pt>
                <c:pt idx="131">
                  <c:v>9.2015960881277352E-12</c:v>
                </c:pt>
                <c:pt idx="132">
                  <c:v>9.2015960881277352E-12</c:v>
                </c:pt>
                <c:pt idx="133">
                  <c:v>9.2015960881277352E-12</c:v>
                </c:pt>
                <c:pt idx="134">
                  <c:v>9.2015960881277352E-12</c:v>
                </c:pt>
                <c:pt idx="135">
                  <c:v>9.2015960881277352E-12</c:v>
                </c:pt>
                <c:pt idx="136">
                  <c:v>9.2015960881277352E-12</c:v>
                </c:pt>
                <c:pt idx="137">
                  <c:v>9.2015960881277352E-12</c:v>
                </c:pt>
                <c:pt idx="138">
                  <c:v>9.2015960881277352E-12</c:v>
                </c:pt>
                <c:pt idx="139">
                  <c:v>9.2015960881277352E-12</c:v>
                </c:pt>
                <c:pt idx="140">
                  <c:v>9.2015960881277352E-12</c:v>
                </c:pt>
                <c:pt idx="141">
                  <c:v>9.2015960881277352E-12</c:v>
                </c:pt>
                <c:pt idx="142">
                  <c:v>9.2015960881277352E-12</c:v>
                </c:pt>
                <c:pt idx="143">
                  <c:v>9.2015960881277352E-12</c:v>
                </c:pt>
                <c:pt idx="144">
                  <c:v>9.2015960881277352E-12</c:v>
                </c:pt>
                <c:pt idx="145">
                  <c:v>9.2015960881277352E-12</c:v>
                </c:pt>
                <c:pt idx="146">
                  <c:v>9.2015960881277352E-12</c:v>
                </c:pt>
                <c:pt idx="147">
                  <c:v>9.2015960881277352E-12</c:v>
                </c:pt>
                <c:pt idx="148">
                  <c:v>9.2015960881277352E-12</c:v>
                </c:pt>
                <c:pt idx="149">
                  <c:v>9.2015960881277352E-12</c:v>
                </c:pt>
                <c:pt idx="150">
                  <c:v>9.2015960881277352E-12</c:v>
                </c:pt>
                <c:pt idx="151">
                  <c:v>9.2015960881277352E-12</c:v>
                </c:pt>
                <c:pt idx="152">
                  <c:v>9.2015960881277352E-12</c:v>
                </c:pt>
                <c:pt idx="153">
                  <c:v>9.2015960881277352E-12</c:v>
                </c:pt>
                <c:pt idx="154">
                  <c:v>9.2015960881277352E-12</c:v>
                </c:pt>
                <c:pt idx="155">
                  <c:v>9.2015960881277352E-12</c:v>
                </c:pt>
                <c:pt idx="156">
                  <c:v>9.2015960881277352E-12</c:v>
                </c:pt>
                <c:pt idx="157">
                  <c:v>9.2015960881277352E-12</c:v>
                </c:pt>
                <c:pt idx="158">
                  <c:v>9.2015960881277352E-12</c:v>
                </c:pt>
                <c:pt idx="159">
                  <c:v>9.2015960881277352E-12</c:v>
                </c:pt>
                <c:pt idx="160">
                  <c:v>9.2015960881277352E-12</c:v>
                </c:pt>
                <c:pt idx="161">
                  <c:v>9.2015960881277352E-12</c:v>
                </c:pt>
                <c:pt idx="162">
                  <c:v>9.2015960881277352E-12</c:v>
                </c:pt>
                <c:pt idx="163">
                  <c:v>9.2015960881277352E-12</c:v>
                </c:pt>
                <c:pt idx="164">
                  <c:v>9.2015960881277352E-12</c:v>
                </c:pt>
                <c:pt idx="165">
                  <c:v>9.2015960881277352E-12</c:v>
                </c:pt>
                <c:pt idx="166">
                  <c:v>9.2015960881277352E-12</c:v>
                </c:pt>
                <c:pt idx="167">
                  <c:v>9.2015960881277352E-12</c:v>
                </c:pt>
                <c:pt idx="168">
                  <c:v>9.2015960881277352E-12</c:v>
                </c:pt>
                <c:pt idx="169">
                  <c:v>9.2015960881277352E-12</c:v>
                </c:pt>
                <c:pt idx="170">
                  <c:v>9.2015960881277352E-12</c:v>
                </c:pt>
                <c:pt idx="171">
                  <c:v>9.2015960881277352E-12</c:v>
                </c:pt>
                <c:pt idx="172">
                  <c:v>9.2015960881277352E-12</c:v>
                </c:pt>
                <c:pt idx="173">
                  <c:v>9.2015960881277352E-12</c:v>
                </c:pt>
                <c:pt idx="174">
                  <c:v>9.2015960881277352E-12</c:v>
                </c:pt>
                <c:pt idx="175">
                  <c:v>9.2015960881277352E-12</c:v>
                </c:pt>
                <c:pt idx="176">
                  <c:v>9.2015960881277352E-12</c:v>
                </c:pt>
                <c:pt idx="177">
                  <c:v>9.2015960881277352E-12</c:v>
                </c:pt>
                <c:pt idx="178">
                  <c:v>9.2015960881277352E-12</c:v>
                </c:pt>
                <c:pt idx="179">
                  <c:v>9.2015960881277352E-12</c:v>
                </c:pt>
                <c:pt idx="180">
                  <c:v>9.2015960881277352E-12</c:v>
                </c:pt>
                <c:pt idx="181">
                  <c:v>9.2015960881277352E-12</c:v>
                </c:pt>
                <c:pt idx="182">
                  <c:v>9.2015960881277352E-12</c:v>
                </c:pt>
                <c:pt idx="183">
                  <c:v>9.2015960881277352E-12</c:v>
                </c:pt>
                <c:pt idx="184">
                  <c:v>9.2015960881277352E-12</c:v>
                </c:pt>
                <c:pt idx="185">
                  <c:v>9.2015960881277352E-12</c:v>
                </c:pt>
                <c:pt idx="186">
                  <c:v>9.2015960881277352E-12</c:v>
                </c:pt>
                <c:pt idx="187">
                  <c:v>9.2015960881277352E-12</c:v>
                </c:pt>
                <c:pt idx="188">
                  <c:v>9.2015960881277352E-12</c:v>
                </c:pt>
                <c:pt idx="189">
                  <c:v>9.2015960881277352E-12</c:v>
                </c:pt>
                <c:pt idx="190">
                  <c:v>9.2015960881277352E-12</c:v>
                </c:pt>
                <c:pt idx="191">
                  <c:v>9.2015960881277352E-12</c:v>
                </c:pt>
                <c:pt idx="192">
                  <c:v>9.2015960881277352E-12</c:v>
                </c:pt>
                <c:pt idx="193">
                  <c:v>9.2015960881277352E-12</c:v>
                </c:pt>
                <c:pt idx="194">
                  <c:v>9.2015960881277352E-12</c:v>
                </c:pt>
                <c:pt idx="195">
                  <c:v>9.2015960881277352E-12</c:v>
                </c:pt>
                <c:pt idx="196">
                  <c:v>9.2015960881277352E-12</c:v>
                </c:pt>
                <c:pt idx="197">
                  <c:v>9.2015960881277352E-12</c:v>
                </c:pt>
                <c:pt idx="198">
                  <c:v>9.2015960881277352E-12</c:v>
                </c:pt>
                <c:pt idx="199">
                  <c:v>9.2015960881277352E-12</c:v>
                </c:pt>
                <c:pt idx="200">
                  <c:v>9.2015960881277352E-12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2.8267286453636635</c:v>
                </c:pt>
                <c:pt idx="2">
                  <c:v>3.2432231696447471</c:v>
                </c:pt>
                <c:pt idx="3">
                  <c:v>3.7213036354973004</c:v>
                </c:pt>
                <c:pt idx="4">
                  <c:v>4.2701071883042445</c:v>
                </c:pt>
                <c:pt idx="5">
                  <c:v>4.9001308572981612</c:v>
                </c:pt>
                <c:pt idx="6">
                  <c:v>5.6234345383629361</c:v>
                </c:pt>
                <c:pt idx="7">
                  <c:v>6.4538743567520749</c:v>
                </c:pt>
                <c:pt idx="8">
                  <c:v>7.4073709678787329</c:v>
                </c:pt>
                <c:pt idx="9">
                  <c:v>8.5022180397809937</c:v>
                </c:pt>
                <c:pt idx="10">
                  <c:v>9.7594369496038347</c:v>
                </c:pt>
                <c:pt idx="11">
                  <c:v>11.203184634060179</c:v>
                </c:pt>
                <c:pt idx="12">
                  <c:v>12.861222578289107</c:v>
                </c:pt>
                <c:pt idx="13">
                  <c:v>14.765456129487271</c:v>
                </c:pt>
                <c:pt idx="14">
                  <c:v>16.952554704942898</c:v>
                </c:pt>
                <c:pt idx="15">
                  <c:v>19.464665056045259</c:v>
                </c:pt>
                <c:pt idx="16">
                  <c:v>22.350231582015983</c:v>
                </c:pt>
                <c:pt idx="17">
                  <c:v>25.664939795826029</c:v>
                </c:pt>
                <c:pt idx="18">
                  <c:v>29.472801471836906</c:v>
                </c:pt>
                <c:pt idx="19">
                  <c:v>33.847402798279582</c:v>
                </c:pt>
                <c:pt idx="20">
                  <c:v>38.87334007319636</c:v>
                </c:pt>
                <c:pt idx="21">
                  <c:v>44.647871183752379</c:v>
                </c:pt>
                <c:pt idx="22">
                  <c:v>51.282815369379364</c:v>
                </c:pt>
                <c:pt idx="23">
                  <c:v>58.906738673688189</c:v>
                </c:pt>
                <c:pt idx="24">
                  <c:v>67.667468135950699</c:v>
                </c:pt>
                <c:pt idx="25">
                  <c:v>77.734984272453929</c:v>
                </c:pt>
                <c:pt idx="26">
                  <c:v>89.304748880435696</c:v>
                </c:pt>
                <c:pt idx="27">
                  <c:v>102.60153381149014</c:v>
                </c:pt>
                <c:pt idx="28">
                  <c:v>117.88382627872851</c:v>
                </c:pt>
                <c:pt idx="29">
                  <c:v>135.44889768004859</c:v>
                </c:pt>
                <c:pt idx="30">
                  <c:v>155.63863606601436</c:v>
                </c:pt>
                <c:pt idx="31">
                  <c:v>178.84625751698437</c:v>
                </c:pt>
                <c:pt idx="32">
                  <c:v>205.52402912192656</c:v>
                </c:pt>
                <c:pt idx="33">
                  <c:v>236.1921563182527</c:v>
                </c:pt>
                <c:pt idx="34">
                  <c:v>226.94592541508089</c:v>
                </c:pt>
                <c:pt idx="35">
                  <c:v>252.24813700580066</c:v>
                </c:pt>
                <c:pt idx="36">
                  <c:v>277.49283895906007</c:v>
                </c:pt>
                <c:pt idx="37">
                  <c:v>302.68599646174312</c:v>
                </c:pt>
                <c:pt idx="38">
                  <c:v>327.83250023207825</c:v>
                </c:pt>
                <c:pt idx="39">
                  <c:v>352.9364294037814</c:v>
                </c:pt>
                <c:pt idx="40">
                  <c:v>378.00123557223696</c:v>
                </c:pt>
                <c:pt idx="41">
                  <c:v>403.02987541370476</c:v>
                </c:pt>
                <c:pt idx="42">
                  <c:v>361.91742376234743</c:v>
                </c:pt>
                <c:pt idx="43">
                  <c:v>399.62242024692699</c:v>
                </c:pt>
                <c:pt idx="44">
                  <c:v>437.25040891432644</c:v>
                </c:pt>
                <c:pt idx="45">
                  <c:v>474.80893816537861</c:v>
                </c:pt>
                <c:pt idx="46">
                  <c:v>512.30426563418905</c:v>
                </c:pt>
                <c:pt idx="47">
                  <c:v>549.74165916439813</c:v>
                </c:pt>
                <c:pt idx="48">
                  <c:v>587.12561147299232</c:v>
                </c:pt>
                <c:pt idx="49">
                  <c:v>624.45999728230333</c:v>
                </c:pt>
                <c:pt idx="50">
                  <c:v>661.74819092398764</c:v>
                </c:pt>
                <c:pt idx="51">
                  <c:v>698.9931560684862</c:v>
                </c:pt>
                <c:pt idx="52">
                  <c:v>736.19751534829993</c:v>
                </c:pt>
                <c:pt idx="53">
                  <c:v>636.46933625454358</c:v>
                </c:pt>
                <c:pt idx="54">
                  <c:v>680.97314682723402</c:v>
                </c:pt>
                <c:pt idx="55">
                  <c:v>725.41728851616074</c:v>
                </c:pt>
                <c:pt idx="56">
                  <c:v>769.80592248450728</c:v>
                </c:pt>
                <c:pt idx="57">
                  <c:v>814.14269183557144</c:v>
                </c:pt>
                <c:pt idx="58">
                  <c:v>858.43081135283308</c:v>
                </c:pt>
                <c:pt idx="59">
                  <c:v>902.67313777956826</c:v>
                </c:pt>
                <c:pt idx="60">
                  <c:v>946.87222562273098</c:v>
                </c:pt>
                <c:pt idx="61">
                  <c:v>4.3586208069709543E-12</c:v>
                </c:pt>
                <c:pt idx="62">
                  <c:v>4.3586208069709543E-12</c:v>
                </c:pt>
                <c:pt idx="63">
                  <c:v>4.3586208069709543E-12</c:v>
                </c:pt>
                <c:pt idx="64">
                  <c:v>4.3586208069709543E-12</c:v>
                </c:pt>
                <c:pt idx="65">
                  <c:v>4.3586208069709543E-12</c:v>
                </c:pt>
                <c:pt idx="66">
                  <c:v>4.3586208069709543E-12</c:v>
                </c:pt>
                <c:pt idx="67">
                  <c:v>4.3586208069709543E-12</c:v>
                </c:pt>
                <c:pt idx="68">
                  <c:v>4.3586208069709543E-12</c:v>
                </c:pt>
                <c:pt idx="69">
                  <c:v>4.3586208069709543E-12</c:v>
                </c:pt>
                <c:pt idx="70">
                  <c:v>4.3586208069709543E-12</c:v>
                </c:pt>
                <c:pt idx="71">
                  <c:v>4.3586208069709543E-12</c:v>
                </c:pt>
                <c:pt idx="72">
                  <c:v>4.3586208069709543E-12</c:v>
                </c:pt>
                <c:pt idx="73">
                  <c:v>4.3586208069709543E-12</c:v>
                </c:pt>
                <c:pt idx="74">
                  <c:v>4.3586208069709543E-12</c:v>
                </c:pt>
                <c:pt idx="75">
                  <c:v>4.3586208069709543E-12</c:v>
                </c:pt>
                <c:pt idx="76">
                  <c:v>4.3586208069709543E-12</c:v>
                </c:pt>
                <c:pt idx="77">
                  <c:v>4.3586208069709543E-12</c:v>
                </c:pt>
                <c:pt idx="78">
                  <c:v>4.3586208069709543E-12</c:v>
                </c:pt>
                <c:pt idx="79">
                  <c:v>4.3586208069709543E-12</c:v>
                </c:pt>
                <c:pt idx="80">
                  <c:v>4.3586208069709543E-12</c:v>
                </c:pt>
                <c:pt idx="81">
                  <c:v>4.3586208069709543E-12</c:v>
                </c:pt>
                <c:pt idx="82">
                  <c:v>4.3586208069709543E-12</c:v>
                </c:pt>
                <c:pt idx="83">
                  <c:v>4.3586208069709543E-12</c:v>
                </c:pt>
                <c:pt idx="84">
                  <c:v>4.3586208069709543E-12</c:v>
                </c:pt>
                <c:pt idx="85">
                  <c:v>4.3586208069709543E-12</c:v>
                </c:pt>
                <c:pt idx="86">
                  <c:v>4.3586208069709543E-12</c:v>
                </c:pt>
                <c:pt idx="87">
                  <c:v>4.3586208069709543E-12</c:v>
                </c:pt>
                <c:pt idx="88">
                  <c:v>4.3586208069709543E-12</c:v>
                </c:pt>
                <c:pt idx="89">
                  <c:v>4.3586208069709543E-12</c:v>
                </c:pt>
                <c:pt idx="90">
                  <c:v>4.3586208069709543E-12</c:v>
                </c:pt>
                <c:pt idx="91">
                  <c:v>4.3586208069709543E-12</c:v>
                </c:pt>
                <c:pt idx="92">
                  <c:v>4.3586208069709543E-12</c:v>
                </c:pt>
                <c:pt idx="93">
                  <c:v>4.3586208069709543E-12</c:v>
                </c:pt>
                <c:pt idx="94">
                  <c:v>4.3586208069709543E-12</c:v>
                </c:pt>
                <c:pt idx="95">
                  <c:v>4.3586208069709543E-12</c:v>
                </c:pt>
                <c:pt idx="96">
                  <c:v>4.3586208069709543E-12</c:v>
                </c:pt>
                <c:pt idx="97">
                  <c:v>4.3586208069709543E-12</c:v>
                </c:pt>
                <c:pt idx="98">
                  <c:v>4.3586208069709543E-12</c:v>
                </c:pt>
                <c:pt idx="99">
                  <c:v>4.3586208069709543E-12</c:v>
                </c:pt>
                <c:pt idx="100">
                  <c:v>4.3586208069709543E-12</c:v>
                </c:pt>
                <c:pt idx="101">
                  <c:v>4.3586208069709543E-12</c:v>
                </c:pt>
                <c:pt idx="102">
                  <c:v>4.3586208069709543E-12</c:v>
                </c:pt>
                <c:pt idx="103">
                  <c:v>4.3586208069709543E-12</c:v>
                </c:pt>
                <c:pt idx="104">
                  <c:v>4.3586208069709543E-12</c:v>
                </c:pt>
                <c:pt idx="105">
                  <c:v>4.3586208069709543E-12</c:v>
                </c:pt>
                <c:pt idx="106">
                  <c:v>4.3586208069709543E-12</c:v>
                </c:pt>
                <c:pt idx="107">
                  <c:v>4.3586208069709543E-12</c:v>
                </c:pt>
                <c:pt idx="108">
                  <c:v>4.3586208069709543E-12</c:v>
                </c:pt>
                <c:pt idx="109">
                  <c:v>4.3586208069709543E-12</c:v>
                </c:pt>
                <c:pt idx="110">
                  <c:v>4.3586208069709543E-12</c:v>
                </c:pt>
                <c:pt idx="111">
                  <c:v>4.3586208069709543E-12</c:v>
                </c:pt>
                <c:pt idx="112">
                  <c:v>4.3586208069709543E-12</c:v>
                </c:pt>
                <c:pt idx="113">
                  <c:v>4.3586208069709543E-12</c:v>
                </c:pt>
                <c:pt idx="114">
                  <c:v>4.3586208069709543E-12</c:v>
                </c:pt>
                <c:pt idx="115">
                  <c:v>4.3586208069709543E-12</c:v>
                </c:pt>
                <c:pt idx="116">
                  <c:v>4.3586208069709543E-12</c:v>
                </c:pt>
                <c:pt idx="117">
                  <c:v>4.3586208069709543E-12</c:v>
                </c:pt>
                <c:pt idx="118">
                  <c:v>4.3586208069709543E-12</c:v>
                </c:pt>
                <c:pt idx="119">
                  <c:v>4.3586208069709543E-12</c:v>
                </c:pt>
                <c:pt idx="120">
                  <c:v>4.3586208069709543E-12</c:v>
                </c:pt>
                <c:pt idx="121">
                  <c:v>4.3586208069709543E-12</c:v>
                </c:pt>
                <c:pt idx="122">
                  <c:v>4.3586208069709543E-12</c:v>
                </c:pt>
                <c:pt idx="123">
                  <c:v>4.3586208069709543E-12</c:v>
                </c:pt>
                <c:pt idx="124">
                  <c:v>4.3586208069709543E-12</c:v>
                </c:pt>
                <c:pt idx="125">
                  <c:v>4.3586208069709543E-12</c:v>
                </c:pt>
                <c:pt idx="126">
                  <c:v>4.3586208069709543E-12</c:v>
                </c:pt>
                <c:pt idx="127">
                  <c:v>4.3586208069709543E-12</c:v>
                </c:pt>
                <c:pt idx="128">
                  <c:v>4.3586208069709543E-12</c:v>
                </c:pt>
                <c:pt idx="129">
                  <c:v>4.3586208069709543E-12</c:v>
                </c:pt>
                <c:pt idx="130">
                  <c:v>4.3586208069709543E-12</c:v>
                </c:pt>
                <c:pt idx="131">
                  <c:v>4.3586208069709543E-12</c:v>
                </c:pt>
                <c:pt idx="132">
                  <c:v>4.3586208069709543E-12</c:v>
                </c:pt>
                <c:pt idx="133">
                  <c:v>4.3586208069709543E-12</c:v>
                </c:pt>
                <c:pt idx="134">
                  <c:v>4.3586208069709543E-12</c:v>
                </c:pt>
                <c:pt idx="135">
                  <c:v>4.3586208069709543E-12</c:v>
                </c:pt>
                <c:pt idx="136">
                  <c:v>4.3586208069709543E-12</c:v>
                </c:pt>
                <c:pt idx="137">
                  <c:v>4.3586208069709543E-12</c:v>
                </c:pt>
                <c:pt idx="138">
                  <c:v>4.3586208069709543E-12</c:v>
                </c:pt>
                <c:pt idx="139">
                  <c:v>4.3586208069709543E-12</c:v>
                </c:pt>
                <c:pt idx="140">
                  <c:v>4.3586208069709543E-12</c:v>
                </c:pt>
                <c:pt idx="141">
                  <c:v>4.3586208069709543E-12</c:v>
                </c:pt>
                <c:pt idx="142">
                  <c:v>4.3586208069709543E-12</c:v>
                </c:pt>
                <c:pt idx="143">
                  <c:v>4.3586208069709543E-12</c:v>
                </c:pt>
                <c:pt idx="144">
                  <c:v>4.3586208069709543E-12</c:v>
                </c:pt>
                <c:pt idx="145">
                  <c:v>4.3586208069709543E-12</c:v>
                </c:pt>
                <c:pt idx="146">
                  <c:v>4.3586208069709543E-12</c:v>
                </c:pt>
                <c:pt idx="147">
                  <c:v>4.3586208069709543E-12</c:v>
                </c:pt>
                <c:pt idx="148">
                  <c:v>4.3586208069709543E-12</c:v>
                </c:pt>
                <c:pt idx="149">
                  <c:v>4.3586208069709543E-12</c:v>
                </c:pt>
                <c:pt idx="150">
                  <c:v>4.3586208069709543E-12</c:v>
                </c:pt>
                <c:pt idx="151">
                  <c:v>4.3586208069709543E-12</c:v>
                </c:pt>
                <c:pt idx="152">
                  <c:v>4.3586208069709543E-12</c:v>
                </c:pt>
                <c:pt idx="153">
                  <c:v>4.3586208069709543E-12</c:v>
                </c:pt>
                <c:pt idx="154">
                  <c:v>4.3586208069709543E-12</c:v>
                </c:pt>
                <c:pt idx="155">
                  <c:v>4.3586208069709543E-12</c:v>
                </c:pt>
                <c:pt idx="156">
                  <c:v>4.3586208069709543E-12</c:v>
                </c:pt>
                <c:pt idx="157">
                  <c:v>4.3586208069709543E-12</c:v>
                </c:pt>
                <c:pt idx="158">
                  <c:v>4.3586208069709543E-12</c:v>
                </c:pt>
                <c:pt idx="159">
                  <c:v>4.3586208069709543E-12</c:v>
                </c:pt>
                <c:pt idx="160">
                  <c:v>4.3586208069709543E-12</c:v>
                </c:pt>
                <c:pt idx="161">
                  <c:v>4.3586208069709543E-12</c:v>
                </c:pt>
                <c:pt idx="162">
                  <c:v>4.3586208069709543E-12</c:v>
                </c:pt>
                <c:pt idx="163">
                  <c:v>4.3586208069709543E-12</c:v>
                </c:pt>
                <c:pt idx="164">
                  <c:v>4.3586208069709543E-12</c:v>
                </c:pt>
                <c:pt idx="165">
                  <c:v>4.3586208069709543E-12</c:v>
                </c:pt>
                <c:pt idx="166">
                  <c:v>4.3586208069709543E-12</c:v>
                </c:pt>
                <c:pt idx="167">
                  <c:v>4.3586208069709543E-12</c:v>
                </c:pt>
                <c:pt idx="168">
                  <c:v>4.3586208069709543E-12</c:v>
                </c:pt>
                <c:pt idx="169">
                  <c:v>4.3586208069709543E-12</c:v>
                </c:pt>
                <c:pt idx="170">
                  <c:v>4.3586208069709543E-12</c:v>
                </c:pt>
                <c:pt idx="171">
                  <c:v>4.3586208069709543E-12</c:v>
                </c:pt>
                <c:pt idx="172">
                  <c:v>4.3586208069709543E-12</c:v>
                </c:pt>
                <c:pt idx="173">
                  <c:v>4.3586208069709543E-12</c:v>
                </c:pt>
                <c:pt idx="174">
                  <c:v>4.3586208069709543E-12</c:v>
                </c:pt>
                <c:pt idx="175">
                  <c:v>4.3586208069709543E-12</c:v>
                </c:pt>
                <c:pt idx="176">
                  <c:v>4.3586208069709543E-12</c:v>
                </c:pt>
                <c:pt idx="177">
                  <c:v>4.3586208069709543E-12</c:v>
                </c:pt>
                <c:pt idx="178">
                  <c:v>4.3586208069709543E-12</c:v>
                </c:pt>
                <c:pt idx="179">
                  <c:v>4.3586208069709543E-12</c:v>
                </c:pt>
                <c:pt idx="180">
                  <c:v>4.3586208069709543E-12</c:v>
                </c:pt>
                <c:pt idx="181">
                  <c:v>4.3586208069709543E-12</c:v>
                </c:pt>
                <c:pt idx="182">
                  <c:v>4.3586208069709543E-12</c:v>
                </c:pt>
                <c:pt idx="183">
                  <c:v>4.3586208069709543E-12</c:v>
                </c:pt>
                <c:pt idx="184">
                  <c:v>4.3586208069709543E-12</c:v>
                </c:pt>
                <c:pt idx="185">
                  <c:v>4.3586208069709543E-12</c:v>
                </c:pt>
                <c:pt idx="186">
                  <c:v>4.3586208069709543E-12</c:v>
                </c:pt>
                <c:pt idx="187">
                  <c:v>4.3586208069709543E-12</c:v>
                </c:pt>
                <c:pt idx="188">
                  <c:v>4.3586208069709543E-12</c:v>
                </c:pt>
                <c:pt idx="189">
                  <c:v>4.3586208069709543E-12</c:v>
                </c:pt>
                <c:pt idx="190">
                  <c:v>4.3586208069709543E-12</c:v>
                </c:pt>
                <c:pt idx="191">
                  <c:v>4.3586208069709543E-12</c:v>
                </c:pt>
                <c:pt idx="192">
                  <c:v>4.3586208069709543E-12</c:v>
                </c:pt>
                <c:pt idx="193">
                  <c:v>4.3586208069709543E-12</c:v>
                </c:pt>
                <c:pt idx="194">
                  <c:v>4.3586208069709543E-12</c:v>
                </c:pt>
                <c:pt idx="195">
                  <c:v>4.3586208069709543E-12</c:v>
                </c:pt>
                <c:pt idx="196">
                  <c:v>4.3586208069709543E-12</c:v>
                </c:pt>
                <c:pt idx="197">
                  <c:v>4.3586208069709543E-12</c:v>
                </c:pt>
                <c:pt idx="198">
                  <c:v>4.3586208069709543E-12</c:v>
                </c:pt>
                <c:pt idx="199">
                  <c:v>4.3586208069709543E-12</c:v>
                </c:pt>
                <c:pt idx="200">
                  <c:v>4.3586208069709543E-12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2.2976952645700583</c:v>
                </c:pt>
                <c:pt idx="2">
                  <c:v>2.6360053409792896</c:v>
                </c:pt>
                <c:pt idx="3">
                  <c:v>3.0243074811653265</c:v>
                </c:pt>
                <c:pt idx="4">
                  <c:v>3.4700141277931045</c:v>
                </c:pt>
                <c:pt idx="5">
                  <c:v>3.9816402829940691</c:v>
                </c:pt>
                <c:pt idx="6">
                  <c:v>4.5689679936739092</c:v>
                </c:pt>
                <c:pt idx="7">
                  <c:v>5.2432354427772863</c:v>
                </c:pt>
                <c:pt idx="8">
                  <c:v>6.0173543366793405</c:v>
                </c:pt>
                <c:pt idx="9">
                  <c:v>6.906159833566897</c:v>
                </c:pt>
                <c:pt idx="10">
                  <c:v>7.9266978959201237</c:v>
                </c:pt>
                <c:pt idx="11">
                  <c:v>9.0985556846179225</c:v>
                </c:pt>
                <c:pt idx="12">
                  <c:v>10.444241457283887</c:v>
                </c:pt>
                <c:pt idx="13">
                  <c:v>11.989621405975749</c:v>
                </c:pt>
                <c:pt idx="14">
                  <c:v>13.764421988438635</c:v>
                </c:pt>
                <c:pt idx="15">
                  <c:v>15.802807595040235</c:v>
                </c:pt>
                <c:pt idx="16">
                  <c:v>18.144044875684699</c:v>
                </c:pt>
                <c:pt idx="17">
                  <c:v>20.833266756820549</c:v>
                </c:pt>
                <c:pt idx="18">
                  <c:v>23.922351141919464</c:v>
                </c:pt>
                <c:pt idx="19">
                  <c:v>27.470931548427512</c:v>
                </c:pt>
                <c:pt idx="20">
                  <c:v>31.547559534992136</c:v>
                </c:pt>
                <c:pt idx="21">
                  <c:v>36.231041766346074</c:v>
                </c:pt>
                <c:pt idx="22">
                  <c:v>41.611978009000673</c:v>
                </c:pt>
                <c:pt idx="23">
                  <c:v>47.79453031728184</c:v>
                </c:pt>
                <c:pt idx="24">
                  <c:v>54.898458235016584</c:v>
                </c:pt>
                <c:pt idx="25">
                  <c:v>63.06146009407118</c:v>
                </c:pt>
                <c:pt idx="26">
                  <c:v>72.44186654142716</c:v>
                </c:pt>
                <c:pt idx="27">
                  <c:v>83.221739391874607</c:v>
                </c:pt>
                <c:pt idx="28">
                  <c:v>95.610436922257591</c:v>
                </c:pt>
                <c:pt idx="29">
                  <c:v>109.84871595509632</c:v>
                </c:pt>
                <c:pt idx="30">
                  <c:v>126.21345170810149</c:v>
                </c:pt>
                <c:pt idx="31">
                  <c:v>145.02306862324471</c:v>
                </c:pt>
                <c:pt idx="32">
                  <c:v>166.64378947840993</c:v>
                </c:pt>
                <c:pt idx="33">
                  <c:v>191.49682630698092</c:v>
                </c:pt>
                <c:pt idx="34">
                  <c:v>184.00397398232528</c:v>
                </c:pt>
                <c:pt idx="35">
                  <c:v>204.50776258624276</c:v>
                </c:pt>
                <c:pt idx="36">
                  <c:v>224.96399651397078</c:v>
                </c:pt>
                <c:pt idx="37">
                  <c:v>245.37760837408052</c:v>
                </c:pt>
                <c:pt idx="38">
                  <c:v>265.75264229781612</c:v>
                </c:pt>
                <c:pt idx="39">
                  <c:v>286.09247131779551</c:v>
                </c:pt>
                <c:pt idx="40">
                  <c:v>306.39994955565965</c:v>
                </c:pt>
                <c:pt idx="41">
                  <c:v>326.67752188479602</c:v>
                </c:pt>
                <c:pt idx="42">
                  <c:v>293.36893538411852</c:v>
                </c:pt>
                <c:pt idx="43">
                  <c:v>323.91692166618969</c:v>
                </c:pt>
                <c:pt idx="44">
                  <c:v>354.40123024184868</c:v>
                </c:pt>
                <c:pt idx="45">
                  <c:v>384.82810287809684</c:v>
                </c:pt>
                <c:pt idx="46">
                  <c:v>415.2027140078942</c:v>
                </c:pt>
                <c:pt idx="47">
                  <c:v>445.52941960720585</c:v>
                </c:pt>
                <c:pt idx="48">
                  <c:v>475.81193470034668</c:v>
                </c:pt>
                <c:pt idx="49">
                  <c:v>506.05346329231401</c:v>
                </c:pt>
                <c:pt idx="50">
                  <c:v>536.25679561542972</c:v>
                </c:pt>
                <c:pt idx="51">
                  <c:v>566.42438232656434</c:v>
                </c:pt>
                <c:pt idx="52">
                  <c:v>596.55839207857059</c:v>
                </c:pt>
                <c:pt idx="53">
                  <c:v>515.78107687366798</c:v>
                </c:pt>
                <c:pt idx="54">
                  <c:v>551.82866728092233</c:v>
                </c:pt>
                <c:pt idx="55">
                  <c:v>587.82691753283416</c:v>
                </c:pt>
                <c:pt idx="56">
                  <c:v>623.77926849212645</c:v>
                </c:pt>
                <c:pt idx="57">
                  <c:v>659.68873263819148</c:v>
                </c:pt>
                <c:pt idx="58">
                  <c:v>695.55796827308234</c:v>
                </c:pt>
                <c:pt idx="59">
                  <c:v>731.3893376356782</c:v>
                </c:pt>
                <c:pt idx="60">
                  <c:v>767.18495304586668</c:v>
                </c:pt>
                <c:pt idx="61">
                  <c:v>3.5982663925596575E-12</c:v>
                </c:pt>
                <c:pt idx="62">
                  <c:v>3.5982663925596575E-12</c:v>
                </c:pt>
                <c:pt idx="63">
                  <c:v>3.5982663925596575E-12</c:v>
                </c:pt>
                <c:pt idx="64">
                  <c:v>3.5982663925596575E-12</c:v>
                </c:pt>
                <c:pt idx="65">
                  <c:v>3.5982663925596575E-12</c:v>
                </c:pt>
                <c:pt idx="66">
                  <c:v>3.5982663925596575E-12</c:v>
                </c:pt>
                <c:pt idx="67">
                  <c:v>3.5982663925596575E-12</c:v>
                </c:pt>
                <c:pt idx="68">
                  <c:v>3.5982663925596575E-12</c:v>
                </c:pt>
                <c:pt idx="69">
                  <c:v>3.5982663925596575E-12</c:v>
                </c:pt>
                <c:pt idx="70">
                  <c:v>3.5982663925596575E-12</c:v>
                </c:pt>
                <c:pt idx="71">
                  <c:v>3.5982663925596575E-12</c:v>
                </c:pt>
                <c:pt idx="72">
                  <c:v>3.5982663925596575E-12</c:v>
                </c:pt>
                <c:pt idx="73">
                  <c:v>3.5982663925596575E-12</c:v>
                </c:pt>
                <c:pt idx="74">
                  <c:v>3.5982663925596575E-12</c:v>
                </c:pt>
                <c:pt idx="75">
                  <c:v>3.5982663925596575E-12</c:v>
                </c:pt>
                <c:pt idx="76">
                  <c:v>3.5982663925596575E-12</c:v>
                </c:pt>
                <c:pt idx="77">
                  <c:v>3.5982663925596575E-12</c:v>
                </c:pt>
                <c:pt idx="78">
                  <c:v>3.5982663925596575E-12</c:v>
                </c:pt>
                <c:pt idx="79">
                  <c:v>3.5982663925596575E-12</c:v>
                </c:pt>
                <c:pt idx="80">
                  <c:v>3.5982663925596575E-12</c:v>
                </c:pt>
                <c:pt idx="81">
                  <c:v>3.5982663925596575E-12</c:v>
                </c:pt>
                <c:pt idx="82">
                  <c:v>3.5982663925596575E-12</c:v>
                </c:pt>
                <c:pt idx="83">
                  <c:v>3.5982663925596575E-12</c:v>
                </c:pt>
                <c:pt idx="84">
                  <c:v>3.5982663925596575E-12</c:v>
                </c:pt>
                <c:pt idx="85">
                  <c:v>3.5982663925596575E-12</c:v>
                </c:pt>
                <c:pt idx="86">
                  <c:v>3.5982663925596575E-12</c:v>
                </c:pt>
                <c:pt idx="87">
                  <c:v>3.5982663925596575E-12</c:v>
                </c:pt>
                <c:pt idx="88">
                  <c:v>3.5982663925596575E-12</c:v>
                </c:pt>
                <c:pt idx="89">
                  <c:v>3.5982663925596575E-12</c:v>
                </c:pt>
                <c:pt idx="90">
                  <c:v>3.5982663925596575E-12</c:v>
                </c:pt>
                <c:pt idx="91">
                  <c:v>3.5982663925596575E-12</c:v>
                </c:pt>
                <c:pt idx="92">
                  <c:v>3.5982663925596575E-12</c:v>
                </c:pt>
                <c:pt idx="93">
                  <c:v>3.5982663925596575E-12</c:v>
                </c:pt>
                <c:pt idx="94">
                  <c:v>3.5982663925596575E-12</c:v>
                </c:pt>
                <c:pt idx="95">
                  <c:v>3.5982663925596575E-12</c:v>
                </c:pt>
                <c:pt idx="96">
                  <c:v>3.5982663925596575E-12</c:v>
                </c:pt>
                <c:pt idx="97">
                  <c:v>3.5982663925596575E-12</c:v>
                </c:pt>
                <c:pt idx="98">
                  <c:v>3.5982663925596575E-12</c:v>
                </c:pt>
                <c:pt idx="99">
                  <c:v>3.5982663925596575E-12</c:v>
                </c:pt>
                <c:pt idx="100">
                  <c:v>3.5982663925596575E-12</c:v>
                </c:pt>
                <c:pt idx="101">
                  <c:v>3.5982663925596575E-12</c:v>
                </c:pt>
                <c:pt idx="102">
                  <c:v>3.5982663925596575E-12</c:v>
                </c:pt>
                <c:pt idx="103">
                  <c:v>3.5982663925596575E-12</c:v>
                </c:pt>
                <c:pt idx="104">
                  <c:v>3.5982663925596575E-12</c:v>
                </c:pt>
                <c:pt idx="105">
                  <c:v>3.5982663925596575E-12</c:v>
                </c:pt>
                <c:pt idx="106">
                  <c:v>3.5982663925596575E-12</c:v>
                </c:pt>
                <c:pt idx="107">
                  <c:v>3.5982663925596575E-12</c:v>
                </c:pt>
                <c:pt idx="108">
                  <c:v>3.5982663925596575E-12</c:v>
                </c:pt>
                <c:pt idx="109">
                  <c:v>3.5982663925596575E-12</c:v>
                </c:pt>
                <c:pt idx="110">
                  <c:v>3.5982663925596575E-12</c:v>
                </c:pt>
                <c:pt idx="111">
                  <c:v>3.5982663925596575E-12</c:v>
                </c:pt>
                <c:pt idx="112">
                  <c:v>3.5982663925596575E-12</c:v>
                </c:pt>
                <c:pt idx="113">
                  <c:v>3.5982663925596575E-12</c:v>
                </c:pt>
                <c:pt idx="114">
                  <c:v>3.5982663925596575E-12</c:v>
                </c:pt>
                <c:pt idx="115">
                  <c:v>3.5982663925596575E-12</c:v>
                </c:pt>
                <c:pt idx="116">
                  <c:v>3.5982663925596575E-12</c:v>
                </c:pt>
                <c:pt idx="117">
                  <c:v>3.5982663925596575E-12</c:v>
                </c:pt>
                <c:pt idx="118">
                  <c:v>3.5982663925596575E-12</c:v>
                </c:pt>
                <c:pt idx="119">
                  <c:v>3.5982663925596575E-12</c:v>
                </c:pt>
                <c:pt idx="120">
                  <c:v>3.5982663925596575E-12</c:v>
                </c:pt>
                <c:pt idx="121">
                  <c:v>3.5982663925596575E-12</c:v>
                </c:pt>
                <c:pt idx="122">
                  <c:v>3.5982663925596575E-12</c:v>
                </c:pt>
                <c:pt idx="123">
                  <c:v>3.5982663925596575E-12</c:v>
                </c:pt>
                <c:pt idx="124">
                  <c:v>3.5982663925596575E-12</c:v>
                </c:pt>
                <c:pt idx="125">
                  <c:v>3.5982663925596575E-12</c:v>
                </c:pt>
                <c:pt idx="126">
                  <c:v>3.5982663925596575E-12</c:v>
                </c:pt>
                <c:pt idx="127">
                  <c:v>3.5982663925596575E-12</c:v>
                </c:pt>
                <c:pt idx="128">
                  <c:v>3.5982663925596575E-12</c:v>
                </c:pt>
                <c:pt idx="129">
                  <c:v>3.5982663925596575E-12</c:v>
                </c:pt>
                <c:pt idx="130">
                  <c:v>3.5982663925596575E-12</c:v>
                </c:pt>
                <c:pt idx="131">
                  <c:v>3.5982663925596575E-12</c:v>
                </c:pt>
                <c:pt idx="132">
                  <c:v>3.5982663925596575E-12</c:v>
                </c:pt>
                <c:pt idx="133">
                  <c:v>3.5982663925596575E-12</c:v>
                </c:pt>
                <c:pt idx="134">
                  <c:v>3.5982663925596575E-12</c:v>
                </c:pt>
                <c:pt idx="135">
                  <c:v>3.5982663925596575E-12</c:v>
                </c:pt>
                <c:pt idx="136">
                  <c:v>3.5982663925596575E-12</c:v>
                </c:pt>
                <c:pt idx="137">
                  <c:v>3.5982663925596575E-12</c:v>
                </c:pt>
                <c:pt idx="138">
                  <c:v>3.5982663925596575E-12</c:v>
                </c:pt>
                <c:pt idx="139">
                  <c:v>3.5982663925596575E-12</c:v>
                </c:pt>
                <c:pt idx="140">
                  <c:v>3.5982663925596575E-12</c:v>
                </c:pt>
                <c:pt idx="141">
                  <c:v>3.5982663925596575E-12</c:v>
                </c:pt>
                <c:pt idx="142">
                  <c:v>3.5982663925596575E-12</c:v>
                </c:pt>
                <c:pt idx="143">
                  <c:v>3.5982663925596575E-12</c:v>
                </c:pt>
                <c:pt idx="144">
                  <c:v>3.5982663925596575E-12</c:v>
                </c:pt>
                <c:pt idx="145">
                  <c:v>3.5982663925596575E-12</c:v>
                </c:pt>
                <c:pt idx="146">
                  <c:v>3.5982663925596575E-12</c:v>
                </c:pt>
                <c:pt idx="147">
                  <c:v>3.5982663925596575E-12</c:v>
                </c:pt>
                <c:pt idx="148">
                  <c:v>3.5982663925596575E-12</c:v>
                </c:pt>
                <c:pt idx="149">
                  <c:v>3.5982663925596575E-12</c:v>
                </c:pt>
                <c:pt idx="150">
                  <c:v>3.5982663925596575E-12</c:v>
                </c:pt>
                <c:pt idx="151">
                  <c:v>3.5982663925596575E-12</c:v>
                </c:pt>
                <c:pt idx="152">
                  <c:v>3.5982663925596575E-12</c:v>
                </c:pt>
                <c:pt idx="153">
                  <c:v>3.5982663925596575E-12</c:v>
                </c:pt>
                <c:pt idx="154">
                  <c:v>3.5982663925596575E-12</c:v>
                </c:pt>
                <c:pt idx="155">
                  <c:v>3.5982663925596575E-12</c:v>
                </c:pt>
                <c:pt idx="156">
                  <c:v>3.5982663925596575E-12</c:v>
                </c:pt>
                <c:pt idx="157">
                  <c:v>3.5982663925596575E-12</c:v>
                </c:pt>
                <c:pt idx="158">
                  <c:v>3.5982663925596575E-12</c:v>
                </c:pt>
                <c:pt idx="159">
                  <c:v>3.5982663925596575E-12</c:v>
                </c:pt>
                <c:pt idx="160">
                  <c:v>3.5982663925596575E-12</c:v>
                </c:pt>
                <c:pt idx="161">
                  <c:v>3.5982663925596575E-12</c:v>
                </c:pt>
                <c:pt idx="162">
                  <c:v>3.5982663925596575E-12</c:v>
                </c:pt>
                <c:pt idx="163">
                  <c:v>3.5982663925596575E-12</c:v>
                </c:pt>
                <c:pt idx="164">
                  <c:v>3.5982663925596575E-12</c:v>
                </c:pt>
                <c:pt idx="165">
                  <c:v>3.5982663925596575E-12</c:v>
                </c:pt>
                <c:pt idx="166">
                  <c:v>3.5982663925596575E-12</c:v>
                </c:pt>
                <c:pt idx="167">
                  <c:v>3.5982663925596575E-12</c:v>
                </c:pt>
                <c:pt idx="168">
                  <c:v>3.5982663925596575E-12</c:v>
                </c:pt>
                <c:pt idx="169">
                  <c:v>3.5982663925596575E-12</c:v>
                </c:pt>
                <c:pt idx="170">
                  <c:v>3.5982663925596575E-12</c:v>
                </c:pt>
                <c:pt idx="171">
                  <c:v>3.5982663925596575E-12</c:v>
                </c:pt>
                <c:pt idx="172">
                  <c:v>3.5982663925596575E-12</c:v>
                </c:pt>
                <c:pt idx="173">
                  <c:v>3.5982663925596575E-12</c:v>
                </c:pt>
                <c:pt idx="174">
                  <c:v>3.5982663925596575E-12</c:v>
                </c:pt>
                <c:pt idx="175">
                  <c:v>3.5982663925596575E-12</c:v>
                </c:pt>
                <c:pt idx="176">
                  <c:v>3.5982663925596575E-12</c:v>
                </c:pt>
                <c:pt idx="177">
                  <c:v>3.5982663925596575E-12</c:v>
                </c:pt>
                <c:pt idx="178">
                  <c:v>3.5982663925596575E-12</c:v>
                </c:pt>
                <c:pt idx="179">
                  <c:v>3.5982663925596575E-12</c:v>
                </c:pt>
                <c:pt idx="180">
                  <c:v>3.5982663925596575E-12</c:v>
                </c:pt>
                <c:pt idx="181">
                  <c:v>3.5982663925596575E-12</c:v>
                </c:pt>
                <c:pt idx="182">
                  <c:v>3.5982663925596575E-12</c:v>
                </c:pt>
                <c:pt idx="183">
                  <c:v>3.5982663925596575E-12</c:v>
                </c:pt>
                <c:pt idx="184">
                  <c:v>3.5982663925596575E-12</c:v>
                </c:pt>
                <c:pt idx="185">
                  <c:v>3.5982663925596575E-12</c:v>
                </c:pt>
                <c:pt idx="186">
                  <c:v>3.5982663925596575E-12</c:v>
                </c:pt>
                <c:pt idx="187">
                  <c:v>3.5982663925596575E-12</c:v>
                </c:pt>
                <c:pt idx="188">
                  <c:v>3.5982663925596575E-12</c:v>
                </c:pt>
                <c:pt idx="189">
                  <c:v>3.5982663925596575E-12</c:v>
                </c:pt>
                <c:pt idx="190">
                  <c:v>3.5982663925596575E-12</c:v>
                </c:pt>
                <c:pt idx="191">
                  <c:v>3.5982663925596575E-12</c:v>
                </c:pt>
                <c:pt idx="192">
                  <c:v>3.5982663925596575E-12</c:v>
                </c:pt>
                <c:pt idx="193">
                  <c:v>3.5982663925596575E-12</c:v>
                </c:pt>
                <c:pt idx="194">
                  <c:v>3.5982663925596575E-12</c:v>
                </c:pt>
                <c:pt idx="195">
                  <c:v>3.5982663925596575E-12</c:v>
                </c:pt>
                <c:pt idx="196">
                  <c:v>3.5982663925596575E-12</c:v>
                </c:pt>
                <c:pt idx="197">
                  <c:v>3.5982663925596575E-12</c:v>
                </c:pt>
                <c:pt idx="198">
                  <c:v>3.5982663925596575E-12</c:v>
                </c:pt>
                <c:pt idx="199">
                  <c:v>3.5982663925596575E-12</c:v>
                </c:pt>
                <c:pt idx="200">
                  <c:v>3.5982663925596575E-12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1.9871514745267085</c:v>
                </c:pt>
                <c:pt idx="2">
                  <c:v>2.2795932959932865</c:v>
                </c:pt>
                <c:pt idx="3">
                  <c:v>2.6152290810351171</c:v>
                </c:pt>
                <c:pt idx="4">
                  <c:v>3.0004604948344276</c:v>
                </c:pt>
                <c:pt idx="5">
                  <c:v>3.4426410248529073</c:v>
                </c:pt>
                <c:pt idx="6">
                  <c:v>3.950217924489321</c:v>
                </c:pt>
                <c:pt idx="7">
                  <c:v>4.5328953831658367</c:v>
                </c:pt>
                <c:pt idx="8">
                  <c:v>5.2018221051591089</c:v>
                </c:pt>
                <c:pt idx="9">
                  <c:v>5.9698069577061181</c:v>
                </c:pt>
                <c:pt idx="10">
                  <c:v>6.8515668991437622</c:v>
                </c:pt>
                <c:pt idx="11">
                  <c:v>7.8640120309513231</c:v>
                </c:pt>
                <c:pt idx="12">
                  <c:v>9.0265733460642075</c:v>
                </c:pt>
                <c:pt idx="13">
                  <c:v>10.361579584115061</c:v>
                </c:pt>
                <c:pt idx="14">
                  <c:v>11.89469056891077</c:v>
                </c:pt>
                <c:pt idx="15">
                  <c:v>13.655395513554486</c:v>
                </c:pt>
                <c:pt idx="16">
                  <c:v>15.677586056140717</c:v>
                </c:pt>
                <c:pt idx="17">
                  <c:v>18.000215259182994</c:v>
                </c:pt>
                <c:pt idx="18">
                  <c:v>20.668055497999305</c:v>
                </c:pt>
                <c:pt idx="19">
                  <c:v>23.732570110710395</c:v>
                </c:pt>
                <c:pt idx="20">
                  <c:v>27.252915923905366</c:v>
                </c:pt>
                <c:pt idx="21">
                  <c:v>31.297096347849173</c:v>
                </c:pt>
                <c:pt idx="22">
                  <c:v>35.943287704529361</c:v>
                </c:pt>
                <c:pt idx="23">
                  <c:v>41.281364869801621</c:v>
                </c:pt>
                <c:pt idx="24">
                  <c:v>47.414656245256573</c:v>
                </c:pt>
                <c:pt idx="25">
                  <c:v>54.461962604342546</c:v>
                </c:pt>
                <c:pt idx="26">
                  <c:v>62.55987957072864</c:v>
                </c:pt>
                <c:pt idx="27">
                  <c:v>71.86546948850939</c:v>
                </c:pt>
                <c:pt idx="28">
                  <c:v>82.559335352975296</c:v>
                </c:pt>
                <c:pt idx="29">
                  <c:v>94.849157424739317</c:v>
                </c:pt>
                <c:pt idx="30">
                  <c:v>108.973762307291</c:v>
                </c:pt>
                <c:pt idx="31">
                  <c:v>125.20780481083303</c:v>
                </c:pt>
                <c:pt idx="32">
                  <c:v>143.86715506347394</c:v>
                </c:pt>
                <c:pt idx="33">
                  <c:v>165.31509730628935</c:v>
                </c:pt>
                <c:pt idx="34">
                  <c:v>158.84893796412641</c:v>
                </c:pt>
                <c:pt idx="35">
                  <c:v>176.54303930653251</c:v>
                </c:pt>
                <c:pt idx="36">
                  <c:v>194.19551930873652</c:v>
                </c:pt>
                <c:pt idx="37">
                  <c:v>211.81069514406147</c:v>
                </c:pt>
                <c:pt idx="38">
                  <c:v>229.3921063626801</c:v>
                </c:pt>
                <c:pt idx="39">
                  <c:v>246.94270514825484</c:v>
                </c:pt>
                <c:pt idx="40">
                  <c:v>264.46498951732815</c:v>
                </c:pt>
                <c:pt idx="41">
                  <c:v>281.96109929956856</c:v>
                </c:pt>
                <c:pt idx="42">
                  <c:v>253.22123821454579</c:v>
                </c:pt>
                <c:pt idx="43">
                  <c:v>279.5791897943796</c:v>
                </c:pt>
                <c:pt idx="44">
                  <c:v>305.88140865360117</c:v>
                </c:pt>
                <c:pt idx="45">
                  <c:v>332.13335778194454</c:v>
                </c:pt>
                <c:pt idx="46">
                  <c:v>358.33956600500261</c:v>
                </c:pt>
                <c:pt idx="47">
                  <c:v>384.50384580920303</c:v>
                </c:pt>
                <c:pt idx="48">
                  <c:v>410.62944870003935</c:v>
                </c:pt>
                <c:pt idx="49">
                  <c:v>436.71917892291253</c:v>
                </c:pt>
                <c:pt idx="50">
                  <c:v>462.77547857643464</c:v>
                </c:pt>
                <c:pt idx="51">
                  <c:v>488.80049255215994</c:v>
                </c:pt>
                <c:pt idx="52">
                  <c:v>514.79611892290461</c:v>
                </c:pt>
                <c:pt idx="53">
                  <c:v>445.11120477876307</c:v>
                </c:pt>
                <c:pt idx="54">
                  <c:v>476.20909583731355</c:v>
                </c:pt>
                <c:pt idx="55">
                  <c:v>507.26380284845442</c:v>
                </c:pt>
                <c:pt idx="56">
                  <c:v>538.27833736287687</c:v>
                </c:pt>
                <c:pt idx="57">
                  <c:v>569.25533599678135</c:v>
                </c:pt>
                <c:pt idx="58">
                  <c:v>600.19712537928183</c:v>
                </c:pt>
                <c:pt idx="59">
                  <c:v>631.10577301574028</c:v>
                </c:pt>
                <c:pt idx="60">
                  <c:v>661.98312767460004</c:v>
                </c:pt>
                <c:pt idx="61">
                  <c:v>3.1457867471021712E-12</c:v>
                </c:pt>
                <c:pt idx="62">
                  <c:v>3.1457867471021712E-12</c:v>
                </c:pt>
                <c:pt idx="63">
                  <c:v>3.1457867471021712E-12</c:v>
                </c:pt>
                <c:pt idx="64">
                  <c:v>3.1457867471021712E-12</c:v>
                </c:pt>
                <c:pt idx="65">
                  <c:v>3.1457867471021712E-12</c:v>
                </c:pt>
                <c:pt idx="66">
                  <c:v>3.1457867471021712E-12</c:v>
                </c:pt>
                <c:pt idx="67">
                  <c:v>3.1457867471021712E-12</c:v>
                </c:pt>
                <c:pt idx="68">
                  <c:v>3.1457867471021712E-12</c:v>
                </c:pt>
                <c:pt idx="69">
                  <c:v>3.1457867471021712E-12</c:v>
                </c:pt>
                <c:pt idx="70">
                  <c:v>3.1457867471021712E-12</c:v>
                </c:pt>
                <c:pt idx="71">
                  <c:v>3.1457867471021712E-12</c:v>
                </c:pt>
                <c:pt idx="72">
                  <c:v>3.1457867471021712E-12</c:v>
                </c:pt>
                <c:pt idx="73">
                  <c:v>3.1457867471021712E-12</c:v>
                </c:pt>
                <c:pt idx="74">
                  <c:v>3.1457867471021712E-12</c:v>
                </c:pt>
                <c:pt idx="75">
                  <c:v>3.1457867471021712E-12</c:v>
                </c:pt>
                <c:pt idx="76">
                  <c:v>3.1457867471021712E-12</c:v>
                </c:pt>
                <c:pt idx="77">
                  <c:v>3.1457867471021712E-12</c:v>
                </c:pt>
                <c:pt idx="78">
                  <c:v>3.1457867471021712E-12</c:v>
                </c:pt>
                <c:pt idx="79">
                  <c:v>3.1457867471021712E-12</c:v>
                </c:pt>
                <c:pt idx="80">
                  <c:v>3.1457867471021712E-12</c:v>
                </c:pt>
                <c:pt idx="81">
                  <c:v>3.1457867471021712E-12</c:v>
                </c:pt>
                <c:pt idx="82">
                  <c:v>3.1457867471021712E-12</c:v>
                </c:pt>
                <c:pt idx="83">
                  <c:v>3.1457867471021712E-12</c:v>
                </c:pt>
                <c:pt idx="84">
                  <c:v>3.1457867471021712E-12</c:v>
                </c:pt>
                <c:pt idx="85">
                  <c:v>3.1457867471021712E-12</c:v>
                </c:pt>
                <c:pt idx="86">
                  <c:v>3.1457867471021712E-12</c:v>
                </c:pt>
                <c:pt idx="87">
                  <c:v>3.1457867471021712E-12</c:v>
                </c:pt>
                <c:pt idx="88">
                  <c:v>3.1457867471021712E-12</c:v>
                </c:pt>
                <c:pt idx="89">
                  <c:v>3.1457867471021712E-12</c:v>
                </c:pt>
                <c:pt idx="90">
                  <c:v>3.1457867471021712E-12</c:v>
                </c:pt>
                <c:pt idx="91">
                  <c:v>3.1457867471021712E-12</c:v>
                </c:pt>
                <c:pt idx="92">
                  <c:v>3.1457867471021712E-12</c:v>
                </c:pt>
                <c:pt idx="93">
                  <c:v>3.1457867471021712E-12</c:v>
                </c:pt>
                <c:pt idx="94">
                  <c:v>3.1457867471021712E-12</c:v>
                </c:pt>
                <c:pt idx="95">
                  <c:v>3.1457867471021712E-12</c:v>
                </c:pt>
                <c:pt idx="96">
                  <c:v>3.1457867471021712E-12</c:v>
                </c:pt>
                <c:pt idx="97">
                  <c:v>3.1457867471021712E-12</c:v>
                </c:pt>
                <c:pt idx="98">
                  <c:v>3.1457867471021712E-12</c:v>
                </c:pt>
                <c:pt idx="99">
                  <c:v>3.1457867471021712E-12</c:v>
                </c:pt>
                <c:pt idx="100">
                  <c:v>3.1457867471021712E-12</c:v>
                </c:pt>
                <c:pt idx="101">
                  <c:v>3.1457867471021712E-12</c:v>
                </c:pt>
                <c:pt idx="102">
                  <c:v>3.1457867471021712E-12</c:v>
                </c:pt>
                <c:pt idx="103">
                  <c:v>3.1457867471021712E-12</c:v>
                </c:pt>
                <c:pt idx="104">
                  <c:v>3.1457867471021712E-12</c:v>
                </c:pt>
                <c:pt idx="105">
                  <c:v>3.1457867471021712E-12</c:v>
                </c:pt>
                <c:pt idx="106">
                  <c:v>3.1457867471021712E-12</c:v>
                </c:pt>
                <c:pt idx="107">
                  <c:v>3.1457867471021712E-12</c:v>
                </c:pt>
                <c:pt idx="108">
                  <c:v>3.1457867471021712E-12</c:v>
                </c:pt>
                <c:pt idx="109">
                  <c:v>3.1457867471021712E-12</c:v>
                </c:pt>
                <c:pt idx="110">
                  <c:v>3.1457867471021712E-12</c:v>
                </c:pt>
                <c:pt idx="111">
                  <c:v>3.1457867471021712E-12</c:v>
                </c:pt>
                <c:pt idx="112">
                  <c:v>3.1457867471021712E-12</c:v>
                </c:pt>
                <c:pt idx="113">
                  <c:v>3.1457867471021712E-12</c:v>
                </c:pt>
                <c:pt idx="114">
                  <c:v>3.1457867471021712E-12</c:v>
                </c:pt>
                <c:pt idx="115">
                  <c:v>3.1457867471021712E-12</c:v>
                </c:pt>
                <c:pt idx="116">
                  <c:v>3.1457867471021712E-12</c:v>
                </c:pt>
                <c:pt idx="117">
                  <c:v>3.1457867471021712E-12</c:v>
                </c:pt>
                <c:pt idx="118">
                  <c:v>3.1457867471021712E-12</c:v>
                </c:pt>
                <c:pt idx="119">
                  <c:v>3.1457867471021712E-12</c:v>
                </c:pt>
                <c:pt idx="120">
                  <c:v>3.1457867471021712E-12</c:v>
                </c:pt>
                <c:pt idx="121">
                  <c:v>3.1457867471021712E-12</c:v>
                </c:pt>
                <c:pt idx="122">
                  <c:v>3.1457867471021712E-12</c:v>
                </c:pt>
                <c:pt idx="123">
                  <c:v>3.1457867471021712E-12</c:v>
                </c:pt>
                <c:pt idx="124">
                  <c:v>3.1457867471021712E-12</c:v>
                </c:pt>
                <c:pt idx="125">
                  <c:v>3.1457867471021712E-12</c:v>
                </c:pt>
                <c:pt idx="126">
                  <c:v>3.1457867471021712E-12</c:v>
                </c:pt>
                <c:pt idx="127">
                  <c:v>3.1457867471021712E-12</c:v>
                </c:pt>
                <c:pt idx="128">
                  <c:v>3.1457867471021712E-12</c:v>
                </c:pt>
                <c:pt idx="129">
                  <c:v>3.1457867471021712E-12</c:v>
                </c:pt>
                <c:pt idx="130">
                  <c:v>3.1457867471021712E-12</c:v>
                </c:pt>
                <c:pt idx="131">
                  <c:v>3.1457867471021712E-12</c:v>
                </c:pt>
                <c:pt idx="132">
                  <c:v>3.1457867471021712E-12</c:v>
                </c:pt>
                <c:pt idx="133">
                  <c:v>3.1457867471021712E-12</c:v>
                </c:pt>
                <c:pt idx="134">
                  <c:v>3.1457867471021712E-12</c:v>
                </c:pt>
                <c:pt idx="135">
                  <c:v>3.1457867471021712E-12</c:v>
                </c:pt>
                <c:pt idx="136">
                  <c:v>3.1457867471021712E-12</c:v>
                </c:pt>
                <c:pt idx="137">
                  <c:v>3.1457867471021712E-12</c:v>
                </c:pt>
                <c:pt idx="138">
                  <c:v>3.1457867471021712E-12</c:v>
                </c:pt>
                <c:pt idx="139">
                  <c:v>3.1457867471021712E-12</c:v>
                </c:pt>
                <c:pt idx="140">
                  <c:v>3.1457867471021712E-12</c:v>
                </c:pt>
                <c:pt idx="141">
                  <c:v>3.1457867471021712E-12</c:v>
                </c:pt>
                <c:pt idx="142">
                  <c:v>3.1457867471021712E-12</c:v>
                </c:pt>
                <c:pt idx="143">
                  <c:v>3.1457867471021712E-12</c:v>
                </c:pt>
                <c:pt idx="144">
                  <c:v>3.1457867471021712E-12</c:v>
                </c:pt>
                <c:pt idx="145">
                  <c:v>3.1457867471021712E-12</c:v>
                </c:pt>
                <c:pt idx="146">
                  <c:v>3.1457867471021712E-12</c:v>
                </c:pt>
                <c:pt idx="147">
                  <c:v>3.1457867471021712E-12</c:v>
                </c:pt>
                <c:pt idx="148">
                  <c:v>3.1457867471021712E-12</c:v>
                </c:pt>
                <c:pt idx="149">
                  <c:v>3.1457867471021712E-12</c:v>
                </c:pt>
                <c:pt idx="150">
                  <c:v>3.1457867471021712E-12</c:v>
                </c:pt>
                <c:pt idx="151">
                  <c:v>3.1457867471021712E-12</c:v>
                </c:pt>
                <c:pt idx="152">
                  <c:v>3.1457867471021712E-12</c:v>
                </c:pt>
                <c:pt idx="153">
                  <c:v>3.1457867471021712E-12</c:v>
                </c:pt>
                <c:pt idx="154">
                  <c:v>3.1457867471021712E-12</c:v>
                </c:pt>
                <c:pt idx="155">
                  <c:v>3.1457867471021712E-12</c:v>
                </c:pt>
                <c:pt idx="156">
                  <c:v>3.1457867471021712E-12</c:v>
                </c:pt>
                <c:pt idx="157">
                  <c:v>3.1457867471021712E-12</c:v>
                </c:pt>
                <c:pt idx="158">
                  <c:v>3.1457867471021712E-12</c:v>
                </c:pt>
                <c:pt idx="159">
                  <c:v>3.1457867471021712E-12</c:v>
                </c:pt>
                <c:pt idx="160">
                  <c:v>3.1457867471021712E-12</c:v>
                </c:pt>
                <c:pt idx="161">
                  <c:v>3.1457867471021712E-12</c:v>
                </c:pt>
                <c:pt idx="162">
                  <c:v>3.1457867471021712E-12</c:v>
                </c:pt>
                <c:pt idx="163">
                  <c:v>3.1457867471021712E-12</c:v>
                </c:pt>
                <c:pt idx="164">
                  <c:v>3.1457867471021712E-12</c:v>
                </c:pt>
                <c:pt idx="165">
                  <c:v>3.1457867471021712E-12</c:v>
                </c:pt>
                <c:pt idx="166">
                  <c:v>3.1457867471021712E-12</c:v>
                </c:pt>
                <c:pt idx="167">
                  <c:v>3.1457867471021712E-12</c:v>
                </c:pt>
                <c:pt idx="168">
                  <c:v>3.1457867471021712E-12</c:v>
                </c:pt>
                <c:pt idx="169">
                  <c:v>3.1457867471021712E-12</c:v>
                </c:pt>
                <c:pt idx="170">
                  <c:v>3.1457867471021712E-12</c:v>
                </c:pt>
                <c:pt idx="171">
                  <c:v>3.1457867471021712E-12</c:v>
                </c:pt>
                <c:pt idx="172">
                  <c:v>3.1457867471021712E-12</c:v>
                </c:pt>
                <c:pt idx="173">
                  <c:v>3.1457867471021712E-12</c:v>
                </c:pt>
                <c:pt idx="174">
                  <c:v>3.1457867471021712E-12</c:v>
                </c:pt>
                <c:pt idx="175">
                  <c:v>3.1457867471021712E-12</c:v>
                </c:pt>
                <c:pt idx="176">
                  <c:v>3.1457867471021712E-12</c:v>
                </c:pt>
                <c:pt idx="177">
                  <c:v>3.1457867471021712E-12</c:v>
                </c:pt>
                <c:pt idx="178">
                  <c:v>3.1457867471021712E-12</c:v>
                </c:pt>
                <c:pt idx="179">
                  <c:v>3.1457867471021712E-12</c:v>
                </c:pt>
                <c:pt idx="180">
                  <c:v>3.1457867471021712E-12</c:v>
                </c:pt>
                <c:pt idx="181">
                  <c:v>3.1457867471021712E-12</c:v>
                </c:pt>
                <c:pt idx="182">
                  <c:v>3.1457867471021712E-12</c:v>
                </c:pt>
                <c:pt idx="183">
                  <c:v>3.1457867471021712E-12</c:v>
                </c:pt>
                <c:pt idx="184">
                  <c:v>3.1457867471021712E-12</c:v>
                </c:pt>
                <c:pt idx="185">
                  <c:v>3.1457867471021712E-12</c:v>
                </c:pt>
                <c:pt idx="186">
                  <c:v>3.1457867471021712E-12</c:v>
                </c:pt>
                <c:pt idx="187">
                  <c:v>3.1457867471021712E-12</c:v>
                </c:pt>
                <c:pt idx="188">
                  <c:v>3.1457867471021712E-12</c:v>
                </c:pt>
                <c:pt idx="189">
                  <c:v>3.1457867471021712E-12</c:v>
                </c:pt>
                <c:pt idx="190">
                  <c:v>3.1457867471021712E-12</c:v>
                </c:pt>
                <c:pt idx="191">
                  <c:v>3.1457867471021712E-12</c:v>
                </c:pt>
                <c:pt idx="192">
                  <c:v>3.1457867471021712E-12</c:v>
                </c:pt>
                <c:pt idx="193">
                  <c:v>3.1457867471021712E-12</c:v>
                </c:pt>
                <c:pt idx="194">
                  <c:v>3.1457867471021712E-12</c:v>
                </c:pt>
                <c:pt idx="195">
                  <c:v>3.1457867471021712E-12</c:v>
                </c:pt>
                <c:pt idx="196">
                  <c:v>3.1457867471021712E-12</c:v>
                </c:pt>
                <c:pt idx="197">
                  <c:v>3.1457867471021712E-12</c:v>
                </c:pt>
                <c:pt idx="198">
                  <c:v>3.1457867471021712E-12</c:v>
                </c:pt>
                <c:pt idx="199">
                  <c:v>3.1457867471021712E-12</c:v>
                </c:pt>
                <c:pt idx="200">
                  <c:v>3.1457867471021712E-12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70" zoomScaleNormal="70" workbookViewId="0">
      <selection activeCell="F6" sqref="F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4.8600000000000003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0.73</v>
      </c>
      <c r="D9" s="36">
        <f t="shared" ref="D9:D18" si="0">C9*$C$5</f>
        <v>3.5478000000000001</v>
      </c>
      <c r="E9" s="37">
        <v>140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35">
        <v>0.08</v>
      </c>
      <c r="D10" s="36">
        <f t="shared" si="0"/>
        <v>0.38880000000000003</v>
      </c>
      <c r="E10" s="37">
        <v>140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9</v>
      </c>
      <c r="C11" s="35">
        <v>0.03</v>
      </c>
      <c r="D11" s="36">
        <f t="shared" si="0"/>
        <v>0.14580000000000001</v>
      </c>
      <c r="E11" s="37">
        <v>140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15</v>
      </c>
      <c r="C12" s="35">
        <v>0.01</v>
      </c>
      <c r="D12" s="36">
        <f t="shared" si="0"/>
        <v>4.8600000000000004E-2</v>
      </c>
      <c r="E12" s="37">
        <v>140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13</v>
      </c>
      <c r="C13" s="35">
        <v>0.02</v>
      </c>
      <c r="D13" s="36">
        <f t="shared" si="0"/>
        <v>9.7200000000000009E-2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18</v>
      </c>
      <c r="C14" s="35">
        <v>0.04</v>
      </c>
      <c r="D14" s="36">
        <f t="shared" si="0"/>
        <v>0.19440000000000002</v>
      </c>
      <c r="E14" s="37">
        <v>60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1</v>
      </c>
      <c r="C15" s="35">
        <v>0.01</v>
      </c>
      <c r="D15" s="36">
        <f t="shared" si="0"/>
        <v>4.8600000000000004E-2</v>
      </c>
      <c r="E15" s="37">
        <v>60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29</v>
      </c>
      <c r="C16" s="35">
        <v>0.01</v>
      </c>
      <c r="D16" s="36">
        <f t="shared" si="0"/>
        <v>4.8600000000000004E-2</v>
      </c>
      <c r="E16" s="37">
        <v>60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50</v>
      </c>
      <c r="C17" s="35">
        <v>0.01</v>
      </c>
      <c r="D17" s="36">
        <f t="shared" si="0"/>
        <v>4.8600000000000004E-2</v>
      </c>
      <c r="E17" s="37">
        <v>60</v>
      </c>
      <c r="F17" s="38" t="str">
        <f t="array" ref="F17">IF(E17="","",IF(INDEX(A:A,MAX(IF(ISNUMBER($A$244:$A$263),ROW($A$244:$A$263),"")))&lt;&gt;E17,"Corrigez : révolution incorrecte","OK"))</f>
        <v>OK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 t="s">
        <v>52</v>
      </c>
      <c r="C18" s="35">
        <v>0.01</v>
      </c>
      <c r="D18" s="36">
        <f t="shared" si="0"/>
        <v>4.8600000000000004E-2</v>
      </c>
      <c r="E18" s="37">
        <v>60</v>
      </c>
      <c r="F18" s="38" t="str">
        <f t="array" ref="F18">IF(E18="","",IF(INDEX(A:A,MAX(IF(ISNUMBER($A$270:$A$289),ROW($A$270:$A$289),"")))&lt;&gt;E18,"Corrigez : révolution incorrecte","OK"))</f>
        <v>OK</v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0.95000000000000007</v>
      </c>
      <c r="D19" s="41">
        <f>SUM(D9:D18)</f>
        <v>4.6170000000000027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33</v>
      </c>
      <c r="B36" s="63">
        <v>203.48</v>
      </c>
      <c r="C36" s="63">
        <v>1</v>
      </c>
      <c r="D36" s="63">
        <v>30.52</v>
      </c>
      <c r="E36" s="54"/>
      <c r="F36" s="54"/>
      <c r="G36" s="54"/>
      <c r="H36" s="54">
        <v>1</v>
      </c>
      <c r="I36" s="52">
        <f>IFERROR(B36/A36,"")</f>
        <v>6.166060606060606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41</v>
      </c>
      <c r="B37" s="63">
        <v>345.11</v>
      </c>
      <c r="C37" s="63">
        <v>2</v>
      </c>
      <c r="D37" s="63">
        <v>69.02</v>
      </c>
      <c r="E37" s="54"/>
      <c r="F37" s="54"/>
      <c r="G37" s="54"/>
      <c r="H37" s="54">
        <v>1</v>
      </c>
      <c r="I37" s="56">
        <f t="shared" ref="I37:I55" si="1">IF(A37&lt;&gt;0,(B37-(B36-D36))/(A37-A36),"")</f>
        <v>21.518750000000004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55</v>
      </c>
      <c r="B38" s="63">
        <v>739.34</v>
      </c>
      <c r="C38" s="63">
        <v>3</v>
      </c>
      <c r="D38" s="63">
        <v>147.87</v>
      </c>
      <c r="E38" s="54">
        <v>0.5</v>
      </c>
      <c r="F38" s="54">
        <v>0.1</v>
      </c>
      <c r="G38" s="54">
        <v>0.15</v>
      </c>
      <c r="H38" s="54">
        <v>0.25</v>
      </c>
      <c r="I38" s="56">
        <f t="shared" si="1"/>
        <v>33.089285714285715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70</v>
      </c>
      <c r="B39" s="63">
        <v>1293.06</v>
      </c>
      <c r="C39" s="63">
        <v>4</v>
      </c>
      <c r="D39" s="63">
        <v>258.61</v>
      </c>
      <c r="E39" s="54">
        <v>0.5</v>
      </c>
      <c r="F39" s="54">
        <v>0.1</v>
      </c>
      <c r="G39" s="54">
        <v>0.15</v>
      </c>
      <c r="H39" s="54">
        <v>0.25</v>
      </c>
      <c r="I39" s="52">
        <f t="shared" si="1"/>
        <v>46.772666666666659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83</v>
      </c>
      <c r="B40" s="63">
        <v>1639.08</v>
      </c>
      <c r="C40" s="63">
        <v>5</v>
      </c>
      <c r="D40" s="63">
        <v>327.82</v>
      </c>
      <c r="E40" s="54">
        <v>0.6</v>
      </c>
      <c r="F40" s="54">
        <v>0.08</v>
      </c>
      <c r="G40" s="54">
        <v>0.12</v>
      </c>
      <c r="H40" s="54">
        <v>0.2</v>
      </c>
      <c r="I40" s="52">
        <f t="shared" si="1"/>
        <v>46.510000000000005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97</v>
      </c>
      <c r="B41" s="63">
        <v>2133.4499999999998</v>
      </c>
      <c r="C41" s="63">
        <v>6</v>
      </c>
      <c r="D41" s="63">
        <v>426.69</v>
      </c>
      <c r="E41" s="54">
        <v>0.7</v>
      </c>
      <c r="F41" s="54">
        <v>0.06</v>
      </c>
      <c r="G41" s="54">
        <v>0.09</v>
      </c>
      <c r="H41" s="54">
        <v>0.15</v>
      </c>
      <c r="I41" s="56">
        <f t="shared" si="1"/>
        <v>58.727857142857133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111</v>
      </c>
      <c r="B42" s="63">
        <v>2517.09</v>
      </c>
      <c r="C42" s="63">
        <v>7</v>
      </c>
      <c r="D42" s="63">
        <v>503.42</v>
      </c>
      <c r="E42" s="54">
        <v>0.8</v>
      </c>
      <c r="F42" s="54">
        <v>0.04</v>
      </c>
      <c r="G42" s="54">
        <v>0.06</v>
      </c>
      <c r="H42" s="54">
        <v>0.1</v>
      </c>
      <c r="I42" s="56">
        <f t="shared" si="1"/>
        <v>57.880714285714312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125</v>
      </c>
      <c r="B43" s="63">
        <v>3064.7</v>
      </c>
      <c r="C43" s="63">
        <v>8</v>
      </c>
      <c r="D43" s="63">
        <v>612.94000000000005</v>
      </c>
      <c r="E43" s="54">
        <v>0.8</v>
      </c>
      <c r="F43" s="54">
        <v>0.04</v>
      </c>
      <c r="G43" s="54">
        <v>0.06</v>
      </c>
      <c r="H43" s="54">
        <v>0.1</v>
      </c>
      <c r="I43" s="52">
        <f t="shared" si="1"/>
        <v>75.073571428571412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140</v>
      </c>
      <c r="B44" s="63">
        <v>4026.47</v>
      </c>
      <c r="C44" s="63">
        <v>9</v>
      </c>
      <c r="D44" s="63">
        <v>4026.47</v>
      </c>
      <c r="E44" s="54">
        <v>0.8</v>
      </c>
      <c r="F44" s="54">
        <v>0.04</v>
      </c>
      <c r="G44" s="54">
        <v>0.06</v>
      </c>
      <c r="H44" s="54">
        <v>0.1</v>
      </c>
      <c r="I44" s="52">
        <f t="shared" si="1"/>
        <v>104.98066666666666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33</v>
      </c>
      <c r="B62" s="63">
        <v>203.48</v>
      </c>
      <c r="C62" s="63">
        <v>1</v>
      </c>
      <c r="D62" s="63">
        <v>30.52</v>
      </c>
      <c r="E62" s="54"/>
      <c r="F62" s="54"/>
      <c r="G62" s="54"/>
      <c r="H62" s="54">
        <v>1</v>
      </c>
      <c r="I62" s="56">
        <f>IFERROR(B62/A62,"")</f>
        <v>6.166060606060606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41</v>
      </c>
      <c r="B63" s="63">
        <v>345.11</v>
      </c>
      <c r="C63" s="63">
        <v>2</v>
      </c>
      <c r="D63" s="63">
        <v>69.02</v>
      </c>
      <c r="E63" s="54"/>
      <c r="F63" s="54"/>
      <c r="G63" s="54"/>
      <c r="H63" s="54">
        <v>1</v>
      </c>
      <c r="I63" s="52">
        <f>IF(A63&lt;&gt;0,(B63-(B62-D62))/(A63-A62),"")</f>
        <v>21.518750000000004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55</v>
      </c>
      <c r="B64" s="63">
        <v>739.34</v>
      </c>
      <c r="C64" s="63">
        <v>3</v>
      </c>
      <c r="D64" s="63">
        <v>147.87</v>
      </c>
      <c r="E64" s="54">
        <v>0.5</v>
      </c>
      <c r="F64" s="54">
        <v>0.1</v>
      </c>
      <c r="G64" s="54">
        <v>0.15</v>
      </c>
      <c r="H64" s="54">
        <v>0.25</v>
      </c>
      <c r="I64" s="52">
        <f>IF(A64&lt;&gt;0,(B64-(B63-D63))/(A64-A63),"")</f>
        <v>33.089285714285715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70</v>
      </c>
      <c r="B65" s="63">
        <v>1293.06</v>
      </c>
      <c r="C65" s="63">
        <v>4</v>
      </c>
      <c r="D65" s="63">
        <v>258.61</v>
      </c>
      <c r="E65" s="54">
        <v>0.5</v>
      </c>
      <c r="F65" s="54">
        <v>0.1</v>
      </c>
      <c r="G65" s="54">
        <v>0.15</v>
      </c>
      <c r="H65" s="54">
        <v>0.25</v>
      </c>
      <c r="I65" s="52">
        <f>IF(A65&lt;&gt;0,(B65-(B64-D64))/(A65-A64),"")</f>
        <v>46.772666666666659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83</v>
      </c>
      <c r="B66" s="63">
        <v>1639.08</v>
      </c>
      <c r="C66" s="63">
        <v>5</v>
      </c>
      <c r="D66" s="63">
        <v>327.82</v>
      </c>
      <c r="E66" s="54">
        <v>0.6</v>
      </c>
      <c r="F66" s="54">
        <v>0.08</v>
      </c>
      <c r="G66" s="54">
        <v>0.12</v>
      </c>
      <c r="H66" s="54">
        <v>0.2</v>
      </c>
      <c r="I66" s="52">
        <f t="shared" ref="I66:I81" si="2">IF(A66&lt;&gt;0,(B66-(B65-D65))/(A66-A65),"")</f>
        <v>46.510000000000005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97</v>
      </c>
      <c r="B67" s="63">
        <v>2133.4499999999998</v>
      </c>
      <c r="C67" s="63">
        <v>6</v>
      </c>
      <c r="D67" s="63">
        <v>426.69</v>
      </c>
      <c r="E67" s="54">
        <v>0.7</v>
      </c>
      <c r="F67" s="54">
        <v>0.06</v>
      </c>
      <c r="G67" s="54">
        <v>0.09</v>
      </c>
      <c r="H67" s="54">
        <v>0.15</v>
      </c>
      <c r="I67" s="52">
        <f t="shared" si="2"/>
        <v>58.727857142857133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111</v>
      </c>
      <c r="B68" s="63">
        <v>2517.09</v>
      </c>
      <c r="C68" s="63">
        <v>7</v>
      </c>
      <c r="D68" s="63">
        <v>503.42</v>
      </c>
      <c r="E68" s="54">
        <v>0.8</v>
      </c>
      <c r="F68" s="54">
        <v>0.04</v>
      </c>
      <c r="G68" s="54">
        <v>0.06</v>
      </c>
      <c r="H68" s="54">
        <v>0.1</v>
      </c>
      <c r="I68" s="52">
        <f t="shared" si="2"/>
        <v>57.880714285714312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125</v>
      </c>
      <c r="B69" s="53">
        <v>3064.7</v>
      </c>
      <c r="C69" s="53">
        <v>8</v>
      </c>
      <c r="D69" s="53">
        <v>612.94000000000005</v>
      </c>
      <c r="E69" s="54">
        <v>0.8</v>
      </c>
      <c r="F69" s="54">
        <v>0.04</v>
      </c>
      <c r="G69" s="54">
        <v>0.06</v>
      </c>
      <c r="H69" s="54">
        <v>0.1</v>
      </c>
      <c r="I69" s="52">
        <f t="shared" si="2"/>
        <v>75.073571428571412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140</v>
      </c>
      <c r="B70" s="53">
        <v>4026.47</v>
      </c>
      <c r="C70" s="53">
        <v>9</v>
      </c>
      <c r="D70" s="53">
        <v>4026.47</v>
      </c>
      <c r="E70" s="54">
        <v>0.8</v>
      </c>
      <c r="F70" s="54">
        <v>0.04</v>
      </c>
      <c r="G70" s="54">
        <v>0.06</v>
      </c>
      <c r="H70" s="54">
        <v>0.1</v>
      </c>
      <c r="I70" s="52">
        <f t="shared" si="2"/>
        <v>104.98066666666666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chevelu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33</v>
      </c>
      <c r="B88" s="63">
        <v>203.48</v>
      </c>
      <c r="C88" s="63">
        <v>1</v>
      </c>
      <c r="D88" s="63">
        <v>30.52</v>
      </c>
      <c r="E88" s="54"/>
      <c r="F88" s="54"/>
      <c r="G88" s="54"/>
      <c r="H88" s="93">
        <v>1</v>
      </c>
      <c r="I88" s="56">
        <f>IFERROR(B88/A88,"")</f>
        <v>6.166060606060606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41</v>
      </c>
      <c r="B89" s="63">
        <v>345.11</v>
      </c>
      <c r="C89" s="63">
        <v>2</v>
      </c>
      <c r="D89" s="63">
        <v>69.02</v>
      </c>
      <c r="E89" s="54"/>
      <c r="F89" s="54"/>
      <c r="G89" s="54"/>
      <c r="H89" s="93">
        <v>1</v>
      </c>
      <c r="I89" s="56">
        <f t="shared" ref="I89:I107" si="3">IF(A89&lt;&gt;0,(B89-(B88-D88))/(A89-A88),"")</f>
        <v>21.518750000000004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55</v>
      </c>
      <c r="B90" s="63">
        <v>739.34</v>
      </c>
      <c r="C90" s="63">
        <v>3</v>
      </c>
      <c r="D90" s="63">
        <v>147.87</v>
      </c>
      <c r="E90" s="93">
        <v>0.5</v>
      </c>
      <c r="F90" s="93">
        <v>0.1</v>
      </c>
      <c r="G90" s="93">
        <v>0.15</v>
      </c>
      <c r="H90" s="93">
        <v>0.25</v>
      </c>
      <c r="I90" s="56">
        <f t="shared" si="3"/>
        <v>33.089285714285715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70</v>
      </c>
      <c r="B91" s="63">
        <v>1293.06</v>
      </c>
      <c r="C91" s="63">
        <v>4</v>
      </c>
      <c r="D91" s="63">
        <v>258.61</v>
      </c>
      <c r="E91" s="93">
        <v>0.5</v>
      </c>
      <c r="F91" s="93">
        <v>0.1</v>
      </c>
      <c r="G91" s="93">
        <v>0.15</v>
      </c>
      <c r="H91" s="93">
        <v>0.25</v>
      </c>
      <c r="I91" s="56">
        <f t="shared" si="3"/>
        <v>46.772666666666659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83</v>
      </c>
      <c r="B92" s="63">
        <v>1639.08</v>
      </c>
      <c r="C92" s="63">
        <v>5</v>
      </c>
      <c r="D92" s="63">
        <v>327.82</v>
      </c>
      <c r="E92" s="93">
        <v>0.6</v>
      </c>
      <c r="F92" s="93">
        <v>0.08</v>
      </c>
      <c r="G92" s="93">
        <v>0.12</v>
      </c>
      <c r="H92" s="93">
        <v>0.2</v>
      </c>
      <c r="I92" s="56">
        <f t="shared" si="3"/>
        <v>46.510000000000005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97</v>
      </c>
      <c r="B93" s="63">
        <v>2133.4499999999998</v>
      </c>
      <c r="C93" s="63">
        <v>6</v>
      </c>
      <c r="D93" s="63">
        <v>426.69</v>
      </c>
      <c r="E93" s="93">
        <v>0.7</v>
      </c>
      <c r="F93" s="93">
        <v>0.06</v>
      </c>
      <c r="G93" s="93">
        <v>0.09</v>
      </c>
      <c r="H93" s="93">
        <v>0.15</v>
      </c>
      <c r="I93" s="56">
        <f t="shared" si="3"/>
        <v>58.727857142857133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111</v>
      </c>
      <c r="B94" s="63">
        <v>2517.09</v>
      </c>
      <c r="C94" s="63">
        <v>7</v>
      </c>
      <c r="D94" s="63">
        <v>503.42</v>
      </c>
      <c r="E94" s="93">
        <v>0.8</v>
      </c>
      <c r="F94" s="93">
        <v>0.04</v>
      </c>
      <c r="G94" s="93">
        <v>0.06</v>
      </c>
      <c r="H94" s="93">
        <v>0.1</v>
      </c>
      <c r="I94" s="56">
        <f t="shared" si="3"/>
        <v>57.880714285714312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125</v>
      </c>
      <c r="B95" s="63">
        <v>3064.7</v>
      </c>
      <c r="C95" s="63">
        <v>8</v>
      </c>
      <c r="D95" s="63">
        <v>612.94000000000005</v>
      </c>
      <c r="E95" s="93">
        <v>0.8</v>
      </c>
      <c r="F95" s="93">
        <v>0.04</v>
      </c>
      <c r="G95" s="93">
        <v>0.06</v>
      </c>
      <c r="H95" s="93">
        <v>0.1</v>
      </c>
      <c r="I95" s="56">
        <f t="shared" si="3"/>
        <v>75.073571428571412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140</v>
      </c>
      <c r="B96" s="63">
        <v>4026.47</v>
      </c>
      <c r="C96" s="63">
        <v>9</v>
      </c>
      <c r="D96" s="63">
        <v>4026.47</v>
      </c>
      <c r="E96" s="93">
        <v>0.8</v>
      </c>
      <c r="F96" s="93">
        <v>0.04</v>
      </c>
      <c r="G96" s="93">
        <v>0.06</v>
      </c>
      <c r="H96" s="93">
        <v>0.1</v>
      </c>
      <c r="I96" s="56">
        <f t="shared" si="3"/>
        <v>104.98066666666666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Chêne tauzin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33</v>
      </c>
      <c r="B114" s="63">
        <v>203.48</v>
      </c>
      <c r="C114" s="53">
        <v>1</v>
      </c>
      <c r="D114" s="63">
        <v>30.52</v>
      </c>
      <c r="E114" s="54"/>
      <c r="F114" s="54"/>
      <c r="G114" s="54"/>
      <c r="H114" s="54">
        <v>1</v>
      </c>
      <c r="I114" s="56">
        <f>IFERROR(B114/A114,"")</f>
        <v>6.166060606060606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41</v>
      </c>
      <c r="B115" s="63">
        <v>345.11</v>
      </c>
      <c r="C115" s="53">
        <v>2</v>
      </c>
      <c r="D115" s="63">
        <v>69.02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21.518750000000004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55</v>
      </c>
      <c r="B116" s="63">
        <v>739.34</v>
      </c>
      <c r="C116" s="53">
        <v>3</v>
      </c>
      <c r="D116" s="63">
        <v>147.87</v>
      </c>
      <c r="E116" s="54">
        <v>0.5</v>
      </c>
      <c r="F116" s="54">
        <v>0.1</v>
      </c>
      <c r="G116" s="54">
        <v>0.15</v>
      </c>
      <c r="H116" s="54">
        <v>0.25</v>
      </c>
      <c r="I116" s="56">
        <f t="shared" si="4"/>
        <v>33.089285714285715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70</v>
      </c>
      <c r="B117" s="63">
        <v>1293.06</v>
      </c>
      <c r="C117" s="53">
        <v>4</v>
      </c>
      <c r="D117" s="63">
        <v>258.61</v>
      </c>
      <c r="E117" s="54">
        <v>0.5</v>
      </c>
      <c r="F117" s="54">
        <v>0.1</v>
      </c>
      <c r="G117" s="54">
        <v>0.15</v>
      </c>
      <c r="H117" s="54">
        <v>0.25</v>
      </c>
      <c r="I117" s="56">
        <f t="shared" si="4"/>
        <v>46.772666666666659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83</v>
      </c>
      <c r="B118" s="63">
        <v>1639.08</v>
      </c>
      <c r="C118" s="53">
        <v>5</v>
      </c>
      <c r="D118" s="63">
        <v>327.82</v>
      </c>
      <c r="E118" s="54">
        <v>0.6</v>
      </c>
      <c r="F118" s="54">
        <v>0.08</v>
      </c>
      <c r="G118" s="54">
        <v>0.12</v>
      </c>
      <c r="H118" s="54">
        <v>0.2</v>
      </c>
      <c r="I118" s="56">
        <f t="shared" si="4"/>
        <v>46.510000000000005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97</v>
      </c>
      <c r="B119" s="63">
        <v>2133.4499999999998</v>
      </c>
      <c r="C119" s="53">
        <v>6</v>
      </c>
      <c r="D119" s="63">
        <v>426.69</v>
      </c>
      <c r="E119" s="54">
        <v>0.7</v>
      </c>
      <c r="F119" s="54">
        <v>0.06</v>
      </c>
      <c r="G119" s="54">
        <v>0.09</v>
      </c>
      <c r="H119" s="54">
        <v>0.15</v>
      </c>
      <c r="I119" s="56">
        <f t="shared" si="4"/>
        <v>58.727857142857133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111</v>
      </c>
      <c r="B120" s="63">
        <v>2517.09</v>
      </c>
      <c r="C120" s="63">
        <v>7</v>
      </c>
      <c r="D120" s="63">
        <v>503.42</v>
      </c>
      <c r="E120" s="93">
        <v>0.8</v>
      </c>
      <c r="F120" s="93">
        <v>0.04</v>
      </c>
      <c r="G120" s="93">
        <v>0.06</v>
      </c>
      <c r="H120" s="93">
        <v>0.1</v>
      </c>
      <c r="I120" s="56">
        <f t="shared" si="4"/>
        <v>57.880714285714312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125</v>
      </c>
      <c r="B121" s="63">
        <v>3064.7</v>
      </c>
      <c r="C121" s="63">
        <v>8</v>
      </c>
      <c r="D121" s="63">
        <v>612.94000000000005</v>
      </c>
      <c r="E121" s="93">
        <v>0.8</v>
      </c>
      <c r="F121" s="93">
        <v>0.04</v>
      </c>
      <c r="G121" s="93">
        <v>0.06</v>
      </c>
      <c r="H121" s="93">
        <v>0.1</v>
      </c>
      <c r="I121" s="56">
        <f t="shared" si="4"/>
        <v>75.073571428571412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140</v>
      </c>
      <c r="B122" s="63">
        <v>4026.47</v>
      </c>
      <c r="C122" s="63">
        <v>9</v>
      </c>
      <c r="D122" s="63">
        <v>4026.47</v>
      </c>
      <c r="E122" s="93">
        <v>0.8</v>
      </c>
      <c r="F122" s="93">
        <v>0.04</v>
      </c>
      <c r="G122" s="93">
        <v>0.06</v>
      </c>
      <c r="H122" s="93">
        <v>0.1</v>
      </c>
      <c r="I122" s="56">
        <f t="shared" si="4"/>
        <v>104.98066666666666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Chêne rouge d'Amérique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33</v>
      </c>
      <c r="B140" s="63">
        <v>269.04000000000002</v>
      </c>
      <c r="C140" s="53">
        <v>1</v>
      </c>
      <c r="D140" s="63">
        <v>40.36</v>
      </c>
      <c r="E140" s="54"/>
      <c r="F140" s="54"/>
      <c r="G140" s="54"/>
      <c r="H140" s="54">
        <v>1</v>
      </c>
      <c r="I140" s="60">
        <f>IFERROR(B140/A140,"")</f>
        <v>8.1527272727272742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41</v>
      </c>
      <c r="B141" s="63">
        <v>428.64</v>
      </c>
      <c r="C141" s="53">
        <v>2</v>
      </c>
      <c r="D141" s="63">
        <v>85.73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24.994999999999997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55</v>
      </c>
      <c r="B142" s="63">
        <v>836.88</v>
      </c>
      <c r="C142" s="53">
        <v>3</v>
      </c>
      <c r="D142" s="63">
        <v>167.38</v>
      </c>
      <c r="E142" s="54">
        <v>0.5</v>
      </c>
      <c r="F142" s="54">
        <v>0.1</v>
      </c>
      <c r="G142" s="54">
        <v>0.15</v>
      </c>
      <c r="H142" s="54">
        <v>0.25</v>
      </c>
      <c r="I142" s="60">
        <f t="shared" si="5"/>
        <v>35.283571428571427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70</v>
      </c>
      <c r="B143" s="63">
        <v>1435.12</v>
      </c>
      <c r="C143" s="53">
        <v>4</v>
      </c>
      <c r="D143" s="63">
        <v>287.02</v>
      </c>
      <c r="E143" s="54">
        <v>0.5</v>
      </c>
      <c r="F143" s="54">
        <v>0.1</v>
      </c>
      <c r="G143" s="54">
        <v>0.15</v>
      </c>
      <c r="H143" s="54">
        <v>0.25</v>
      </c>
      <c r="I143" s="60">
        <f t="shared" si="5"/>
        <v>51.041333333333327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80</v>
      </c>
      <c r="B144" s="63">
        <v>1804.89</v>
      </c>
      <c r="C144" s="53">
        <v>5</v>
      </c>
      <c r="D144" s="63">
        <v>1804.89</v>
      </c>
      <c r="E144" s="54">
        <v>0.8</v>
      </c>
      <c r="F144" s="54">
        <v>0.04</v>
      </c>
      <c r="G144" s="54">
        <v>0.06</v>
      </c>
      <c r="H144" s="54">
        <v>0.1</v>
      </c>
      <c r="I144" s="60">
        <f t="shared" si="5"/>
        <v>65.679000000000016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Douglas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25</v>
      </c>
      <c r="B166" s="63">
        <v>312</v>
      </c>
      <c r="C166" s="63">
        <v>1</v>
      </c>
      <c r="D166" s="63">
        <v>46.8</v>
      </c>
      <c r="E166" s="54"/>
      <c r="F166" s="54">
        <v>0.4</v>
      </c>
      <c r="G166" s="54">
        <v>0.6</v>
      </c>
      <c r="H166" s="54"/>
      <c r="I166" s="52">
        <f>IFERROR(B166/A166,"")</f>
        <v>12.48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33</v>
      </c>
      <c r="B167" s="63">
        <v>535</v>
      </c>
      <c r="C167" s="63">
        <v>2</v>
      </c>
      <c r="D167" s="63">
        <v>80.25</v>
      </c>
      <c r="E167" s="54"/>
      <c r="F167" s="54">
        <v>0.4</v>
      </c>
      <c r="G167" s="54">
        <v>0.6</v>
      </c>
      <c r="H167" s="54"/>
      <c r="I167" s="52">
        <f t="shared" ref="I167:I185" si="6">IF(A167&lt;&gt;0,(B167-(B166-D166))/(A167-A166),"")</f>
        <v>33.725000000000001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41</v>
      </c>
      <c r="B168" s="63">
        <v>631.75</v>
      </c>
      <c r="C168" s="63">
        <v>3</v>
      </c>
      <c r="D168" s="63">
        <v>126.35</v>
      </c>
      <c r="E168" s="54">
        <v>0.5</v>
      </c>
      <c r="F168" s="54">
        <v>0.2</v>
      </c>
      <c r="G168" s="54">
        <v>0.3</v>
      </c>
      <c r="H168" s="54"/>
      <c r="I168" s="52">
        <f t="shared" si="6"/>
        <v>22.125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52</v>
      </c>
      <c r="B169" s="63">
        <v>709.8</v>
      </c>
      <c r="C169" s="63">
        <v>4</v>
      </c>
      <c r="D169" s="63">
        <v>141.96</v>
      </c>
      <c r="E169" s="54">
        <v>0.5</v>
      </c>
      <c r="F169" s="54">
        <v>0.2</v>
      </c>
      <c r="G169" s="54">
        <v>0.3</v>
      </c>
      <c r="H169" s="54"/>
      <c r="I169" s="52">
        <f t="shared" si="6"/>
        <v>18.581818181818178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60</v>
      </c>
      <c r="B170" s="63">
        <v>697.64</v>
      </c>
      <c r="C170" s="63">
        <v>5</v>
      </c>
      <c r="D170" s="63">
        <v>697.64</v>
      </c>
      <c r="E170" s="54">
        <v>0.5</v>
      </c>
      <c r="F170" s="54">
        <v>0.2</v>
      </c>
      <c r="G170" s="54">
        <v>0.3</v>
      </c>
      <c r="H170" s="54"/>
      <c r="I170" s="52">
        <f t="shared" si="6"/>
        <v>16.225000000000009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Alisier torminal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33</v>
      </c>
      <c r="B192" s="63">
        <v>110.62</v>
      </c>
      <c r="C192" s="63">
        <v>1</v>
      </c>
      <c r="D192" s="63">
        <v>16.59</v>
      </c>
      <c r="E192" s="54"/>
      <c r="F192" s="54"/>
      <c r="G192" s="54"/>
      <c r="H192" s="54">
        <v>1</v>
      </c>
      <c r="I192" s="52">
        <f>IFERROR(B192/A192,"")</f>
        <v>3.3521212121212121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41</v>
      </c>
      <c r="B193" s="63">
        <v>191.25</v>
      </c>
      <c r="C193" s="63">
        <v>2</v>
      </c>
      <c r="D193" s="63">
        <v>38.25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12.1525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52</v>
      </c>
      <c r="B194" s="63">
        <v>354.27</v>
      </c>
      <c r="C194" s="63">
        <v>3</v>
      </c>
      <c r="D194" s="63">
        <v>70.849999999999994</v>
      </c>
      <c r="E194" s="54">
        <v>1</v>
      </c>
      <c r="F194" s="54">
        <v>0.1</v>
      </c>
      <c r="G194" s="54">
        <v>0.15</v>
      </c>
      <c r="H194" s="54">
        <v>0.25</v>
      </c>
      <c r="I194" s="52">
        <f t="shared" si="7"/>
        <v>18.297272727272727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60</v>
      </c>
      <c r="B195" s="63">
        <v>458.21</v>
      </c>
      <c r="C195" s="63">
        <v>4</v>
      </c>
      <c r="D195" s="63">
        <v>458.21</v>
      </c>
      <c r="E195" s="54">
        <v>1</v>
      </c>
      <c r="F195" s="54">
        <v>0.1</v>
      </c>
      <c r="G195" s="54">
        <v>0.15</v>
      </c>
      <c r="H195" s="54">
        <v>0.25</v>
      </c>
      <c r="I195" s="52">
        <f t="shared" si="7"/>
        <v>21.848750000000003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Merisier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33</v>
      </c>
      <c r="B218" s="63">
        <v>110.62</v>
      </c>
      <c r="C218" s="53">
        <v>1</v>
      </c>
      <c r="D218" s="63">
        <v>16.59</v>
      </c>
      <c r="E218" s="66"/>
      <c r="F218" s="66"/>
      <c r="G218" s="66"/>
      <c r="H218" s="66">
        <v>1</v>
      </c>
      <c r="I218" s="56">
        <f>IFERROR(B218/A218,"")</f>
        <v>3.3521212121212121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41</v>
      </c>
      <c r="B219" s="63">
        <v>191.25</v>
      </c>
      <c r="C219" s="53">
        <v>2</v>
      </c>
      <c r="D219" s="63">
        <v>38.25</v>
      </c>
      <c r="E219" s="66"/>
      <c r="F219" s="66"/>
      <c r="G219" s="66"/>
      <c r="H219" s="66">
        <v>1</v>
      </c>
      <c r="I219" s="56">
        <f t="shared" ref="I219:I237" si="8">IF(A219&lt;&gt;0,(B219-(B218-D218))/(A219-A218),"")</f>
        <v>12.1525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52</v>
      </c>
      <c r="B220" s="63">
        <v>354.27</v>
      </c>
      <c r="C220" s="53">
        <v>3</v>
      </c>
      <c r="D220" s="63">
        <v>70.849999999999994</v>
      </c>
      <c r="E220" s="66">
        <v>1</v>
      </c>
      <c r="F220" s="66">
        <v>0.1</v>
      </c>
      <c r="G220" s="66">
        <v>0.15</v>
      </c>
      <c r="H220" s="66">
        <v>0.25</v>
      </c>
      <c r="I220" s="56">
        <f t="shared" si="8"/>
        <v>18.297272727272727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>
        <v>60</v>
      </c>
      <c r="B221" s="58">
        <v>458.21</v>
      </c>
      <c r="C221" s="58">
        <v>4</v>
      </c>
      <c r="D221" s="58">
        <v>458.21</v>
      </c>
      <c r="E221" s="66">
        <v>1</v>
      </c>
      <c r="F221" s="66">
        <v>0.1</v>
      </c>
      <c r="G221" s="66">
        <v>0.15</v>
      </c>
      <c r="H221" s="66">
        <v>0.25</v>
      </c>
      <c r="I221" s="56">
        <f t="shared" si="8"/>
        <v>21.848750000000003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Tilleul</v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>
        <v>33</v>
      </c>
      <c r="B244" s="63">
        <v>110.62</v>
      </c>
      <c r="C244" s="63">
        <v>1</v>
      </c>
      <c r="D244" s="63">
        <v>16.59</v>
      </c>
      <c r="E244" s="54"/>
      <c r="F244" s="54"/>
      <c r="G244" s="54"/>
      <c r="H244" s="66">
        <v>1</v>
      </c>
      <c r="I244" s="56">
        <f>IFERROR(B244/A244,"")</f>
        <v>3.3521212121212121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>
        <v>41</v>
      </c>
      <c r="B245" s="63">
        <v>191.25</v>
      </c>
      <c r="C245" s="63">
        <v>2</v>
      </c>
      <c r="D245" s="63">
        <v>38.25</v>
      </c>
      <c r="E245" s="66"/>
      <c r="F245" s="66"/>
      <c r="G245" s="66"/>
      <c r="H245" s="66">
        <v>1</v>
      </c>
      <c r="I245" s="56">
        <f>IF(A245&lt;&gt;0,(B245-(B244-D244))/(A245-A244),"")</f>
        <v>12.1525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>
        <v>52</v>
      </c>
      <c r="B246" s="63">
        <v>354.27</v>
      </c>
      <c r="C246" s="63">
        <v>3</v>
      </c>
      <c r="D246" s="63">
        <v>70.849999999999994</v>
      </c>
      <c r="E246" s="66">
        <v>1</v>
      </c>
      <c r="F246" s="66">
        <v>0.1</v>
      </c>
      <c r="G246" s="66">
        <v>0.15</v>
      </c>
      <c r="H246" s="66">
        <v>0.25</v>
      </c>
      <c r="I246" s="56">
        <f>IF(A246&lt;&gt;0,(B246-(B245-D245))/(A246-A245),"")</f>
        <v>18.297272727272727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>
        <v>60</v>
      </c>
      <c r="B247" s="63">
        <v>458.21</v>
      </c>
      <c r="C247" s="63">
        <v>4</v>
      </c>
      <c r="D247" s="63">
        <v>458.21</v>
      </c>
      <c r="E247" s="66">
        <v>1</v>
      </c>
      <c r="F247" s="66">
        <v>0.1</v>
      </c>
      <c r="G247" s="66">
        <v>0.15</v>
      </c>
      <c r="H247" s="66">
        <v>0.25</v>
      </c>
      <c r="I247" s="56">
        <f t="shared" ref="I247:I263" si="9">IF(A247&lt;&gt;0,(B247-(B246-D246))/(A247-A246),"")</f>
        <v>21.848750000000003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>Cormier</v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>
        <v>33</v>
      </c>
      <c r="B270" s="63">
        <v>110.62</v>
      </c>
      <c r="C270" s="53">
        <v>1</v>
      </c>
      <c r="D270" s="63">
        <v>16.59</v>
      </c>
      <c r="E270" s="54"/>
      <c r="F270" s="54"/>
      <c r="G270" s="54"/>
      <c r="H270" s="54">
        <v>1</v>
      </c>
      <c r="I270" s="56">
        <f>IFERROR(B270/A270,"")</f>
        <v>3.3521212121212121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>
        <v>41</v>
      </c>
      <c r="B271" s="63">
        <v>191.25</v>
      </c>
      <c r="C271" s="53">
        <v>2</v>
      </c>
      <c r="D271" s="63">
        <v>38.25</v>
      </c>
      <c r="E271" s="54"/>
      <c r="F271" s="54"/>
      <c r="G271" s="54"/>
      <c r="H271" s="54">
        <v>1</v>
      </c>
      <c r="I271" s="56">
        <f>IF(A271&lt;&gt;0,(B271-(B270-D270))/(A271-A270),"")</f>
        <v>12.1525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>
        <v>52</v>
      </c>
      <c r="B272" s="63">
        <v>354.27</v>
      </c>
      <c r="C272" s="53">
        <v>3</v>
      </c>
      <c r="D272" s="63">
        <v>70.849999999999994</v>
      </c>
      <c r="E272" s="54">
        <v>1</v>
      </c>
      <c r="F272" s="54">
        <v>0.1</v>
      </c>
      <c r="G272" s="54">
        <v>0.15</v>
      </c>
      <c r="H272" s="54">
        <v>0.25</v>
      </c>
      <c r="I272" s="56">
        <f t="shared" ref="I272:I289" si="10">IF(A272&lt;&gt;0,(B272-(B271-D271))/(A272-A271),"")</f>
        <v>18.297272727272727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>
        <v>60</v>
      </c>
      <c r="B273" s="63">
        <v>458.21</v>
      </c>
      <c r="C273" s="53">
        <v>4</v>
      </c>
      <c r="D273" s="63">
        <v>458.21</v>
      </c>
      <c r="E273" s="54">
        <v>1</v>
      </c>
      <c r="F273" s="54">
        <v>0.1</v>
      </c>
      <c r="G273" s="54">
        <v>0.15</v>
      </c>
      <c r="H273" s="54">
        <v>0.25</v>
      </c>
      <c r="I273" s="56">
        <f t="shared" si="10"/>
        <v>21.848750000000003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60" zoomScaleNormal="60" workbookViewId="0">
      <selection activeCell="G23" sqref="G23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pubescent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chevelu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Chêne tauzin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Chêne rouge d'Amérique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Douglas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Alisier torminal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Merisier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>Tilleul</v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>Cormier</v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2472.5049373954762</v>
      </c>
      <c r="T3" s="62">
        <f>IF('Données projet'!E9&gt;30,$R$33-$H$33,LOOKUP('Données projet'!$E$9,$A$3:$A$203,R3:R203)-LOOKUP('Données projet'!$E$9,$A$3:$A$203,$H$3:$H$203))</f>
        <v>286.98388307318311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2761.1400657295467</v>
      </c>
      <c r="AO3" s="62">
        <f>IF('Données projet'!E10&gt;30,$AM$33-$H$33,LOOKUP('Données projet'!$E$10,$A$3:$A$203,AM3:AM203)-LOOKUP('Données projet'!$E$10,$A$3:$A$203,$H$3:$H$203))</f>
        <v>316.41877504316409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2843.5086223152098</v>
      </c>
      <c r="BJ3" s="62">
        <f>IF('Données projet'!E11&gt;30,$BH$33-$H$33,LOOKUP('Données projet'!$E$11,$A$3:$A$203,BH3:BH203)-LOOKUP('Données projet'!$E$11,$A$3:$A$203,$H$3:$H$203))</f>
        <v>324.81562437645522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2719.939926994799</v>
      </c>
      <c r="CE3" s="62">
        <f>IF('Données projet'!E12&gt;30,$CC$33-$H$33,LOOKUP('Données projet'!$E$12,$A$3:$A$203,CC3:CC203)-LOOKUP('Données projet'!$E$12,$A$3:$A$203,$H$3:$H$203))</f>
        <v>312.21824046329749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1036.0130072090849</v>
      </c>
      <c r="CZ3" s="62">
        <f>IF('Données projet'!E13&gt;30,$CX$33-$H$33,LOOKUP('Données projet'!$E$13,$A$3:$A$203,CX3:CX203)-LOOKUP('Données projet'!$E$13,$A$3:$A$203,$H$3:$H$203))</f>
        <v>346.56593355696174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446.48069057792151</v>
      </c>
      <c r="DU3" s="62">
        <f>IF('Données projet'!E14&gt;30,$DS$33-$H$33,LOOKUP('Données projet'!$E$14,$A$3:$A$203,DS3:DS203)-LOOKUP('Données projet'!$E$14,$A$3:$A$203,$H$3:$H$203))</f>
        <v>561.75656782935948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301.18531163828169</v>
      </c>
      <c r="EP3" s="62">
        <f>IF('Données projet'!E15&gt;30,$EN$33-$H$33,LOOKUP('Données projet'!$E$15,$A$3:$A$203,EN3:EN203)-LOOKUP('Données projet'!$E$15,$A$3:$A$203,$H$3:$H$203))</f>
        <v>192.30530273268101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249.2899297828755</v>
      </c>
      <c r="FK3" s="62">
        <f>IF('Données projet'!E16&gt;30,$FI$33-$H$33,LOOKUP('Données projet'!$E$16,$A$3:$A$203,FI3:FI203)-LOOKUP('Données projet'!$E$16,$A$3:$A$203,$H$3:$H$203))</f>
        <v>162.88011837476813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256.66666666666669</v>
      </c>
      <c r="GE3" s="62">
        <f ca="1">AVERAGE(OFFSET($GD$3,0,0,'Données projet'!$E$17+1,1))-AVERAGE(OFFSET($H$3,0,0,'Données projet'!$E$17+1,1))</f>
        <v>218.89895999738746</v>
      </c>
      <c r="GF3" s="62">
        <f>IF('Données projet'!E17&gt;30,$GD$33-$H$33,LOOKUP('Données projet'!$E$17,$A$3:$A$203,GD3:GD203)-LOOKUP('Données projet'!$E$17,$A$3:$A$203,$H$3:$H$203))</f>
        <v>145.64042897395763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256.66666666666669</v>
      </c>
      <c r="GZ3" s="62">
        <f ca="1">AVERAGE(OFFSET($GY$3,0,0,'Données projet'!$E$18+1,1))-AVERAGE(OFFSET($H$3,0,0,'Données projet'!$E$18+1,1))</f>
        <v>331.3579800635751</v>
      </c>
      <c r="HA3" s="62">
        <f>IF('Données projet'!E18&gt;30,$GY$33-$H$33,LOOKUP('Données projet'!$E$18,$A$3:$A$203,GY3:GY203)-LOOKUP('Données projet'!$E$18,$A$3:$A$203,$H$3:$H$203))</f>
        <v>209.40702003535273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6.166060606060606</v>
      </c>
      <c r="N4" s="14">
        <f>IF('Données projet'!$A$36&gt;35,N3+M4-V3,IF(A4&lt;'Données projet'!$A$36,$K$205^A4,IF(A4='Données projet'!$A$36,'Données projet'!$B$36,N3+M4-V3)))</f>
        <v>1.174776374249781</v>
      </c>
      <c r="O4" s="14">
        <f>N4*VLOOKUP('Données projet'!$B$9,Paramètres!$A$1:$I$89,3,0)*VLOOKUP('Données projet'!$B$9,Paramètres!$A$1:$I$89,5,0)</f>
        <v>1.0629376634212018</v>
      </c>
      <c r="P4" s="14">
        <f>EXP(-1.0587+0.8836*LN(O4)+0.284)</f>
        <v>0.48637848234598791</v>
      </c>
      <c r="Q4" s="22">
        <f t="shared" ref="Q4:Q34" si="2">(O4+P4)*0.475*44/12</f>
        <v>2.6983922872111883</v>
      </c>
      <c r="R4" s="62">
        <f t="shared" si="0"/>
        <v>260.58728117610002</v>
      </c>
      <c r="S4" s="62">
        <f ca="1">AVERAGE(OFFSET($R$3,0,0,'Données projet'!$E$9+1,1))-AVERAGE(OFFSET($H$3,0,0,'Données projet'!$E$9+1,1))</f>
        <v>2472.5049373954762</v>
      </c>
      <c r="T4" s="62">
        <f>$T$3</f>
        <v>286.98388307318311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6.166060606060606</v>
      </c>
      <c r="AI4" s="14">
        <f>IF('Données projet'!$A$62&gt;35,AI3+AH4-AQ3,IF(A4&lt;'Données projet'!$A$62,$AF$205^A4,IF(A4='Données projet'!$A$62,'Données projet'!$B$62,AI3+AH4-AQ3)))</f>
        <v>1.174776374249781</v>
      </c>
      <c r="AJ4" s="14">
        <f>AI4*VLOOKUP('Données projet'!$B$10,Paramètres!$A$1:$I$89,3,0)*VLOOKUP('Données projet'!$B$10,Paramètres!$A$1:$I$89,5,0)</f>
        <v>1.191223243489278</v>
      </c>
      <c r="AK4" s="14">
        <f>EXP(-1.0587+0.8836*LN(AJ4)+0.284)</f>
        <v>0.5378976167625642</v>
      </c>
      <c r="AL4" s="22">
        <f t="shared" ref="AL4:AL67" si="4">(AJ4+AK4)*0.475*44/12</f>
        <v>3.011552164938625</v>
      </c>
      <c r="AM4" s="62">
        <f t="shared" ref="AM4:AM67" si="5">AL4+(AD4+AE4)*44/12</f>
        <v>260.90044105382748</v>
      </c>
      <c r="AN4" s="62">
        <f ca="1">AVERAGE(OFFSET($AM$3,0,0,'Données projet'!$E$10+1,1))-AVERAGE(OFFSET($H$3,0,0,'Données projet'!$E$10+1,1))</f>
        <v>2761.1400657295467</v>
      </c>
      <c r="AO4" s="62">
        <f>$AO$3</f>
        <v>316.41877504316409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6.166060606060606</v>
      </c>
      <c r="BD4" s="13">
        <f>IF('Données projet'!$A$88&gt;35,BD3+BC4-BL3,IF(A4&lt;'Données projet'!$A$88,$BA$205^A4,IF(A4='Données projet'!$A$88,'Données projet'!$B$88,BD3+BC4-BL3)))</f>
        <v>1.174776374249781</v>
      </c>
      <c r="BE4" s="14">
        <f>BD4*VLOOKUP('Données projet'!$B$11,Paramètres!$A$1:$I$89,3,0)*VLOOKUP('Données projet'!$B$11,Paramètres!$A$1:$I$89,5,0)</f>
        <v>1.2278762663658711</v>
      </c>
      <c r="BF4" s="14">
        <f>EXP(-1.0587+0.8836*LN(BE4)+0.284)</f>
        <v>0.55249591817748145</v>
      </c>
      <c r="BG4" s="22">
        <f t="shared" ref="BG4:BG67" si="7">(BE4+BF4)*0.475*44/12</f>
        <v>3.1008148880796722</v>
      </c>
      <c r="BH4" s="62">
        <f t="shared" ref="BH4:BH67" si="8">BG4+(AY4+AZ4)*44/12</f>
        <v>260.98970377696855</v>
      </c>
      <c r="BI4" s="62">
        <f ca="1">AVERAGE(OFFSET($BH$3,0,0,'Données projet'!$E$11+1,1))-AVERAGE(OFFSET($H$3,0,0,'Données projet'!$E$11+1,1))</f>
        <v>2843.5086223152098</v>
      </c>
      <c r="BJ4" s="62">
        <f>$BJ$3</f>
        <v>324.81562437645522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6.166060606060606</v>
      </c>
      <c r="BY4" s="13">
        <f>IF('Données projet'!$A$114&gt;35,BY3+BX4-CG3,IF(A4&lt;'Données projet'!$A$114,$BV$205^A4,IF(A4='Données projet'!$A$114,'Données projet'!$B$114,BY3+BX4-CG3)))</f>
        <v>1.174776374249781</v>
      </c>
      <c r="BZ4" s="14">
        <f>BY4*VLOOKUP('Données projet'!$B$12,Paramètres!$A$1:$I$89,3,0)*VLOOKUP('Données projet'!$B$12,Paramètres!$A$1:$I$89,5,0)</f>
        <v>1.1728967320509813</v>
      </c>
      <c r="CA4" s="14">
        <f>EXP(-1.0587+0.8836*LN(BZ4)+0.284)</f>
        <v>0.53057893438292791</v>
      </c>
      <c r="CB4" s="22">
        <f t="shared" ref="CB4:CB67" si="10">(BZ4+CA4)*0.475*44/12</f>
        <v>2.9668867857057251</v>
      </c>
      <c r="CC4" s="62">
        <f t="shared" ref="CC4:CC67" si="11">CB4+(BT4+BU4)*44/12</f>
        <v>260.85577567459461</v>
      </c>
      <c r="CD4" s="62">
        <f ca="1">AVERAGE(OFFSET($CC$3,0,0,'Données projet'!$E$12+1,1))-AVERAGE(OFFSET($H$3,0,0,'Données projet'!$E$12+1,1))</f>
        <v>2719.939926994799</v>
      </c>
      <c r="CE4" s="62">
        <f>$CE$3</f>
        <v>312.21824046329749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8.1527272727272742</v>
      </c>
      <c r="CT4" s="13">
        <f>IF('Données projet'!$A$140&gt;35,CT3+CS4-DB3,IF(A4&lt;'Données projet'!$A$140,$CQ$205^A4,IF(A4='Données projet'!$A$140,'Données projet'!$B$140,CT3+CS4-DB3)))</f>
        <v>1.1847611749689972</v>
      </c>
      <c r="CU4" s="18">
        <f>CT4*VLOOKUP('Données projet'!$B$13,Paramètres!$A$1:$I$89,3,0)*VLOOKUP('Données projet'!$B$13,Paramètres!$A$1:$I$89,5,0)</f>
        <v>1.0350073624529161</v>
      </c>
      <c r="CV4" s="14">
        <f>EXP(-1.0587+0.8836*LN(CU4)+0.284)</f>
        <v>0.47506833891165234</v>
      </c>
      <c r="CW4" s="22">
        <f t="shared" ref="CW4:CW67" si="13">(CU4+CV4)*0.475*44/12</f>
        <v>2.6300485132099567</v>
      </c>
      <c r="CX4" s="62">
        <f t="shared" ref="CX4:CX67" si="14">CW4+(CO4+CP4)*44/12</f>
        <v>260.5189374020988</v>
      </c>
      <c r="CY4" s="62">
        <f ca="1">AVERAGE(OFFSET($CX$3,0,0,'Données projet'!$E$13+1,1))-AVERAGE(OFFSET($H$3,0,0,'Données projet'!$E$13+1,1))</f>
        <v>1036.0130072090849</v>
      </c>
      <c r="CZ4" s="62">
        <f>$CZ$3</f>
        <v>346.56593355696174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12.48</v>
      </c>
      <c r="DO4" s="13">
        <f>IF('Données projet'!$A$166&gt;35,DO3+DN4-DW3,IF(A4&lt;'Données projet'!$A$166,$DL$205^A4,IF(A4='Données projet'!$A$166,'Données projet'!$B$166,DO3+DN4-DW3)))</f>
        <v>1.2582478117013756</v>
      </c>
      <c r="DP4" s="18">
        <f>DO4*VLOOKUP('Données projet'!$B$14,Paramètres!$A$1:$I$89,3,0)*VLOOKUP('Données projet'!$B$14,Paramètres!$A$1:$I$89,5,0)</f>
        <v>0.70336052674106897</v>
      </c>
      <c r="DQ4" s="14">
        <f>EXP(-1.0587+0.8836*LN(DP4)+0.284)</f>
        <v>0.33769026297685123</v>
      </c>
      <c r="DR4" s="22">
        <f t="shared" ref="DR4:DR67" si="16">(DP4+DQ4)*0.475*44/12</f>
        <v>1.8131634587587111</v>
      </c>
      <c r="DS4" s="62">
        <f t="shared" ref="DS4:DS67" si="17">DR4+(DJ4+DK4)*44/12</f>
        <v>259.70205234764757</v>
      </c>
      <c r="DT4" s="62">
        <f ca="1">AVERAGE(OFFSET($DS$3,0,0,'Données projet'!$E$14+1,1))-AVERAGE(OFFSET($H$3,0,0,'Données projet'!$E$14+1,1))</f>
        <v>446.48069057792151</v>
      </c>
      <c r="DU4" s="62">
        <f>$DU$3</f>
        <v>561.75656782935948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3.3521212121212121</v>
      </c>
      <c r="EJ4" s="13">
        <f>IF('Données projet'!$A$192&gt;35,EJ3+EI4-ER3,IF(A4&lt;'Données projet'!$A$192,$EG$205^A4,IF(A4='Données projet'!$A$192,'Données projet'!$B$192,EJ3+EI4-ER3)))</f>
        <v>1.1532789179499305</v>
      </c>
      <c r="EK4" s="18">
        <f>EJ4*VLOOKUP('Données projet'!$B$15,Paramètres!$A$1:$I$89,3,0)*VLOOKUP('Données projet'!$B$15,Paramètres!$A$1:$I$89,5,0)</f>
        <v>1.1154513694411727</v>
      </c>
      <c r="EL4" s="14">
        <f>EXP(-1.0587+0.8836*LN(EK4)+0.284)</f>
        <v>0.50755072359059583</v>
      </c>
      <c r="EM4" s="22">
        <f t="shared" ref="EM4:EM67" si="19">(EK4+EL4)*0.475*44/12</f>
        <v>2.8267286453636635</v>
      </c>
      <c r="EN4" s="62">
        <f t="shared" ref="EN4:EN67" si="20">EM4+(EE4+EF4)*44/12</f>
        <v>260.71561753425254</v>
      </c>
      <c r="EO4" s="62">
        <f ca="1">AVERAGE(OFFSET($EN$3,0,0,'Données projet'!$E$15+1,1))-AVERAGE(OFFSET($H$3,0,0,'Données projet'!$E$15+1,1))</f>
        <v>301.18531163828169</v>
      </c>
      <c r="EP4" s="62">
        <f>$EP$3</f>
        <v>192.30530273268101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3.3521212121212121</v>
      </c>
      <c r="FE4" s="13">
        <f>IF('Données projet'!$A$218&gt;35,FE3+FD4-FM3,IF(A4&lt;'Données projet'!$A$218,$FB$205^A4,IF(A4='Données projet'!$A$218,'Données projet'!$B$218,FE3+FD4-FM3)))</f>
        <v>1.1532789179499305</v>
      </c>
      <c r="FF4" s="18">
        <f>FE4*VLOOKUP('Données projet'!$B$16,Paramètres!$A$1:$I$89,3,0)*VLOOKUP('Données projet'!$B$16,Paramètres!$A$1:$I$89,5,0)</f>
        <v>0.89955755600094589</v>
      </c>
      <c r="FG4" s="14">
        <f>EXP(-1.0587+0.8836*LN(FF4)+0.284)</f>
        <v>0.41969331360865714</v>
      </c>
      <c r="FH4" s="22">
        <f t="shared" ref="FH4:FH67" si="22">(FF4+FG4)*0.475*44/12</f>
        <v>2.2976952645700583</v>
      </c>
      <c r="FI4" s="62">
        <f t="shared" ref="FI4:FI67" si="23">FH4+(EZ4+FA4)*44/12</f>
        <v>260.18658415345891</v>
      </c>
      <c r="FJ4" s="62">
        <f ca="1">AVERAGE(OFFSET($FI$3,0,0,'Données projet'!$E$16+1,1))-AVERAGE(OFFSET($H$3,0,0,'Données projet'!$E$16+1,1))</f>
        <v>249.2899297828755</v>
      </c>
      <c r="FK4" s="62">
        <f>$FK$3</f>
        <v>162.88011837476813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3.3521212121212121</v>
      </c>
      <c r="FZ4" s="13">
        <f>IF('Données projet'!$A$244&gt;35,FZ3+FY4-GH3,IF(A4&lt;'Données projet'!$A$244,$FW$205^A4,IF(A4='Données projet'!$A$244,'Données projet'!$B$244,FZ3+FY4-GH3)))</f>
        <v>1.1532789179499305</v>
      </c>
      <c r="GA4" s="18">
        <f>FZ4*VLOOKUP('Données projet'!$B$17,Paramètres!$A$1:$I$89,3,0)*VLOOKUP('Données projet'!$B$17,Paramètres!$A$1:$I$89,5,0)</f>
        <v>0.77361949816081343</v>
      </c>
      <c r="GB4" s="14">
        <f>EXP(-1.0587+0.8836*LN(GA4)+0.284)</f>
        <v>0.36732871687844509</v>
      </c>
      <c r="GC4" s="22">
        <f t="shared" ref="GC4:GC67" si="25">(GA4+GB4)*0.475*44/12</f>
        <v>1.9871514745267085</v>
      </c>
      <c r="GD4" s="62">
        <f t="shared" ref="GD4:GD67" si="26">GC4+(FU4+FV4)*44/12</f>
        <v>259.87604036341554</v>
      </c>
      <c r="GE4" s="62">
        <f ca="1">AVERAGE(OFFSET($GD$3,0,0,'Données projet'!$E$17+1,1))-AVERAGE(OFFSET($H$3,0,0,'Données projet'!$E$17+1,1))</f>
        <v>218.89895999738746</v>
      </c>
      <c r="GF4" s="62">
        <f>$GF$3</f>
        <v>145.64042897395763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3.3521212121212121</v>
      </c>
      <c r="GU4" s="13">
        <f>IF('Données projet'!$A$270&gt;35,GU3+GT4-HC3,IF(A4&lt;'Données projet'!$A$270,$GR$205^A4,IF(A4='Données projet'!$A$270,'Données projet'!$B$270,GU3+GT4-HC3)))</f>
        <v>1.1532789179499305</v>
      </c>
      <c r="GV4" s="18">
        <f>GU4*VLOOKUP('Données projet'!$B$18,Paramètres!$A$1:$I$89,3,0)*VLOOKUP('Données projet'!$B$18,Paramètres!$A$1:$I$89,5,0)</f>
        <v>1.2413894272813053</v>
      </c>
      <c r="GW4" s="14">
        <f>EXP(-1.0587+0.8836*LN(GV4)+0.284)</f>
        <v>0.55786512334017646</v>
      </c>
      <c r="GX4" s="22">
        <f t="shared" ref="GX4:GX67" si="28">(GV4+GW4)*0.475*44/12</f>
        <v>3.1337016756657472</v>
      </c>
      <c r="GY4" s="62">
        <f t="shared" ref="GY4:GY67" si="29">GX4+(GP4+GQ4)*44/12</f>
        <v>261.0225905645546</v>
      </c>
      <c r="GZ4" s="62">
        <f ca="1">AVERAGE(OFFSET($GY$3,0,0,'Données projet'!$E$18+1,1))-AVERAGE(OFFSET($H$3,0,0,'Données projet'!$E$18+1,1))</f>
        <v>331.3579800635751</v>
      </c>
      <c r="HA4" s="62">
        <f>$HA$3</f>
        <v>209.40702003535273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6.166060606060606</v>
      </c>
      <c r="N5" s="14">
        <f>IF('Données projet'!$A$36&gt;35,N4+M5-V4,IF(A5&lt;'Données projet'!$A$36,$K$205^A5,IF(A5='Données projet'!$A$36,'Données projet'!$B$36,N4+M5-V4)))</f>
        <v>1.3800995294954614</v>
      </c>
      <c r="O5" s="14">
        <f>N5*VLOOKUP('Données projet'!$B$9,Paramètres!$A$1:$I$89,3,0)*VLOOKUP('Données projet'!$B$9,Paramètres!$A$1:$I$89,5,0)</f>
        <v>1.2487140542874935</v>
      </c>
      <c r="P5" s="14">
        <f t="shared" ref="P5:P68" si="33">EXP(-1.0587+0.8836*LN(O5)+0.284)</f>
        <v>0.5607725820378765</v>
      </c>
      <c r="Q5" s="22">
        <f t="shared" si="2"/>
        <v>3.1515225582666857</v>
      </c>
      <c r="R5" s="62">
        <f t="shared" si="0"/>
        <v>262.26263366937781</v>
      </c>
      <c r="S5" s="62">
        <f ca="1">AVERAGE(OFFSET($R$3,0,0,'Données projet'!$E$9+1,1))-AVERAGE(OFFSET($H$3,0,0,'Données projet'!$E$9+1,1))</f>
        <v>2472.5049373954762</v>
      </c>
      <c r="T5" s="62">
        <f t="shared" ref="T5:T68" si="34">$T$3</f>
        <v>286.98388307318311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6.166060606060606</v>
      </c>
      <c r="AI5" s="14">
        <f>IF('Données projet'!$A$62&gt;35,AI4+AH5-AQ4,IF(A5&lt;'Données projet'!$A$62,$AF$205^A5,IF(A5='Données projet'!$A$62,'Données projet'!$B$62,AI4+AH5-AQ4)))</f>
        <v>1.3800995294954614</v>
      </c>
      <c r="AJ5" s="14">
        <f>AI5*VLOOKUP('Données projet'!$B$10,Paramètres!$A$1:$I$89,3,0)*VLOOKUP('Données projet'!$B$10,Paramètres!$A$1:$I$89,5,0)</f>
        <v>1.399420922908398</v>
      </c>
      <c r="AK5" s="14">
        <f t="shared" ref="AK5:AK68" si="35">EXP(-1.0587+0.8836*LN(AJ5)+0.284)</f>
        <v>0.62017183401915255</v>
      </c>
      <c r="AL5" s="22">
        <f t="shared" si="4"/>
        <v>3.5174573849821509</v>
      </c>
      <c r="AM5" s="62">
        <f t="shared" si="5"/>
        <v>262.62856849609329</v>
      </c>
      <c r="AN5" s="62">
        <f ca="1">AVERAGE(OFFSET($AM$3,0,0,'Données projet'!$E$10+1,1))-AVERAGE(OFFSET($H$3,0,0,'Données projet'!$E$10+1,1))</f>
        <v>2761.1400657295467</v>
      </c>
      <c r="AO5" s="62">
        <f t="shared" ref="AO5:AO68" si="36">$AO$3</f>
        <v>316.41877504316409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6.166060606060606</v>
      </c>
      <c r="BD5" s="13">
        <f>IF('Données projet'!$A$88&gt;35,BD4+BC5-BL4,IF(A5&lt;'Données projet'!$A$88,$BA$205^A5,IF(A5='Données projet'!$A$88,'Données projet'!$B$88,BD4+BC5-BL4)))</f>
        <v>1.3800995294954614</v>
      </c>
      <c r="BE5" s="14">
        <f>BD5*VLOOKUP('Données projet'!$B$11,Paramètres!$A$1:$I$89,3,0)*VLOOKUP('Données projet'!$B$11,Paramètres!$A$1:$I$89,5,0)</f>
        <v>1.4424800282286565</v>
      </c>
      <c r="BF5" s="14">
        <f t="shared" ref="BF5:BF68" si="37">EXP(-1.0587+0.8836*LN(BE5)+0.284)</f>
        <v>0.63700302099585548</v>
      </c>
      <c r="BG5" s="22">
        <f t="shared" si="7"/>
        <v>3.6217663107326921</v>
      </c>
      <c r="BH5" s="62">
        <f t="shared" si="8"/>
        <v>262.73287742184385</v>
      </c>
      <c r="BI5" s="62">
        <f ca="1">AVERAGE(OFFSET($BH$3,0,0,'Données projet'!$E$11+1,1))-AVERAGE(OFFSET($H$3,0,0,'Données projet'!$E$11+1,1))</f>
        <v>2843.5086223152098</v>
      </c>
      <c r="BJ5" s="62">
        <f t="shared" ref="BJ5:BJ68" si="38">$BJ$3</f>
        <v>324.81562437645522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6.166060606060606</v>
      </c>
      <c r="BY5" s="13">
        <f>IF('Données projet'!$A$114&gt;35,BY4+BX5-CG4,IF(A5&lt;'Données projet'!$A$114,$BV$205^A5,IF(A5='Données projet'!$A$114,'Données projet'!$B$114,BY4+BX5-CG4)))</f>
        <v>1.3800995294954614</v>
      </c>
      <c r="BZ5" s="14">
        <f>BY5*VLOOKUP('Données projet'!$B$12,Paramètres!$A$1:$I$89,3,0)*VLOOKUP('Données projet'!$B$12,Paramètres!$A$1:$I$89,5,0)</f>
        <v>1.3778913702482687</v>
      </c>
      <c r="CA5" s="14">
        <f t="shared" ref="CA5:CA68" si="39">EXP(-1.0587+0.8836*LN(BZ5)+0.284)</f>
        <v>0.6117337213885361</v>
      </c>
      <c r="CB5" s="22">
        <f t="shared" si="10"/>
        <v>3.465263701267435</v>
      </c>
      <c r="CC5" s="62">
        <f t="shared" si="11"/>
        <v>262.57637481237856</v>
      </c>
      <c r="CD5" s="62">
        <f ca="1">AVERAGE(OFFSET($CC$3,0,0,'Données projet'!$E$12+1,1))-AVERAGE(OFFSET($H$3,0,0,'Données projet'!$E$12+1,1))</f>
        <v>2719.939926994799</v>
      </c>
      <c r="CE5" s="62">
        <f t="shared" ref="CE5:CE68" si="40">$CE$3</f>
        <v>312.21824046329749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8.1527272727272742</v>
      </c>
      <c r="CT5" s="13">
        <f>IF('Données projet'!$A$140&gt;35,CT4+CS5-DB4,IF(A5&lt;'Données projet'!$A$140,$CQ$205^A5,IF(A5='Données projet'!$A$140,'Données projet'!$B$140,CT4+CS5-DB4)))</f>
        <v>1.403659041713919</v>
      </c>
      <c r="CU5" s="18">
        <f>CT5*VLOOKUP('Données projet'!$B$13,Paramètres!$A$1:$I$89,3,0)*VLOOKUP('Données projet'!$B$13,Paramètres!$A$1:$I$89,5,0)</f>
        <v>1.2262365388412799</v>
      </c>
      <c r="CV5" s="14">
        <f t="shared" ref="CV5:CV68" si="41">EXP(-1.0587+0.8836*LN(CU5)+0.284)</f>
        <v>0.55184393613778127</v>
      </c>
      <c r="CW5" s="22">
        <f t="shared" si="13"/>
        <v>3.0968234939218644</v>
      </c>
      <c r="CX5" s="62">
        <f t="shared" si="14"/>
        <v>262.20793460503302</v>
      </c>
      <c r="CY5" s="62">
        <f ca="1">AVERAGE(OFFSET($CX$3,0,0,'Données projet'!$E$13+1,1))-AVERAGE(OFFSET($H$3,0,0,'Données projet'!$E$13+1,1))</f>
        <v>1036.0130072090849</v>
      </c>
      <c r="CZ5" s="62">
        <f t="shared" ref="CZ5:CZ68" si="42">$CZ$3</f>
        <v>346.56593355696174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12.48</v>
      </c>
      <c r="DO5" s="13">
        <f>IF('Données projet'!$A$166&gt;35,DO4+DN5-DW4,IF(A5&lt;'Données projet'!$A$166,$DL$205^A5,IF(A5='Données projet'!$A$166,'Données projet'!$B$166,DO4+DN5-DW4)))</f>
        <v>1.5831875556513002</v>
      </c>
      <c r="DP5" s="18">
        <f>DO5*VLOOKUP('Données projet'!$B$14,Paramètres!$A$1:$I$89,3,0)*VLOOKUP('Données projet'!$B$14,Paramètres!$A$1:$I$89,5,0)</f>
        <v>0.88500184360907685</v>
      </c>
      <c r="DQ5" s="14">
        <f t="shared" ref="DQ5:DQ68" si="43">EXP(-1.0587+0.8836*LN(DP5)+0.284)</f>
        <v>0.41368706166279084</v>
      </c>
      <c r="DR5" s="22">
        <f t="shared" si="16"/>
        <v>2.2618831766818364</v>
      </c>
      <c r="DS5" s="62">
        <f t="shared" si="17"/>
        <v>261.37299428779301</v>
      </c>
      <c r="DT5" s="62">
        <f ca="1">AVERAGE(OFFSET($DS$3,0,0,'Données projet'!$E$14+1,1))-AVERAGE(OFFSET($H$3,0,0,'Données projet'!$E$14+1,1))</f>
        <v>446.48069057792151</v>
      </c>
      <c r="DU5" s="62">
        <f t="shared" ref="DU5:DU68" si="44">$DU$3</f>
        <v>561.75656782935948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3.3521212121212121</v>
      </c>
      <c r="EJ5" s="13">
        <f>IF('Données projet'!$A$192&gt;35,EJ4+EI5-ER4,IF(A5&lt;'Données projet'!$A$192,$EG$205^A5,IF(A5='Données projet'!$A$192,'Données projet'!$B$192,EJ4+EI5-ER4)))</f>
        <v>1.3300522625877627</v>
      </c>
      <c r="EK5" s="18">
        <f>EJ5*VLOOKUP('Données projet'!$B$15,Paramètres!$A$1:$I$89,3,0)*VLOOKUP('Données projet'!$B$15,Paramètres!$A$1:$I$89,5,0)</f>
        <v>1.286426548374884</v>
      </c>
      <c r="EL5" s="14">
        <f t="shared" ref="EL5:EL68" si="45">EXP(-1.0587+0.8836*LN(EK5)+0.284)</f>
        <v>0.57571115668430095</v>
      </c>
      <c r="EM5" s="22">
        <f t="shared" si="19"/>
        <v>3.2432231696447471</v>
      </c>
      <c r="EN5" s="62">
        <f t="shared" si="20"/>
        <v>262.35433428075589</v>
      </c>
      <c r="EO5" s="62">
        <f ca="1">AVERAGE(OFFSET($EN$3,0,0,'Données projet'!$E$15+1,1))-AVERAGE(OFFSET($H$3,0,0,'Données projet'!$E$15+1,1))</f>
        <v>301.18531163828169</v>
      </c>
      <c r="EP5" s="62">
        <f t="shared" ref="EP5:EP68" si="46">$EP$3</f>
        <v>192.30530273268101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3.3521212121212121</v>
      </c>
      <c r="FE5" s="13">
        <f>IF('Données projet'!$A$218&gt;35,FE4+FD5-FM4,IF(A5&lt;'Données projet'!$A$218,$FB$205^A5,IF(A5='Données projet'!$A$218,'Données projet'!$B$218,FE4+FD5-FM4)))</f>
        <v>1.3300522625877627</v>
      </c>
      <c r="FF5" s="18">
        <f>FE5*VLOOKUP('Données projet'!$B$16,Paramètres!$A$1:$I$89,3,0)*VLOOKUP('Données projet'!$B$16,Paramètres!$A$1:$I$89,5,0)</f>
        <v>1.0374407648184549</v>
      </c>
      <c r="FG5" s="14">
        <f t="shared" ref="FG5:FG68" si="47">EXP(-1.0587+0.8836*LN(FF5)+0.284)</f>
        <v>0.47605512473903211</v>
      </c>
      <c r="FH5" s="22">
        <f t="shared" si="22"/>
        <v>2.6360053409792896</v>
      </c>
      <c r="FI5" s="62">
        <f t="shared" si="23"/>
        <v>261.74711645209044</v>
      </c>
      <c r="FJ5" s="62">
        <f ca="1">AVERAGE(OFFSET($FI$3,0,0,'Données projet'!$E$16+1,1))-AVERAGE(OFFSET($H$3,0,0,'Données projet'!$E$16+1,1))</f>
        <v>249.2899297828755</v>
      </c>
      <c r="FK5" s="62">
        <f t="shared" ref="FK5:FK68" si="48">$FK$3</f>
        <v>162.88011837476813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3.3521212121212121</v>
      </c>
      <c r="FZ5" s="13">
        <f>IF('Données projet'!$A$244&gt;35,FZ4+FY5-GH4,IF(A5&lt;'Données projet'!$A$244,$FW$205^A5,IF(A5='Données projet'!$A$244,'Données projet'!$B$244,FZ4+FY5-GH4)))</f>
        <v>1.3300522625877627</v>
      </c>
      <c r="GA5" s="18">
        <f>FZ5*VLOOKUP('Données projet'!$B$17,Paramètres!$A$1:$I$89,3,0)*VLOOKUP('Données projet'!$B$17,Paramètres!$A$1:$I$89,5,0)</f>
        <v>0.8921990577438712</v>
      </c>
      <c r="GB5" s="14">
        <f t="shared" ref="GB5:GB68" si="49">EXP(-1.0587+0.8836*LN(GA5)+0.284)</f>
        <v>0.41665833708481004</v>
      </c>
      <c r="GC5" s="22">
        <f t="shared" si="25"/>
        <v>2.2795932959932865</v>
      </c>
      <c r="GD5" s="62">
        <f t="shared" si="26"/>
        <v>261.39070440710441</v>
      </c>
      <c r="GE5" s="62">
        <f ca="1">AVERAGE(OFFSET($GD$3,0,0,'Données projet'!$E$17+1,1))-AVERAGE(OFFSET($H$3,0,0,'Données projet'!$E$17+1,1))</f>
        <v>218.89895999738746</v>
      </c>
      <c r="GF5" s="62">
        <f t="shared" ref="GF5:GF68" si="50">$GF$3</f>
        <v>145.64042897395763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3.3521212121212121</v>
      </c>
      <c r="GU5" s="13">
        <f>IF('Données projet'!$A$270&gt;35,GU4+GT5-HC4,IF(A5&lt;'Données projet'!$A$270,$GR$205^A5,IF(A5='Données projet'!$A$270,'Données projet'!$B$270,GU4+GT5-HC4)))</f>
        <v>1.3300522625877627</v>
      </c>
      <c r="GV5" s="18">
        <f>GU5*VLOOKUP('Données projet'!$B$18,Paramètres!$A$1:$I$89,3,0)*VLOOKUP('Données projet'!$B$18,Paramètres!$A$1:$I$89,5,0)</f>
        <v>1.4316682554494677</v>
      </c>
      <c r="GW5" s="14">
        <f t="shared" ref="GW5:GW68" si="51">EXP(-1.0587+0.8836*LN(GV5)+0.284)</f>
        <v>0.6327824205626924</v>
      </c>
      <c r="GX5" s="22">
        <f t="shared" si="28"/>
        <v>3.5955849273878453</v>
      </c>
      <c r="GY5" s="62">
        <f t="shared" si="29"/>
        <v>262.70669603849899</v>
      </c>
      <c r="GZ5" s="62">
        <f ca="1">AVERAGE(OFFSET($GY$3,0,0,'Données projet'!$E$18+1,1))-AVERAGE(OFFSET($H$3,0,0,'Données projet'!$E$18+1,1))</f>
        <v>331.3579800635751</v>
      </c>
      <c r="HA5" s="62">
        <f t="shared" ref="HA5:HA68" si="52">$HA$3</f>
        <v>209.40702003535273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6.166060606060606</v>
      </c>
      <c r="N6" s="14">
        <f>IF('Données projet'!$A$36&gt;35,N5+M6-V5,IF(A6&lt;'Données projet'!$A$36,$K$205^A6,IF(A6='Données projet'!$A$36,'Données projet'!$B$36,N5+M6-V5)))</f>
        <v>1.6213083213645068</v>
      </c>
      <c r="O6" s="14">
        <f>N6*VLOOKUP('Données projet'!$B$9,Paramètres!$A$1:$I$89,3,0)*VLOOKUP('Données projet'!$B$9,Paramètres!$A$1:$I$89,5,0)</f>
        <v>1.4669597691706058</v>
      </c>
      <c r="P6" s="14">
        <f t="shared" si="33"/>
        <v>0.64654564332007181</v>
      </c>
      <c r="Q6" s="22">
        <f t="shared" si="2"/>
        <v>3.6810219267545965</v>
      </c>
      <c r="R6" s="62">
        <f t="shared" si="0"/>
        <v>264.01435526008794</v>
      </c>
      <c r="S6" s="62">
        <f ca="1">AVERAGE(OFFSET($R$3,0,0,'Données projet'!$E$9+1,1))-AVERAGE(OFFSET($H$3,0,0,'Données projet'!$E$9+1,1))</f>
        <v>2472.5049373954762</v>
      </c>
      <c r="T6" s="62">
        <f t="shared" si="34"/>
        <v>286.98388307318311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6.166060606060606</v>
      </c>
      <c r="AI6" s="14">
        <f>IF('Données projet'!$A$62&gt;35,AI5+AH6-AQ5,IF(A6&lt;'Données projet'!$A$62,$AF$205^A6,IF(A6='Données projet'!$A$62,'Données projet'!$B$62,AI5+AH6-AQ5)))</f>
        <v>1.6213083213645068</v>
      </c>
      <c r="AJ6" s="14">
        <f>AI6*VLOOKUP('Données projet'!$B$10,Paramètres!$A$1:$I$89,3,0)*VLOOKUP('Données projet'!$B$10,Paramètres!$A$1:$I$89,5,0)</f>
        <v>1.6440066378636098</v>
      </c>
      <c r="AK6" s="14">
        <f t="shared" si="35"/>
        <v>0.71503031752686308</v>
      </c>
      <c r="AL6" s="22">
        <f t="shared" si="4"/>
        <v>4.1086560306384072</v>
      </c>
      <c r="AM6" s="62">
        <f t="shared" si="5"/>
        <v>264.44198936397174</v>
      </c>
      <c r="AN6" s="62">
        <f ca="1">AVERAGE(OFFSET($AM$3,0,0,'Données projet'!$E$10+1,1))-AVERAGE(OFFSET($H$3,0,0,'Données projet'!$E$10+1,1))</f>
        <v>2761.1400657295467</v>
      </c>
      <c r="AO6" s="62">
        <f t="shared" si="36"/>
        <v>316.41877504316409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6.166060606060606</v>
      </c>
      <c r="BD6" s="13">
        <f>IF('Données projet'!$A$88&gt;35,BD5+BC6-BL5,IF(A6&lt;'Données projet'!$A$88,$BA$205^A6,IF(A6='Données projet'!$A$88,'Données projet'!$B$88,BD5+BC6-BL5)))</f>
        <v>1.6213083213645068</v>
      </c>
      <c r="BE6" s="14">
        <f>BD6*VLOOKUP('Données projet'!$B$11,Paramètres!$A$1:$I$89,3,0)*VLOOKUP('Données projet'!$B$11,Paramètres!$A$1:$I$89,5,0)</f>
        <v>1.6945914574901826</v>
      </c>
      <c r="BF6" s="14">
        <f t="shared" si="37"/>
        <v>0.73443592143878522</v>
      </c>
      <c r="BG6" s="22">
        <f t="shared" si="7"/>
        <v>4.2305560183012849</v>
      </c>
      <c r="BH6" s="62">
        <f t="shared" si="8"/>
        <v>264.5638893516346</v>
      </c>
      <c r="BI6" s="62">
        <f ca="1">AVERAGE(OFFSET($BH$3,0,0,'Données projet'!$E$11+1,1))-AVERAGE(OFFSET($H$3,0,0,'Données projet'!$E$11+1,1))</f>
        <v>2843.5086223152098</v>
      </c>
      <c r="BJ6" s="62">
        <f t="shared" si="38"/>
        <v>324.81562437645522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6.166060606060606</v>
      </c>
      <c r="BY6" s="13">
        <f>IF('Données projet'!$A$114&gt;35,BY5+BX6-CG5,IF(A6&lt;'Données projet'!$A$114,$BV$205^A6,IF(A6='Données projet'!$A$114,'Données projet'!$B$114,BY5+BX6-CG5)))</f>
        <v>1.6213083213645068</v>
      </c>
      <c r="BZ6" s="14">
        <f>BY6*VLOOKUP('Données projet'!$B$12,Paramètres!$A$1:$I$89,3,0)*VLOOKUP('Données projet'!$B$12,Paramètres!$A$1:$I$89,5,0)</f>
        <v>1.6187142280503235</v>
      </c>
      <c r="CA6" s="14">
        <f t="shared" si="39"/>
        <v>0.70530155200957778</v>
      </c>
      <c r="CB6" s="22">
        <f t="shared" si="10"/>
        <v>4.047660816937662</v>
      </c>
      <c r="CC6" s="62">
        <f t="shared" si="11"/>
        <v>264.38099415027096</v>
      </c>
      <c r="CD6" s="62">
        <f ca="1">AVERAGE(OFFSET($CC$3,0,0,'Données projet'!$E$12+1,1))-AVERAGE(OFFSET($H$3,0,0,'Données projet'!$E$12+1,1))</f>
        <v>2719.939926994799</v>
      </c>
      <c r="CE6" s="62">
        <f t="shared" si="40"/>
        <v>312.21824046329749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8.1527272727272742</v>
      </c>
      <c r="CT6" s="13">
        <f>IF('Données projet'!$A$140&gt;35,CT5+CS6-DB5,IF(A6&lt;'Données projet'!$A$140,$CQ$205^A6,IF(A6='Données projet'!$A$140,'Données projet'!$B$140,CT5+CS6-DB5)))</f>
        <v>1.6630007355168395</v>
      </c>
      <c r="CU6" s="18">
        <f>CT6*VLOOKUP('Données projet'!$B$13,Paramètres!$A$1:$I$89,3,0)*VLOOKUP('Données projet'!$B$13,Paramètres!$A$1:$I$89,5,0)</f>
        <v>1.4527974425475112</v>
      </c>
      <c r="CV6" s="14">
        <f t="shared" si="41"/>
        <v>0.64102720579043437</v>
      </c>
      <c r="CW6" s="22">
        <f t="shared" si="13"/>
        <v>3.6467445958552553</v>
      </c>
      <c r="CX6" s="62">
        <f t="shared" si="14"/>
        <v>263.98007792918855</v>
      </c>
      <c r="CY6" s="62">
        <f ca="1">AVERAGE(OFFSET($CX$3,0,0,'Données projet'!$E$13+1,1))-AVERAGE(OFFSET($H$3,0,0,'Données projet'!$E$13+1,1))</f>
        <v>1036.0130072090849</v>
      </c>
      <c r="CZ6" s="62">
        <f t="shared" si="42"/>
        <v>346.56593355696174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12.48</v>
      </c>
      <c r="DO6" s="13">
        <f>IF('Données projet'!$A$166&gt;35,DO5+DN6-DW5,IF(A6&lt;'Données projet'!$A$166,$DL$205^A6,IF(A6='Données projet'!$A$166,'Données projet'!$B$166,DO5+DN6-DW5)))</f>
        <v>1.9920422774110982</v>
      </c>
      <c r="DP6" s="18">
        <f>DO6*VLOOKUP('Données projet'!$B$14,Paramètres!$A$1:$I$89,3,0)*VLOOKUP('Données projet'!$B$14,Paramètres!$A$1:$I$89,5,0)</f>
        <v>1.1135516330728039</v>
      </c>
      <c r="DQ6" s="14">
        <f t="shared" si="43"/>
        <v>0.50678685099938825</v>
      </c>
      <c r="DR6" s="22">
        <f t="shared" si="16"/>
        <v>2.8220895264257346</v>
      </c>
      <c r="DS6" s="62">
        <f t="shared" si="17"/>
        <v>263.15542285975903</v>
      </c>
      <c r="DT6" s="62">
        <f ca="1">AVERAGE(OFFSET($DS$3,0,0,'Données projet'!$E$14+1,1))-AVERAGE(OFFSET($H$3,0,0,'Données projet'!$E$14+1,1))</f>
        <v>446.48069057792151</v>
      </c>
      <c r="DU6" s="62">
        <f t="shared" si="44"/>
        <v>561.75656782935948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3.3521212121212121</v>
      </c>
      <c r="EJ6" s="13">
        <f>IF('Données projet'!$A$192&gt;35,EJ5+EI6-ER5,IF(A6&lt;'Données projet'!$A$192,$EG$205^A6,IF(A6='Données projet'!$A$192,'Données projet'!$B$192,EJ5+EI6-ER5)))</f>
        <v>1.5339212342140718</v>
      </c>
      <c r="EK6" s="18">
        <f>EJ6*VLOOKUP('Données projet'!$B$15,Paramètres!$A$1:$I$89,3,0)*VLOOKUP('Données projet'!$B$15,Paramètres!$A$1:$I$89,5,0)</f>
        <v>1.4836086177318502</v>
      </c>
      <c r="EL6" s="14">
        <f t="shared" si="45"/>
        <v>0.65302504858238941</v>
      </c>
      <c r="EM6" s="22">
        <f t="shared" si="19"/>
        <v>3.7213036354973004</v>
      </c>
      <c r="EN6" s="62">
        <f t="shared" si="20"/>
        <v>264.05463696883061</v>
      </c>
      <c r="EO6" s="62">
        <f ca="1">AVERAGE(OFFSET($EN$3,0,0,'Données projet'!$E$15+1,1))-AVERAGE(OFFSET($H$3,0,0,'Données projet'!$E$15+1,1))</f>
        <v>301.18531163828169</v>
      </c>
      <c r="EP6" s="62">
        <f t="shared" si="46"/>
        <v>192.30530273268101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3.3521212121212121</v>
      </c>
      <c r="FE6" s="13">
        <f>IF('Données projet'!$A$218&gt;35,FE5+FD6-FM5,IF(A6&lt;'Données projet'!$A$218,$FB$205^A6,IF(A6='Données projet'!$A$218,'Données projet'!$B$218,FE5+FD6-FM5)))</f>
        <v>1.5339212342140718</v>
      </c>
      <c r="FF6" s="18">
        <f>FE6*VLOOKUP('Données projet'!$B$16,Paramètres!$A$1:$I$89,3,0)*VLOOKUP('Données projet'!$B$16,Paramètres!$A$1:$I$89,5,0)</f>
        <v>1.1964585626869759</v>
      </c>
      <c r="FG6" s="14">
        <f t="shared" si="47"/>
        <v>0.53998592410651314</v>
      </c>
      <c r="FH6" s="22">
        <f t="shared" si="22"/>
        <v>3.0243074811653265</v>
      </c>
      <c r="FI6" s="62">
        <f t="shared" si="23"/>
        <v>263.35764081449867</v>
      </c>
      <c r="FJ6" s="62">
        <f ca="1">AVERAGE(OFFSET($FI$3,0,0,'Données projet'!$E$16+1,1))-AVERAGE(OFFSET($H$3,0,0,'Données projet'!$E$16+1,1))</f>
        <v>249.2899297828755</v>
      </c>
      <c r="FK6" s="62">
        <f t="shared" si="48"/>
        <v>162.88011837476813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3.3521212121212121</v>
      </c>
      <c r="FZ6" s="13">
        <f>IF('Données projet'!$A$244&gt;35,FZ5+FY6-GH5,IF(A6&lt;'Données projet'!$A$244,$FW$205^A6,IF(A6='Données projet'!$A$244,'Données projet'!$B$244,FZ5+FY6-GH5)))</f>
        <v>1.5339212342140718</v>
      </c>
      <c r="GA6" s="18">
        <f>FZ6*VLOOKUP('Données projet'!$B$17,Paramètres!$A$1:$I$89,3,0)*VLOOKUP('Données projet'!$B$17,Paramètres!$A$1:$I$89,5,0)</f>
        <v>1.0289543639107994</v>
      </c>
      <c r="GB6" s="14">
        <f t="shared" si="49"/>
        <v>0.47261257256869355</v>
      </c>
      <c r="GC6" s="22">
        <f t="shared" si="25"/>
        <v>2.6152290810351171</v>
      </c>
      <c r="GD6" s="62">
        <f t="shared" si="26"/>
        <v>262.94856241436844</v>
      </c>
      <c r="GE6" s="62">
        <f ca="1">AVERAGE(OFFSET($GD$3,0,0,'Données projet'!$E$17+1,1))-AVERAGE(OFFSET($H$3,0,0,'Données projet'!$E$17+1,1))</f>
        <v>218.89895999738746</v>
      </c>
      <c r="GF6" s="62">
        <f t="shared" si="50"/>
        <v>145.64042897395763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3.3521212121212121</v>
      </c>
      <c r="GU6" s="13">
        <f>IF('Données projet'!$A$270&gt;35,GU5+GT6-HC5,IF(A6&lt;'Données projet'!$A$270,$GR$205^A6,IF(A6='Données projet'!$A$270,'Données projet'!$B$270,GU5+GT6-HC5)))</f>
        <v>1.5339212342140718</v>
      </c>
      <c r="GV6" s="18">
        <f>GU6*VLOOKUP('Données projet'!$B$18,Paramètres!$A$1:$I$89,3,0)*VLOOKUP('Données projet'!$B$18,Paramètres!$A$1:$I$89,5,0)</f>
        <v>1.6511128165080267</v>
      </c>
      <c r="GW6" s="14">
        <f t="shared" si="51"/>
        <v>0.7177605751292232</v>
      </c>
      <c r="GX6" s="22">
        <f t="shared" si="28"/>
        <v>4.1257878237682108</v>
      </c>
      <c r="GY6" s="62">
        <f t="shared" si="29"/>
        <v>264.45912115710155</v>
      </c>
      <c r="GZ6" s="62">
        <f ca="1">AVERAGE(OFFSET($GY$3,0,0,'Données projet'!$E$18+1,1))-AVERAGE(OFFSET($H$3,0,0,'Données projet'!$E$18+1,1))</f>
        <v>331.3579800635751</v>
      </c>
      <c r="HA6" s="62">
        <f t="shared" si="52"/>
        <v>209.40702003535273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6.166060606060606</v>
      </c>
      <c r="N7" s="14">
        <f>IF('Données projet'!$A$36&gt;35,N6+M7-V6,IF(A7&lt;'Données projet'!$A$36,$K$205^A7,IF(A7='Données projet'!$A$36,'Données projet'!$B$36,N6+M7-V6)))</f>
        <v>1.904674711313594</v>
      </c>
      <c r="O7" s="14">
        <f>N7*VLOOKUP('Données projet'!$B$9,Paramètres!$A$1:$I$89,3,0)*VLOOKUP('Données projet'!$B$9,Paramètres!$A$1:$I$89,5,0)</f>
        <v>1.7233496787965399</v>
      </c>
      <c r="P7" s="14">
        <f t="shared" si="33"/>
        <v>0.7454381371090838</v>
      </c>
      <c r="Q7" s="22">
        <f t="shared" si="2"/>
        <v>4.2998054460356281</v>
      </c>
      <c r="R7" s="62">
        <f t="shared" si="0"/>
        <v>265.85536100159118</v>
      </c>
      <c r="S7" s="62">
        <f ca="1">AVERAGE(OFFSET($R$3,0,0,'Données projet'!$E$9+1,1))-AVERAGE(OFFSET($H$3,0,0,'Données projet'!$E$9+1,1))</f>
        <v>2472.5049373954762</v>
      </c>
      <c r="T7" s="62">
        <f t="shared" si="34"/>
        <v>286.98388307318311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6.166060606060606</v>
      </c>
      <c r="AI7" s="14">
        <f>IF('Données projet'!$A$62&gt;35,AI6+AH7-AQ6,IF(A7&lt;'Données projet'!$A$62,$AF$205^A7,IF(A7='Données projet'!$A$62,'Données projet'!$B$62,AI6+AH7-AQ6)))</f>
        <v>1.904674711313594</v>
      </c>
      <c r="AJ7" s="14">
        <f>AI7*VLOOKUP('Données projet'!$B$10,Paramètres!$A$1:$I$89,3,0)*VLOOKUP('Données projet'!$B$10,Paramètres!$A$1:$I$89,5,0)</f>
        <v>1.9313401572719844</v>
      </c>
      <c r="AK7" s="14">
        <f t="shared" si="35"/>
        <v>0.82439789577218603</v>
      </c>
      <c r="AL7" s="22">
        <f t="shared" si="4"/>
        <v>4.7995771090519304</v>
      </c>
      <c r="AM7" s="62">
        <f t="shared" si="5"/>
        <v>266.35513266460748</v>
      </c>
      <c r="AN7" s="62">
        <f ca="1">AVERAGE(OFFSET($AM$3,0,0,'Données projet'!$E$10+1,1))-AVERAGE(OFFSET($H$3,0,0,'Données projet'!$E$10+1,1))</f>
        <v>2761.1400657295467</v>
      </c>
      <c r="AO7" s="62">
        <f t="shared" si="36"/>
        <v>316.41877504316409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6.166060606060606</v>
      </c>
      <c r="BD7" s="13">
        <f>IF('Données projet'!$A$88&gt;35,BD6+BC7-BL6,IF(A7&lt;'Données projet'!$A$88,$BA$205^A7,IF(A7='Données projet'!$A$88,'Données projet'!$B$88,BD6+BC7-BL6)))</f>
        <v>1.904674711313594</v>
      </c>
      <c r="BE7" s="14">
        <f>BD7*VLOOKUP('Données projet'!$B$11,Paramètres!$A$1:$I$89,3,0)*VLOOKUP('Données projet'!$B$11,Paramètres!$A$1:$I$89,5,0)</f>
        <v>1.9907660082649685</v>
      </c>
      <c r="BF7" s="14">
        <f t="shared" si="37"/>
        <v>0.84677168697940419</v>
      </c>
      <c r="BG7" s="22">
        <f t="shared" si="7"/>
        <v>4.9420448192172817</v>
      </c>
      <c r="BH7" s="62">
        <f t="shared" si="8"/>
        <v>266.49760037477284</v>
      </c>
      <c r="BI7" s="62">
        <f ca="1">AVERAGE(OFFSET($BH$3,0,0,'Données projet'!$E$11+1,1))-AVERAGE(OFFSET($H$3,0,0,'Données projet'!$E$11+1,1))</f>
        <v>2843.5086223152098</v>
      </c>
      <c r="BJ7" s="62">
        <f t="shared" si="38"/>
        <v>324.81562437645522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6.166060606060606</v>
      </c>
      <c r="BY7" s="13">
        <f>IF('Données projet'!$A$114&gt;35,BY6+BX7-CG6,IF(A7&lt;'Données projet'!$A$114,$BV$205^A7,IF(A7='Données projet'!$A$114,'Données projet'!$B$114,BY6+BX7-CG6)))</f>
        <v>1.904674711313594</v>
      </c>
      <c r="BZ7" s="14">
        <f>BY7*VLOOKUP('Données projet'!$B$12,Paramètres!$A$1:$I$89,3,0)*VLOOKUP('Données projet'!$B$12,Paramètres!$A$1:$I$89,5,0)</f>
        <v>1.9016272317754923</v>
      </c>
      <c r="CA7" s="14">
        <f t="shared" si="39"/>
        <v>0.81318106534651713</v>
      </c>
      <c r="CB7" s="22">
        <f t="shared" si="10"/>
        <v>4.7282911174874984</v>
      </c>
      <c r="CC7" s="62">
        <f t="shared" si="11"/>
        <v>266.28384667304306</v>
      </c>
      <c r="CD7" s="62">
        <f ca="1">AVERAGE(OFFSET($CC$3,0,0,'Données projet'!$E$12+1,1))-AVERAGE(OFFSET($H$3,0,0,'Données projet'!$E$12+1,1))</f>
        <v>2719.939926994799</v>
      </c>
      <c r="CE7" s="62">
        <f t="shared" si="40"/>
        <v>312.21824046329749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8.1527272727272742</v>
      </c>
      <c r="CT7" s="13">
        <f>IF('Données projet'!$A$140&gt;35,CT6+CS7-DB6,IF(A7&lt;'Données projet'!$A$140,$CQ$205^A7,IF(A7='Données projet'!$A$140,'Données projet'!$B$140,CT6+CS7-DB6)))</f>
        <v>1.9702587053852374</v>
      </c>
      <c r="CU7" s="18">
        <f>CT7*VLOOKUP('Données projet'!$B$13,Paramètres!$A$1:$I$89,3,0)*VLOOKUP('Données projet'!$B$13,Paramètres!$A$1:$I$89,5,0)</f>
        <v>1.7212180050245436</v>
      </c>
      <c r="CV7" s="14">
        <f t="shared" si="41"/>
        <v>0.74462334666462071</v>
      </c>
      <c r="CW7" s="22">
        <f t="shared" si="13"/>
        <v>4.294673687525294</v>
      </c>
      <c r="CX7" s="62">
        <f t="shared" si="14"/>
        <v>265.85022924308083</v>
      </c>
      <c r="CY7" s="62">
        <f ca="1">AVERAGE(OFFSET($CX$3,0,0,'Données projet'!$E$13+1,1))-AVERAGE(OFFSET($H$3,0,0,'Données projet'!$E$13+1,1))</f>
        <v>1036.0130072090849</v>
      </c>
      <c r="CZ7" s="62">
        <f t="shared" si="42"/>
        <v>346.56593355696174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12.48</v>
      </c>
      <c r="DO7" s="13">
        <f>IF('Données projet'!$A$166&gt;35,DO6+DN7-DW6,IF(A7&lt;'Données projet'!$A$166,$DL$205^A7,IF(A7='Données projet'!$A$166,'Données projet'!$B$166,DO6+DN7-DW6)))</f>
        <v>2.5064828363691389</v>
      </c>
      <c r="DP7" s="18">
        <f>DO7*VLOOKUP('Données projet'!$B$14,Paramètres!$A$1:$I$89,3,0)*VLOOKUP('Données projet'!$B$14,Paramètres!$A$1:$I$89,5,0)</f>
        <v>1.4011239055303486</v>
      </c>
      <c r="DQ7" s="14">
        <f t="shared" si="43"/>
        <v>0.62083863902717018</v>
      </c>
      <c r="DR7" s="22">
        <f t="shared" si="16"/>
        <v>3.521584765104345</v>
      </c>
      <c r="DS7" s="62">
        <f t="shared" si="17"/>
        <v>265.07714032065991</v>
      </c>
      <c r="DT7" s="62">
        <f ca="1">AVERAGE(OFFSET($DS$3,0,0,'Données projet'!$E$14+1,1))-AVERAGE(OFFSET($H$3,0,0,'Données projet'!$E$14+1,1))</f>
        <v>446.48069057792151</v>
      </c>
      <c r="DU7" s="62">
        <f t="shared" si="44"/>
        <v>561.75656782935948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3.3521212121212121</v>
      </c>
      <c r="EJ7" s="13">
        <f>IF('Données projet'!$A$192&gt;35,EJ6+EI7-ER6,IF(A7&lt;'Données projet'!$A$192,$EG$205^A7,IF(A7='Données projet'!$A$192,'Données projet'!$B$192,EJ6+EI7-ER6)))</f>
        <v>1.7690390212148268</v>
      </c>
      <c r="EK7" s="18">
        <f>EJ7*VLOOKUP('Données projet'!$B$15,Paramètres!$A$1:$I$89,3,0)*VLOOKUP('Données projet'!$B$15,Paramètres!$A$1:$I$89,5,0)</f>
        <v>1.7110145413189806</v>
      </c>
      <c r="EL7" s="14">
        <f t="shared" si="45"/>
        <v>0.74072164335331314</v>
      </c>
      <c r="EM7" s="22">
        <f t="shared" si="19"/>
        <v>4.2701071883042445</v>
      </c>
      <c r="EN7" s="62">
        <f t="shared" si="20"/>
        <v>265.82566274385977</v>
      </c>
      <c r="EO7" s="62">
        <f ca="1">AVERAGE(OFFSET($EN$3,0,0,'Données projet'!$E$15+1,1))-AVERAGE(OFFSET($H$3,0,0,'Données projet'!$E$15+1,1))</f>
        <v>301.18531163828169</v>
      </c>
      <c r="EP7" s="62">
        <f t="shared" si="46"/>
        <v>192.30530273268101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3.3521212121212121</v>
      </c>
      <c r="FE7" s="13">
        <f>IF('Données projet'!$A$218&gt;35,FE6+FD7-FM6,IF(A7&lt;'Données projet'!$A$218,$FB$205^A7,IF(A7='Données projet'!$A$218,'Données projet'!$B$218,FE6+FD7-FM6)))</f>
        <v>1.7690390212148268</v>
      </c>
      <c r="FF7" s="18">
        <f>FE7*VLOOKUP('Données projet'!$B$16,Paramètres!$A$1:$I$89,3,0)*VLOOKUP('Données projet'!$B$16,Paramètres!$A$1:$I$89,5,0)</f>
        <v>1.379850436547565</v>
      </c>
      <c r="FG7" s="14">
        <f t="shared" si="47"/>
        <v>0.61250217271163387</v>
      </c>
      <c r="FH7" s="22">
        <f t="shared" si="22"/>
        <v>3.4700141277931045</v>
      </c>
      <c r="FI7" s="62">
        <f t="shared" si="23"/>
        <v>265.02556968334864</v>
      </c>
      <c r="FJ7" s="62">
        <f ca="1">AVERAGE(OFFSET($FI$3,0,0,'Données projet'!$E$16+1,1))-AVERAGE(OFFSET($H$3,0,0,'Données projet'!$E$16+1,1))</f>
        <v>249.2899297828755</v>
      </c>
      <c r="FK7" s="62">
        <f t="shared" si="48"/>
        <v>162.88011837476813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3.3521212121212121</v>
      </c>
      <c r="FZ7" s="13">
        <f>IF('Données projet'!$A$244&gt;35,FZ6+FY7-GH6,IF(A7&lt;'Données projet'!$A$244,$FW$205^A7,IF(A7='Données projet'!$A$244,'Données projet'!$B$244,FZ6+FY7-GH6)))</f>
        <v>1.7690390212148268</v>
      </c>
      <c r="GA7" s="18">
        <f>FZ7*VLOOKUP('Données projet'!$B$17,Paramètres!$A$1:$I$89,3,0)*VLOOKUP('Données projet'!$B$17,Paramètres!$A$1:$I$89,5,0)</f>
        <v>1.1866713754309057</v>
      </c>
      <c r="GB7" s="14">
        <f t="shared" si="49"/>
        <v>0.53608106179460302</v>
      </c>
      <c r="GC7" s="22">
        <f t="shared" si="25"/>
        <v>3.0004604948344276</v>
      </c>
      <c r="GD7" s="62">
        <f t="shared" si="26"/>
        <v>264.55601605038999</v>
      </c>
      <c r="GE7" s="62">
        <f ca="1">AVERAGE(OFFSET($GD$3,0,0,'Données projet'!$E$17+1,1))-AVERAGE(OFFSET($H$3,0,0,'Données projet'!$E$17+1,1))</f>
        <v>218.89895999738746</v>
      </c>
      <c r="GF7" s="62">
        <f t="shared" si="50"/>
        <v>145.64042897395763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3.3521212121212121</v>
      </c>
      <c r="GU7" s="13">
        <f>IF('Données projet'!$A$270&gt;35,GU6+GT7-HC6,IF(A7&lt;'Données projet'!$A$270,$GR$205^A7,IF(A7='Données projet'!$A$270,'Données projet'!$B$270,GU6+GT7-HC6)))</f>
        <v>1.7690390212148268</v>
      </c>
      <c r="GV7" s="18">
        <f>GU7*VLOOKUP('Données projet'!$B$18,Paramètres!$A$1:$I$89,3,0)*VLOOKUP('Données projet'!$B$18,Paramètres!$A$1:$I$89,5,0)</f>
        <v>1.9041936024356396</v>
      </c>
      <c r="GW7" s="14">
        <f t="shared" si="51"/>
        <v>0.81415068824402059</v>
      </c>
      <c r="GX7" s="22">
        <f t="shared" si="28"/>
        <v>4.7344496396004079</v>
      </c>
      <c r="GY7" s="62">
        <f t="shared" si="29"/>
        <v>266.29000519515597</v>
      </c>
      <c r="GZ7" s="62">
        <f ca="1">AVERAGE(OFFSET($GY$3,0,0,'Données projet'!$E$18+1,1))-AVERAGE(OFFSET($H$3,0,0,'Données projet'!$E$18+1,1))</f>
        <v>331.3579800635751</v>
      </c>
      <c r="HA7" s="62">
        <f t="shared" si="52"/>
        <v>209.40702003535273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6.166060606060606</v>
      </c>
      <c r="N8" s="14">
        <f>IF('Données projet'!$A$36&gt;35,N7+M8-V7,IF(A8&lt;'Données projet'!$A$36,$K$205^A8,IF(A8='Données projet'!$A$36,'Données projet'!$B$36,N7+M8-V7)))</f>
        <v>2.2375668514822324</v>
      </c>
      <c r="O8" s="14">
        <f>N8*VLOOKUP('Données projet'!$B$9,Paramètres!$A$1:$I$89,3,0)*VLOOKUP('Données projet'!$B$9,Paramètres!$A$1:$I$89,5,0)</f>
        <v>2.024550487221124</v>
      </c>
      <c r="P8" s="14">
        <f t="shared" si="33"/>
        <v>0.85945674833288344</v>
      </c>
      <c r="Q8" s="22">
        <f t="shared" si="2"/>
        <v>5.0229792685898964</v>
      </c>
      <c r="R8" s="62">
        <f t="shared" si="0"/>
        <v>267.80075704636766</v>
      </c>
      <c r="S8" s="62">
        <f ca="1">AVERAGE(OFFSET($R$3,0,0,'Données projet'!$E$9+1,1))-AVERAGE(OFFSET($H$3,0,0,'Données projet'!$E$9+1,1))</f>
        <v>2472.5049373954762</v>
      </c>
      <c r="T8" s="62">
        <f t="shared" si="34"/>
        <v>286.98388307318311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6.166060606060606</v>
      </c>
      <c r="AI8" s="14">
        <f>IF('Données projet'!$A$62&gt;35,AI7+AH8-AQ7,IF(A8&lt;'Données projet'!$A$62,$AF$205^A8,IF(A8='Données projet'!$A$62,'Données projet'!$B$62,AI7+AH8-AQ7)))</f>
        <v>2.2375668514822324</v>
      </c>
      <c r="AJ8" s="14">
        <f>AI8*VLOOKUP('Données projet'!$B$10,Paramètres!$A$1:$I$89,3,0)*VLOOKUP('Données projet'!$B$10,Paramètres!$A$1:$I$89,5,0)</f>
        <v>2.2688927874029838</v>
      </c>
      <c r="AK8" s="14">
        <f t="shared" si="35"/>
        <v>0.95049380969510411</v>
      </c>
      <c r="AL8" s="22">
        <f t="shared" si="4"/>
        <v>5.6070983232791702</v>
      </c>
      <c r="AM8" s="62">
        <f t="shared" si="5"/>
        <v>268.38487610105693</v>
      </c>
      <c r="AN8" s="62">
        <f ca="1">AVERAGE(OFFSET($AM$3,0,0,'Données projet'!$E$10+1,1))-AVERAGE(OFFSET($H$3,0,0,'Données projet'!$E$10+1,1))</f>
        <v>2761.1400657295467</v>
      </c>
      <c r="AO8" s="62">
        <f t="shared" si="36"/>
        <v>316.41877504316409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6.166060606060606</v>
      </c>
      <c r="BD8" s="13">
        <f>IF('Données projet'!$A$88&gt;35,BD7+BC8-BL7,IF(A8&lt;'Données projet'!$A$88,$BA$205^A8,IF(A8='Données projet'!$A$88,'Données projet'!$B$88,BD7+BC8-BL7)))</f>
        <v>2.2375668514822324</v>
      </c>
      <c r="BE8" s="14">
        <f>BD8*VLOOKUP('Données projet'!$B$11,Paramètres!$A$1:$I$89,3,0)*VLOOKUP('Données projet'!$B$11,Paramètres!$A$1:$I$89,5,0)</f>
        <v>2.3387048731692297</v>
      </c>
      <c r="BF8" s="14">
        <f t="shared" si="37"/>
        <v>0.97628978776701858</v>
      </c>
      <c r="BG8" s="22">
        <f t="shared" si="7"/>
        <v>5.773615701130633</v>
      </c>
      <c r="BH8" s="62">
        <f t="shared" si="8"/>
        <v>268.55139347890838</v>
      </c>
      <c r="BI8" s="62">
        <f ca="1">AVERAGE(OFFSET($BH$3,0,0,'Données projet'!$E$11+1,1))-AVERAGE(OFFSET($H$3,0,0,'Données projet'!$E$11+1,1))</f>
        <v>2843.5086223152098</v>
      </c>
      <c r="BJ8" s="62">
        <f t="shared" si="38"/>
        <v>324.81562437645522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6.166060606060606</v>
      </c>
      <c r="BY8" s="13">
        <f>IF('Données projet'!$A$114&gt;35,BY7+BX8-CG7,IF(A8&lt;'Données projet'!$A$114,$BV$205^A8,IF(A8='Données projet'!$A$114,'Données projet'!$B$114,BY7+BX8-CG7)))</f>
        <v>2.2375668514822324</v>
      </c>
      <c r="BZ8" s="14">
        <f>BY8*VLOOKUP('Données projet'!$B$12,Paramètres!$A$1:$I$89,3,0)*VLOOKUP('Données projet'!$B$12,Paramètres!$A$1:$I$89,5,0)</f>
        <v>2.2339867445198611</v>
      </c>
      <c r="CA8" s="14">
        <f t="shared" si="39"/>
        <v>0.93756130715152153</v>
      </c>
      <c r="CB8" s="22">
        <f t="shared" si="10"/>
        <v>5.5237795233276579</v>
      </c>
      <c r="CC8" s="62">
        <f t="shared" si="11"/>
        <v>268.30155730110545</v>
      </c>
      <c r="CD8" s="62">
        <f ca="1">AVERAGE(OFFSET($CC$3,0,0,'Données projet'!$E$12+1,1))-AVERAGE(OFFSET($H$3,0,0,'Données projet'!$E$12+1,1))</f>
        <v>2719.939926994799</v>
      </c>
      <c r="CE8" s="62">
        <f t="shared" si="40"/>
        <v>312.21824046329749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8.1527272727272742</v>
      </c>
      <c r="CT8" s="13">
        <f>IF('Données projet'!$A$140&gt;35,CT7+CS8-DB7,IF(A8&lt;'Données projet'!$A$140,$CQ$205^A8,IF(A8='Données projet'!$A$140,'Données projet'!$B$140,CT7+CS8-DB7)))</f>
        <v>2.3342860187851091</v>
      </c>
      <c r="CU8" s="18">
        <f>CT8*VLOOKUP('Données projet'!$B$13,Paramètres!$A$1:$I$89,3,0)*VLOOKUP('Données projet'!$B$13,Paramètres!$A$1:$I$89,5,0)</f>
        <v>2.0392322660106714</v>
      </c>
      <c r="CV8" s="14">
        <f t="shared" si="41"/>
        <v>0.86496161690099327</v>
      </c>
      <c r="CW8" s="22">
        <f t="shared" si="13"/>
        <v>5.0581376794044832</v>
      </c>
      <c r="CX8" s="62">
        <f t="shared" si="14"/>
        <v>267.83591545718224</v>
      </c>
      <c r="CY8" s="62">
        <f ca="1">AVERAGE(OFFSET($CX$3,0,0,'Données projet'!$E$13+1,1))-AVERAGE(OFFSET($H$3,0,0,'Données projet'!$E$13+1,1))</f>
        <v>1036.0130072090849</v>
      </c>
      <c r="CZ8" s="62">
        <f t="shared" si="42"/>
        <v>346.56593355696174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12.48</v>
      </c>
      <c r="DO8" s="13">
        <f>IF('Données projet'!$A$166&gt;35,DO7+DN8-DW7,IF(A8&lt;'Données projet'!$A$166,$DL$205^A8,IF(A8='Données projet'!$A$166,'Données projet'!$B$166,DO7+DN8-DW7)))</f>
        <v>3.1537765439285259</v>
      </c>
      <c r="DP8" s="18">
        <f>DO8*VLOOKUP('Données projet'!$B$14,Paramètres!$A$1:$I$89,3,0)*VLOOKUP('Données projet'!$B$14,Paramètres!$A$1:$I$89,5,0)</f>
        <v>1.7629610880560462</v>
      </c>
      <c r="DQ8" s="14">
        <f t="shared" si="43"/>
        <v>0.76055764854399177</v>
      </c>
      <c r="DR8" s="22">
        <f t="shared" si="16"/>
        <v>4.3951284662450663</v>
      </c>
      <c r="DS8" s="62">
        <f t="shared" si="17"/>
        <v>267.17290624402284</v>
      </c>
      <c r="DT8" s="62">
        <f ca="1">AVERAGE(OFFSET($DS$3,0,0,'Données projet'!$E$14+1,1))-AVERAGE(OFFSET($H$3,0,0,'Données projet'!$E$14+1,1))</f>
        <v>446.48069057792151</v>
      </c>
      <c r="DU8" s="62">
        <f t="shared" si="44"/>
        <v>561.75656782935948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3.3521212121212121</v>
      </c>
      <c r="EJ8" s="13">
        <f>IF('Données projet'!$A$192&gt;35,EJ7+EI8-ER7,IF(A8&lt;'Données projet'!$A$192,$EG$205^A8,IF(A8='Données projet'!$A$192,'Données projet'!$B$192,EJ7+EI8-ER7)))</f>
        <v>2.0401954081978397</v>
      </c>
      <c r="EK8" s="18">
        <f>EJ8*VLOOKUP('Données projet'!$B$15,Paramètres!$A$1:$I$89,3,0)*VLOOKUP('Données projet'!$B$15,Paramètres!$A$1:$I$89,5,0)</f>
        <v>1.9732769988089509</v>
      </c>
      <c r="EL8" s="14">
        <f t="shared" si="45"/>
        <v>0.84019526375458709</v>
      </c>
      <c r="EM8" s="22">
        <f t="shared" si="19"/>
        <v>4.9001308572981612</v>
      </c>
      <c r="EN8" s="62">
        <f t="shared" si="20"/>
        <v>267.67790863507594</v>
      </c>
      <c r="EO8" s="62">
        <f ca="1">AVERAGE(OFFSET($EN$3,0,0,'Données projet'!$E$15+1,1))-AVERAGE(OFFSET($H$3,0,0,'Données projet'!$E$15+1,1))</f>
        <v>301.18531163828169</v>
      </c>
      <c r="EP8" s="62">
        <f t="shared" si="46"/>
        <v>192.30530273268101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3.3521212121212121</v>
      </c>
      <c r="FE8" s="13">
        <f>IF('Données projet'!$A$218&gt;35,FE7+FD8-FM7,IF(A8&lt;'Données projet'!$A$218,$FB$205^A8,IF(A8='Données projet'!$A$218,'Données projet'!$B$218,FE7+FD8-FM7)))</f>
        <v>2.0401954081978397</v>
      </c>
      <c r="FF8" s="18">
        <f>FE8*VLOOKUP('Données projet'!$B$16,Paramètres!$A$1:$I$89,3,0)*VLOOKUP('Données projet'!$B$16,Paramètres!$A$1:$I$89,5,0)</f>
        <v>1.5913524183943151</v>
      </c>
      <c r="FG8" s="14">
        <f t="shared" si="47"/>
        <v>0.69475683499940899</v>
      </c>
      <c r="FH8" s="22">
        <f t="shared" si="22"/>
        <v>3.9816402829940691</v>
      </c>
      <c r="FI8" s="62">
        <f t="shared" si="23"/>
        <v>266.75941806077185</v>
      </c>
      <c r="FJ8" s="62">
        <f ca="1">AVERAGE(OFFSET($FI$3,0,0,'Données projet'!$E$16+1,1))-AVERAGE(OFFSET($H$3,0,0,'Données projet'!$E$16+1,1))</f>
        <v>249.2899297828755</v>
      </c>
      <c r="FK8" s="62">
        <f t="shared" si="48"/>
        <v>162.88011837476813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3.3521212121212121</v>
      </c>
      <c r="FZ8" s="13">
        <f>IF('Données projet'!$A$244&gt;35,FZ7+FY8-GH7,IF(A8&lt;'Données projet'!$A$244,$FW$205^A8,IF(A8='Données projet'!$A$244,'Données projet'!$B$244,FZ7+FY8-GH7)))</f>
        <v>2.0401954081978397</v>
      </c>
      <c r="GA8" s="18">
        <f>FZ8*VLOOKUP('Données projet'!$B$17,Paramètres!$A$1:$I$89,3,0)*VLOOKUP('Données projet'!$B$17,Paramètres!$A$1:$I$89,5,0)</f>
        <v>1.3685630798191111</v>
      </c>
      <c r="GB8" s="14">
        <f t="shared" si="49"/>
        <v>0.60807291531174479</v>
      </c>
      <c r="GC8" s="22">
        <f t="shared" si="25"/>
        <v>3.4426410248529073</v>
      </c>
      <c r="GD8" s="62">
        <f t="shared" si="26"/>
        <v>266.22041880263066</v>
      </c>
      <c r="GE8" s="62">
        <f ca="1">AVERAGE(OFFSET($GD$3,0,0,'Données projet'!$E$17+1,1))-AVERAGE(OFFSET($H$3,0,0,'Données projet'!$E$17+1,1))</f>
        <v>218.89895999738746</v>
      </c>
      <c r="GF8" s="62">
        <f t="shared" si="50"/>
        <v>145.64042897395763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3.3521212121212121</v>
      </c>
      <c r="GU8" s="13">
        <f>IF('Données projet'!$A$270&gt;35,GU7+GT8-HC7,IF(A8&lt;'Données projet'!$A$270,$GR$205^A8,IF(A8='Données projet'!$A$270,'Données projet'!$B$270,GU7+GT8-HC7)))</f>
        <v>2.0401954081978397</v>
      </c>
      <c r="GV8" s="18">
        <f>GU8*VLOOKUP('Données projet'!$B$18,Paramètres!$A$1:$I$89,3,0)*VLOOKUP('Données projet'!$B$18,Paramètres!$A$1:$I$89,5,0)</f>
        <v>2.1960663373841545</v>
      </c>
      <c r="GW8" s="14">
        <f t="shared" si="51"/>
        <v>0.92348530434243559</v>
      </c>
      <c r="GX8" s="22">
        <f t="shared" si="28"/>
        <v>5.4332191093404774</v>
      </c>
      <c r="GY8" s="62">
        <f t="shared" si="29"/>
        <v>268.21099688711826</v>
      </c>
      <c r="GZ8" s="62">
        <f ca="1">AVERAGE(OFFSET($GY$3,0,0,'Données projet'!$E$18+1,1))-AVERAGE(OFFSET($H$3,0,0,'Données projet'!$E$18+1,1))</f>
        <v>331.3579800635751</v>
      </c>
      <c r="HA8" s="62">
        <f t="shared" si="52"/>
        <v>209.40702003535273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6.166060606060606</v>
      </c>
      <c r="N9" s="14">
        <f>IF('Données projet'!$A$36&gt;35,N8+M9-V8,IF(A9&lt;'Données projet'!$A$36,$K$205^A9,IF(A9='Données projet'!$A$36,'Données projet'!$B$36,N8+M9-V8)))</f>
        <v>2.628640672925795</v>
      </c>
      <c r="O9" s="14">
        <f>N9*VLOOKUP('Données projet'!$B$9,Paramètres!$A$1:$I$89,3,0)*VLOOKUP('Données projet'!$B$9,Paramètres!$A$1:$I$89,5,0)</f>
        <v>2.3783940808632593</v>
      </c>
      <c r="P9" s="14">
        <f t="shared" si="33"/>
        <v>0.99091509473822459</v>
      </c>
      <c r="Q9" s="22">
        <f t="shared" si="2"/>
        <v>5.868213480839251</v>
      </c>
      <c r="R9" s="62">
        <f t="shared" si="0"/>
        <v>269.86821348083924</v>
      </c>
      <c r="S9" s="62">
        <f ca="1">AVERAGE(OFFSET($R$3,0,0,'Données projet'!$E$9+1,1))-AVERAGE(OFFSET($H$3,0,0,'Données projet'!$E$9+1,1))</f>
        <v>2472.5049373954762</v>
      </c>
      <c r="T9" s="62">
        <f t="shared" si="34"/>
        <v>286.98388307318311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6.166060606060606</v>
      </c>
      <c r="AI9" s="14">
        <f>IF('Données projet'!$A$62&gt;35,AI8+AH9-AQ8,IF(A9&lt;'Données projet'!$A$62,$AF$205^A9,IF(A9='Données projet'!$A$62,'Données projet'!$B$62,AI8+AH9-AQ8)))</f>
        <v>2.628640672925795</v>
      </c>
      <c r="AJ9" s="14">
        <f>AI9*VLOOKUP('Données projet'!$B$10,Paramètres!$A$1:$I$89,3,0)*VLOOKUP('Données projet'!$B$10,Paramètres!$A$1:$I$89,5,0)</f>
        <v>2.6654416423467562</v>
      </c>
      <c r="AK9" s="14">
        <f t="shared" si="35"/>
        <v>1.0958767445936917</v>
      </c>
      <c r="AL9" s="22">
        <f t="shared" si="4"/>
        <v>6.5509628572546132</v>
      </c>
      <c r="AM9" s="62">
        <f t="shared" si="5"/>
        <v>270.5509628572546</v>
      </c>
      <c r="AN9" s="62">
        <f ca="1">AVERAGE(OFFSET($AM$3,0,0,'Données projet'!$E$10+1,1))-AVERAGE(OFFSET($H$3,0,0,'Données projet'!$E$10+1,1))</f>
        <v>2761.1400657295467</v>
      </c>
      <c r="AO9" s="62">
        <f t="shared" si="36"/>
        <v>316.41877504316409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6.166060606060606</v>
      </c>
      <c r="BD9" s="13">
        <f>IF('Données projet'!$A$88&gt;35,BD8+BC9-BL8,IF(A9&lt;'Données projet'!$A$88,$BA$205^A9,IF(A9='Données projet'!$A$88,'Données projet'!$B$88,BD8+BC9-BL8)))</f>
        <v>2.628640672925795</v>
      </c>
      <c r="BE9" s="14">
        <f>BD9*VLOOKUP('Données projet'!$B$11,Paramètres!$A$1:$I$89,3,0)*VLOOKUP('Données projet'!$B$11,Paramètres!$A$1:$I$89,5,0)</f>
        <v>2.7474552313420411</v>
      </c>
      <c r="BF9" s="14">
        <f t="shared" si="37"/>
        <v>1.1256183506775101</v>
      </c>
      <c r="BG9" s="22">
        <f t="shared" si="7"/>
        <v>6.745603155350719</v>
      </c>
      <c r="BH9" s="62">
        <f t="shared" si="8"/>
        <v>270.74560315535069</v>
      </c>
      <c r="BI9" s="62">
        <f ca="1">AVERAGE(OFFSET($BH$3,0,0,'Données projet'!$E$11+1,1))-AVERAGE(OFFSET($H$3,0,0,'Données projet'!$E$11+1,1))</f>
        <v>2843.5086223152098</v>
      </c>
      <c r="BJ9" s="62">
        <f t="shared" si="38"/>
        <v>324.81562437645522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6.166060606060606</v>
      </c>
      <c r="BY9" s="13">
        <f>IF('Données projet'!$A$114&gt;35,BY8+BX9-CG8,IF(A9&lt;'Données projet'!$A$114,$BV$205^A9,IF(A9='Données projet'!$A$114,'Données projet'!$B$114,BY8+BX9-CG8)))</f>
        <v>2.628640672925795</v>
      </c>
      <c r="BZ9" s="14">
        <f>BY9*VLOOKUP('Données projet'!$B$12,Paramètres!$A$1:$I$89,3,0)*VLOOKUP('Données projet'!$B$12,Paramètres!$A$1:$I$89,5,0)</f>
        <v>2.624434847849114</v>
      </c>
      <c r="CA9" s="14">
        <f t="shared" si="39"/>
        <v>1.0809661490249975</v>
      </c>
      <c r="CB9" s="22">
        <f t="shared" si="10"/>
        <v>6.4535734028890772</v>
      </c>
      <c r="CC9" s="62">
        <f t="shared" si="11"/>
        <v>270.45357340288911</v>
      </c>
      <c r="CD9" s="62">
        <f ca="1">AVERAGE(OFFSET($CC$3,0,0,'Données projet'!$E$12+1,1))-AVERAGE(OFFSET($H$3,0,0,'Données projet'!$E$12+1,1))</f>
        <v>2719.939926994799</v>
      </c>
      <c r="CE9" s="62">
        <f t="shared" si="40"/>
        <v>312.21824046329749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8.1527272727272742</v>
      </c>
      <c r="CT9" s="13">
        <f>IF('Données projet'!$A$140&gt;35,CT8+CS9-DB8,IF(A9&lt;'Données projet'!$A$140,$CQ$205^A9,IF(A9='Données projet'!$A$140,'Données projet'!$B$140,CT8+CS9-DB8)))</f>
        <v>2.7655714463295489</v>
      </c>
      <c r="CU9" s="18">
        <f>CT9*VLOOKUP('Données projet'!$B$13,Paramètres!$A$1:$I$89,3,0)*VLOOKUP('Données projet'!$B$13,Paramètres!$A$1:$I$89,5,0)</f>
        <v>2.4160032155134941</v>
      </c>
      <c r="CV9" s="14">
        <f t="shared" si="41"/>
        <v>1.0047477050823017</v>
      </c>
      <c r="CW9" s="22">
        <f t="shared" si="13"/>
        <v>5.957807853371011</v>
      </c>
      <c r="CX9" s="62">
        <f t="shared" si="14"/>
        <v>269.95780785337104</v>
      </c>
      <c r="CY9" s="62">
        <f ca="1">AVERAGE(OFFSET($CX$3,0,0,'Données projet'!$E$13+1,1))-AVERAGE(OFFSET($H$3,0,0,'Données projet'!$E$13+1,1))</f>
        <v>1036.0130072090849</v>
      </c>
      <c r="CZ9" s="62">
        <f t="shared" si="42"/>
        <v>346.56593355696174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12.48</v>
      </c>
      <c r="DO9" s="13">
        <f>IF('Données projet'!$A$166&gt;35,DO8+DN9-DW8,IF(A9&lt;'Données projet'!$A$166,$DL$205^A9,IF(A9='Données projet'!$A$166,'Données projet'!$B$166,DO8+DN9-DW8)))</f>
        <v>3.9682324349931948</v>
      </c>
      <c r="DP9" s="18">
        <f>DO9*VLOOKUP('Données projet'!$B$14,Paramètres!$A$1:$I$89,3,0)*VLOOKUP('Données projet'!$B$14,Paramètres!$A$1:$I$89,5,0)</f>
        <v>2.2182419311611961</v>
      </c>
      <c r="DQ9" s="14">
        <f t="shared" si="43"/>
        <v>0.93172025772295852</v>
      </c>
      <c r="DR9" s="22">
        <f t="shared" si="16"/>
        <v>5.4861841456399025</v>
      </c>
      <c r="DS9" s="62">
        <f t="shared" si="17"/>
        <v>269.48618414563992</v>
      </c>
      <c r="DT9" s="62">
        <f ca="1">AVERAGE(OFFSET($DS$3,0,0,'Données projet'!$E$14+1,1))-AVERAGE(OFFSET($H$3,0,0,'Données projet'!$E$14+1,1))</f>
        <v>446.48069057792151</v>
      </c>
      <c r="DU9" s="62">
        <f t="shared" si="44"/>
        <v>561.75656782935948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3.3521212121212121</v>
      </c>
      <c r="EJ9" s="13">
        <f>IF('Données projet'!$A$192&gt;35,EJ8+EI9-ER8,IF(A9&lt;'Données projet'!$A$192,$EG$205^A9,IF(A9='Données projet'!$A$192,'Données projet'!$B$192,EJ8+EI9-ER8)))</f>
        <v>2.3529143527728213</v>
      </c>
      <c r="EK9" s="18">
        <f>EJ9*VLOOKUP('Données projet'!$B$15,Paramètres!$A$1:$I$89,3,0)*VLOOKUP('Données projet'!$B$15,Paramètres!$A$1:$I$89,5,0)</f>
        <v>2.2757387620018728</v>
      </c>
      <c r="EL9" s="14">
        <f t="shared" si="45"/>
        <v>0.95302748012038696</v>
      </c>
      <c r="EM9" s="22">
        <f t="shared" si="19"/>
        <v>5.6234345383629361</v>
      </c>
      <c r="EN9" s="62">
        <f t="shared" si="20"/>
        <v>269.62343453836291</v>
      </c>
      <c r="EO9" s="62">
        <f ca="1">AVERAGE(OFFSET($EN$3,0,0,'Données projet'!$E$15+1,1))-AVERAGE(OFFSET($H$3,0,0,'Données projet'!$E$15+1,1))</f>
        <v>301.18531163828169</v>
      </c>
      <c r="EP9" s="62">
        <f t="shared" si="46"/>
        <v>192.30530273268101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3.3521212121212121</v>
      </c>
      <c r="FE9" s="13">
        <f>IF('Données projet'!$A$218&gt;35,FE8+FD9-FM8,IF(A9&lt;'Données projet'!$A$218,$FB$205^A9,IF(A9='Données projet'!$A$218,'Données projet'!$B$218,FE8+FD9-FM8)))</f>
        <v>2.3529143527728213</v>
      </c>
      <c r="FF9" s="18">
        <f>FE9*VLOOKUP('Données projet'!$B$16,Paramètres!$A$1:$I$89,3,0)*VLOOKUP('Données projet'!$B$16,Paramètres!$A$1:$I$89,5,0)</f>
        <v>1.8352731951628007</v>
      </c>
      <c r="FG9" s="14">
        <f t="shared" si="47"/>
        <v>0.78805771029590321</v>
      </c>
      <c r="FH9" s="22">
        <f t="shared" si="22"/>
        <v>4.5689679936739092</v>
      </c>
      <c r="FI9" s="62">
        <f t="shared" si="23"/>
        <v>268.56896799367394</v>
      </c>
      <c r="FJ9" s="62">
        <f ca="1">AVERAGE(OFFSET($FI$3,0,0,'Données projet'!$E$16+1,1))-AVERAGE(OFFSET($H$3,0,0,'Données projet'!$E$16+1,1))</f>
        <v>249.2899297828755</v>
      </c>
      <c r="FK9" s="62">
        <f t="shared" si="48"/>
        <v>162.88011837476813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3.3521212121212121</v>
      </c>
      <c r="FZ9" s="13">
        <f>IF('Données projet'!$A$244&gt;35,FZ8+FY9-GH8,IF(A9&lt;'Données projet'!$A$244,$FW$205^A9,IF(A9='Données projet'!$A$244,'Données projet'!$B$244,FZ8+FY9-GH8)))</f>
        <v>2.3529143527728213</v>
      </c>
      <c r="GA9" s="18">
        <f>FZ9*VLOOKUP('Données projet'!$B$17,Paramètres!$A$1:$I$89,3,0)*VLOOKUP('Données projet'!$B$17,Paramètres!$A$1:$I$89,5,0)</f>
        <v>1.5783349478400086</v>
      </c>
      <c r="GB9" s="14">
        <f t="shared" si="49"/>
        <v>0.68973276000075023</v>
      </c>
      <c r="GC9" s="22">
        <f t="shared" si="25"/>
        <v>3.950217924489321</v>
      </c>
      <c r="GD9" s="62">
        <f t="shared" si="26"/>
        <v>267.95021792448932</v>
      </c>
      <c r="GE9" s="62">
        <f ca="1">AVERAGE(OFFSET($GD$3,0,0,'Données projet'!$E$17+1,1))-AVERAGE(OFFSET($H$3,0,0,'Données projet'!$E$17+1,1))</f>
        <v>218.89895999738746</v>
      </c>
      <c r="GF9" s="62">
        <f t="shared" si="50"/>
        <v>145.64042897395763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3.3521212121212121</v>
      </c>
      <c r="GU9" s="13">
        <f>IF('Données projet'!$A$270&gt;35,GU8+GT9-HC8,IF(A9&lt;'Données projet'!$A$270,$GR$205^A9,IF(A9='Données projet'!$A$270,'Données projet'!$B$270,GU8+GT9-HC8)))</f>
        <v>2.3529143527728213</v>
      </c>
      <c r="GV9" s="18">
        <f>GU9*VLOOKUP('Données projet'!$B$18,Paramètres!$A$1:$I$89,3,0)*VLOOKUP('Données projet'!$B$18,Paramètres!$A$1:$I$89,5,0)</f>
        <v>2.5326770093246647</v>
      </c>
      <c r="GW9" s="14">
        <f t="shared" si="51"/>
        <v>1.0475027776195023</v>
      </c>
      <c r="GX9" s="22">
        <f t="shared" si="28"/>
        <v>6.235479795594423</v>
      </c>
      <c r="GY9" s="62">
        <f t="shared" si="29"/>
        <v>270.23547979559442</v>
      </c>
      <c r="GZ9" s="62">
        <f ca="1">AVERAGE(OFFSET($GY$3,0,0,'Données projet'!$E$18+1,1))-AVERAGE(OFFSET($H$3,0,0,'Données projet'!$E$18+1,1))</f>
        <v>331.3579800635751</v>
      </c>
      <c r="HA9" s="62">
        <f t="shared" si="52"/>
        <v>209.40702003535273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6.166060606060606</v>
      </c>
      <c r="N10" s="14">
        <f>IF('Données projet'!$A$36&gt;35,N9+M10-V9,IF(A10&lt;'Données projet'!$A$36,$K$205^A10,IF(A10='Données projet'!$A$36,'Données projet'!$B$36,N9+M10-V9)))</f>
        <v>3.0880649589452696</v>
      </c>
      <c r="O10" s="14">
        <f>N10*VLOOKUP('Données projet'!$B$9,Paramètres!$A$1:$I$89,3,0)*VLOOKUP('Données projet'!$B$9,Paramètres!$A$1:$I$89,5,0)</f>
        <v>2.7940811748536798</v>
      </c>
      <c r="P10" s="14">
        <f t="shared" si="33"/>
        <v>1.1424806738497462</v>
      </c>
      <c r="Q10" s="22">
        <f t="shared" si="2"/>
        <v>6.8561785531584674</v>
      </c>
      <c r="R10" s="62">
        <f t="shared" si="0"/>
        <v>272.07840077538071</v>
      </c>
      <c r="S10" s="62">
        <f ca="1">AVERAGE(OFFSET($R$3,0,0,'Données projet'!$E$9+1,1))-AVERAGE(OFFSET($H$3,0,0,'Données projet'!$E$9+1,1))</f>
        <v>2472.5049373954762</v>
      </c>
      <c r="T10" s="62">
        <f t="shared" si="34"/>
        <v>286.98388307318311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6.166060606060606</v>
      </c>
      <c r="AI10" s="14">
        <f>IF('Données projet'!$A$62&gt;35,AI9+AH10-AQ9,IF(A10&lt;'Données projet'!$A$62,$AF$205^A10,IF(A10='Données projet'!$A$62,'Données projet'!$B$62,AI9+AH10-AQ9)))</f>
        <v>3.0880649589452696</v>
      </c>
      <c r="AJ10" s="14">
        <f>AI10*VLOOKUP('Données projet'!$B$10,Paramètres!$A$1:$I$89,3,0)*VLOOKUP('Données projet'!$B$10,Paramètres!$A$1:$I$89,5,0)</f>
        <v>3.1312978683705035</v>
      </c>
      <c r="AK10" s="14">
        <f t="shared" si="35"/>
        <v>1.2634967498909879</v>
      </c>
      <c r="AL10" s="22">
        <f t="shared" si="4"/>
        <v>7.6542672934720963</v>
      </c>
      <c r="AM10" s="62">
        <f t="shared" si="5"/>
        <v>272.87648951569435</v>
      </c>
      <c r="AN10" s="62">
        <f ca="1">AVERAGE(OFFSET($AM$3,0,0,'Données projet'!$E$10+1,1))-AVERAGE(OFFSET($H$3,0,0,'Données projet'!$E$10+1,1))</f>
        <v>2761.1400657295467</v>
      </c>
      <c r="AO10" s="62">
        <f t="shared" si="36"/>
        <v>316.41877504316409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6.166060606060606</v>
      </c>
      <c r="BD10" s="13">
        <f>IF('Données projet'!$A$88&gt;35,BD9+BC10-BL9,IF(A10&lt;'Données projet'!$A$88,$BA$205^A10,IF(A10='Données projet'!$A$88,'Données projet'!$B$88,BD9+BC10-BL9)))</f>
        <v>3.0880649589452696</v>
      </c>
      <c r="BE10" s="14">
        <f>BD10*VLOOKUP('Données projet'!$B$11,Paramètres!$A$1:$I$89,3,0)*VLOOKUP('Données projet'!$B$11,Paramètres!$A$1:$I$89,5,0)</f>
        <v>3.2276454950895959</v>
      </c>
      <c r="BF10" s="14">
        <f t="shared" si="37"/>
        <v>1.2977874881595286</v>
      </c>
      <c r="BG10" s="22">
        <f t="shared" si="7"/>
        <v>7.8817957791588897</v>
      </c>
      <c r="BH10" s="62">
        <f t="shared" si="8"/>
        <v>273.10401800138112</v>
      </c>
      <c r="BI10" s="62">
        <f ca="1">AVERAGE(OFFSET($BH$3,0,0,'Données projet'!$E$11+1,1))-AVERAGE(OFFSET($H$3,0,0,'Données projet'!$E$11+1,1))</f>
        <v>2843.5086223152098</v>
      </c>
      <c r="BJ10" s="62">
        <f t="shared" si="38"/>
        <v>324.81562437645522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6.166060606060606</v>
      </c>
      <c r="BY10" s="13">
        <f>IF('Données projet'!$A$114&gt;35,BY9+BX10-CG9,IF(A10&lt;'Données projet'!$A$114,$BV$205^A10,IF(A10='Données projet'!$A$114,'Données projet'!$B$114,BY9+BX10-CG9)))</f>
        <v>3.0880649589452696</v>
      </c>
      <c r="BZ10" s="14">
        <f>BY10*VLOOKUP('Données projet'!$B$12,Paramètres!$A$1:$I$89,3,0)*VLOOKUP('Données projet'!$B$12,Paramètres!$A$1:$I$89,5,0)</f>
        <v>3.0831240550109573</v>
      </c>
      <c r="CA10" s="14">
        <f t="shared" si="39"/>
        <v>1.2463055017575411</v>
      </c>
      <c r="CB10" s="22">
        <f t="shared" si="10"/>
        <v>7.5404231447051338</v>
      </c>
      <c r="CC10" s="62">
        <f t="shared" si="11"/>
        <v>272.76264536692736</v>
      </c>
      <c r="CD10" s="62">
        <f ca="1">AVERAGE(OFFSET($CC$3,0,0,'Données projet'!$E$12+1,1))-AVERAGE(OFFSET($H$3,0,0,'Données projet'!$E$12+1,1))</f>
        <v>2719.939926994799</v>
      </c>
      <c r="CE10" s="62">
        <f t="shared" si="40"/>
        <v>312.21824046329749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8.1527272727272742</v>
      </c>
      <c r="CT10" s="13">
        <f>IF('Données projet'!$A$140&gt;35,CT9+CS10-DB9,IF(A10&lt;'Données projet'!$A$140,$CQ$205^A10,IF(A10='Données projet'!$A$140,'Données projet'!$B$140,CT9+CS10-DB9)))</f>
        <v>3.2765416762141055</v>
      </c>
      <c r="CU10" s="18">
        <f>CT10*VLOOKUP('Données projet'!$B$13,Paramètres!$A$1:$I$89,3,0)*VLOOKUP('Données projet'!$B$13,Paramètres!$A$1:$I$89,5,0)</f>
        <v>2.8623868083406432</v>
      </c>
      <c r="CV10" s="14">
        <f t="shared" si="41"/>
        <v>1.1671245650010214</v>
      </c>
      <c r="CW10" s="22">
        <f t="shared" si="13"/>
        <v>7.018065641903398</v>
      </c>
      <c r="CX10" s="62">
        <f t="shared" si="14"/>
        <v>272.24028786412561</v>
      </c>
      <c r="CY10" s="62">
        <f ca="1">AVERAGE(OFFSET($CX$3,0,0,'Données projet'!$E$13+1,1))-AVERAGE(OFFSET($H$3,0,0,'Données projet'!$E$13+1,1))</f>
        <v>1036.0130072090849</v>
      </c>
      <c r="CZ10" s="62">
        <f t="shared" si="42"/>
        <v>346.56593355696174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12.48</v>
      </c>
      <c r="DO10" s="13">
        <f>IF('Données projet'!$A$166&gt;35,DO9+DN10-DW9,IF(A10&lt;'Données projet'!$A$166,$DL$205^A10,IF(A10='Données projet'!$A$166,'Données projet'!$B$166,DO9+DN10-DW9)))</f>
        <v>4.9930197776526084</v>
      </c>
      <c r="DP10" s="18">
        <f>DO10*VLOOKUP('Données projet'!$B$14,Paramètres!$A$1:$I$89,3,0)*VLOOKUP('Données projet'!$B$14,Paramètres!$A$1:$I$89,5,0)</f>
        <v>2.7910980557078084</v>
      </c>
      <c r="DQ10" s="14">
        <f t="shared" si="43"/>
        <v>1.1414028118883932</v>
      </c>
      <c r="DR10" s="22">
        <f t="shared" si="16"/>
        <v>6.8491056777300505</v>
      </c>
      <c r="DS10" s="62">
        <f t="shared" si="17"/>
        <v>272.07132789995228</v>
      </c>
      <c r="DT10" s="62">
        <f ca="1">AVERAGE(OFFSET($DS$3,0,0,'Données projet'!$E$14+1,1))-AVERAGE(OFFSET($H$3,0,0,'Données projet'!$E$14+1,1))</f>
        <v>446.48069057792151</v>
      </c>
      <c r="DU10" s="62">
        <f t="shared" si="44"/>
        <v>561.75656782935948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3.3521212121212121</v>
      </c>
      <c r="EJ10" s="13">
        <f>IF('Données projet'!$A$192&gt;35,EJ9+EI10-ER9,IF(A10&lt;'Données projet'!$A$192,$EG$205^A10,IF(A10='Données projet'!$A$192,'Données projet'!$B$192,EJ9+EI10-ER9)))</f>
        <v>2.7135665187947007</v>
      </c>
      <c r="EK10" s="18">
        <f>EJ10*VLOOKUP('Données projet'!$B$15,Paramètres!$A$1:$I$89,3,0)*VLOOKUP('Données projet'!$B$15,Paramètres!$A$1:$I$89,5,0)</f>
        <v>2.6245615369782347</v>
      </c>
      <c r="EL10" s="14">
        <f t="shared" si="45"/>
        <v>1.0810122563722393</v>
      </c>
      <c r="EM10" s="22">
        <f t="shared" si="19"/>
        <v>6.4538743567520749</v>
      </c>
      <c r="EN10" s="62">
        <f t="shared" si="20"/>
        <v>271.6760965789743</v>
      </c>
      <c r="EO10" s="62">
        <f ca="1">AVERAGE(OFFSET($EN$3,0,0,'Données projet'!$E$15+1,1))-AVERAGE(OFFSET($H$3,0,0,'Données projet'!$E$15+1,1))</f>
        <v>301.18531163828169</v>
      </c>
      <c r="EP10" s="62">
        <f t="shared" si="46"/>
        <v>192.30530273268101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3.3521212121212121</v>
      </c>
      <c r="FE10" s="13">
        <f>IF('Données projet'!$A$218&gt;35,FE9+FD10-FM9,IF(A10&lt;'Données projet'!$A$218,$FB$205^A10,IF(A10='Données projet'!$A$218,'Données projet'!$B$218,FE9+FD10-FM9)))</f>
        <v>2.7135665187947007</v>
      </c>
      <c r="FF10" s="18">
        <f>FE10*VLOOKUP('Données projet'!$B$16,Paramètres!$A$1:$I$89,3,0)*VLOOKUP('Données projet'!$B$16,Paramètres!$A$1:$I$89,5,0)</f>
        <v>2.1165818846598667</v>
      </c>
      <c r="FG10" s="14">
        <f t="shared" si="47"/>
        <v>0.89388822602565698</v>
      </c>
      <c r="FH10" s="22">
        <f t="shared" si="22"/>
        <v>5.2432354427772863</v>
      </c>
      <c r="FI10" s="62">
        <f t="shared" si="23"/>
        <v>270.46545766499952</v>
      </c>
      <c r="FJ10" s="62">
        <f ca="1">AVERAGE(OFFSET($FI$3,0,0,'Données projet'!$E$16+1,1))-AVERAGE(OFFSET($H$3,0,0,'Données projet'!$E$16+1,1))</f>
        <v>249.2899297828755</v>
      </c>
      <c r="FK10" s="62">
        <f t="shared" si="48"/>
        <v>162.88011837476813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3.3521212121212121</v>
      </c>
      <c r="FZ10" s="13">
        <f>IF('Données projet'!$A$244&gt;35,FZ9+FY10-GH9,IF(A10&lt;'Données projet'!$A$244,$FW$205^A10,IF(A10='Données projet'!$A$244,'Données projet'!$B$244,FZ9+FY10-GH9)))</f>
        <v>2.7135665187947007</v>
      </c>
      <c r="GA10" s="18">
        <f>FZ10*VLOOKUP('Données projet'!$B$17,Paramètres!$A$1:$I$89,3,0)*VLOOKUP('Données projet'!$B$17,Paramètres!$A$1:$I$89,5,0)</f>
        <v>1.8202604208074853</v>
      </c>
      <c r="GB10" s="14">
        <f t="shared" si="49"/>
        <v>0.78235893794801947</v>
      </c>
      <c r="GC10" s="22">
        <f t="shared" si="25"/>
        <v>4.5328953831658367</v>
      </c>
      <c r="GD10" s="62">
        <f t="shared" si="26"/>
        <v>269.75511760538808</v>
      </c>
      <c r="GE10" s="62">
        <f ca="1">AVERAGE(OFFSET($GD$3,0,0,'Données projet'!$E$17+1,1))-AVERAGE(OFFSET($H$3,0,0,'Données projet'!$E$17+1,1))</f>
        <v>218.89895999738746</v>
      </c>
      <c r="GF10" s="62">
        <f t="shared" si="50"/>
        <v>145.64042897395763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3.3521212121212121</v>
      </c>
      <c r="GU10" s="13">
        <f>IF('Données projet'!$A$270&gt;35,GU9+GT10-HC9,IF(A10&lt;'Données projet'!$A$270,$GR$205^A10,IF(A10='Données projet'!$A$270,'Données projet'!$B$270,GU9+GT10-HC9)))</f>
        <v>2.7135665187947007</v>
      </c>
      <c r="GV10" s="18">
        <f>GU10*VLOOKUP('Données projet'!$B$18,Paramètres!$A$1:$I$89,3,0)*VLOOKUP('Données projet'!$B$18,Paramètres!$A$1:$I$89,5,0)</f>
        <v>2.9208830008306155</v>
      </c>
      <c r="GW10" s="14">
        <f t="shared" si="51"/>
        <v>1.1881749108090831</v>
      </c>
      <c r="GX10" s="22">
        <f t="shared" si="28"/>
        <v>7.1566091961058085</v>
      </c>
      <c r="GY10" s="62">
        <f t="shared" si="29"/>
        <v>272.37883141832805</v>
      </c>
      <c r="GZ10" s="62">
        <f ca="1">AVERAGE(OFFSET($GY$3,0,0,'Données projet'!$E$18+1,1))-AVERAGE(OFFSET($H$3,0,0,'Données projet'!$E$18+1,1))</f>
        <v>331.3579800635751</v>
      </c>
      <c r="HA10" s="62">
        <f t="shared" si="52"/>
        <v>209.40702003535273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6.166060606060606</v>
      </c>
      <c r="N11" s="14">
        <f>IF('Données projet'!$A$36&gt;35,N10+M11-V10,IF(A11&lt;'Données projet'!$A$36,$K$205^A11,IF(A11='Données projet'!$A$36,'Données projet'!$B$36,N10+M11-V10)))</f>
        <v>3.6277857559175226</v>
      </c>
      <c r="O11" s="14">
        <f>N11*VLOOKUP('Données projet'!$B$9,Paramètres!$A$1:$I$89,3,0)*VLOOKUP('Données projet'!$B$9,Paramètres!$A$1:$I$89,5,0)</f>
        <v>3.2824205519541745</v>
      </c>
      <c r="P11" s="14">
        <f t="shared" si="33"/>
        <v>1.3172289907088239</v>
      </c>
      <c r="Q11" s="22">
        <f t="shared" si="2"/>
        <v>8.0110562868047221</v>
      </c>
      <c r="R11" s="62">
        <f t="shared" si="0"/>
        <v>274.45550073124917</v>
      </c>
      <c r="S11" s="62">
        <f ca="1">AVERAGE(OFFSET($R$3,0,0,'Données projet'!$E$9+1,1))-AVERAGE(OFFSET($H$3,0,0,'Données projet'!$E$9+1,1))</f>
        <v>2472.5049373954762</v>
      </c>
      <c r="T11" s="62">
        <f t="shared" si="34"/>
        <v>286.98388307318311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6.166060606060606</v>
      </c>
      <c r="AI11" s="14">
        <f>IF('Données projet'!$A$62&gt;35,AI10+AH11-AQ10,IF(A11&lt;'Données projet'!$A$62,$AF$205^A11,IF(A11='Données projet'!$A$62,'Données projet'!$B$62,AI10+AH11-AQ10)))</f>
        <v>3.6277857559175226</v>
      </c>
      <c r="AJ11" s="14">
        <f>AI11*VLOOKUP('Données projet'!$B$10,Paramètres!$A$1:$I$89,3,0)*VLOOKUP('Données projet'!$B$10,Paramètres!$A$1:$I$89,5,0)</f>
        <v>3.6785747565003679</v>
      </c>
      <c r="AK11" s="14">
        <f t="shared" si="35"/>
        <v>1.4567551002982377</v>
      </c>
      <c r="AL11" s="22">
        <f t="shared" si="4"/>
        <v>8.9440328339242381</v>
      </c>
      <c r="AM11" s="62">
        <f t="shared" si="5"/>
        <v>275.38847727836867</v>
      </c>
      <c r="AN11" s="62">
        <f ca="1">AVERAGE(OFFSET($AM$3,0,0,'Données projet'!$E$10+1,1))-AVERAGE(OFFSET($H$3,0,0,'Données projet'!$E$10+1,1))</f>
        <v>2761.1400657295467</v>
      </c>
      <c r="AO11" s="62">
        <f t="shared" si="36"/>
        <v>316.41877504316409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6.166060606060606</v>
      </c>
      <c r="BD11" s="13">
        <f>IF('Données projet'!$A$88&gt;35,BD10+BC11-BL10,IF(A11&lt;'Données projet'!$A$88,$BA$205^A11,IF(A11='Données projet'!$A$88,'Données projet'!$B$88,BD10+BC11-BL10)))</f>
        <v>3.6277857559175226</v>
      </c>
      <c r="BE11" s="14">
        <f>BD11*VLOOKUP('Données projet'!$B$11,Paramètres!$A$1:$I$89,3,0)*VLOOKUP('Données projet'!$B$11,Paramètres!$A$1:$I$89,5,0)</f>
        <v>3.7917616720849949</v>
      </c>
      <c r="BF11" s="14">
        <f t="shared" si="37"/>
        <v>1.4962907840030031</v>
      </c>
      <c r="BG11" s="22">
        <f t="shared" si="7"/>
        <v>9.2100246943532618</v>
      </c>
      <c r="BH11" s="62">
        <f t="shared" si="8"/>
        <v>275.65446913879771</v>
      </c>
      <c r="BI11" s="62">
        <f ca="1">AVERAGE(OFFSET($BH$3,0,0,'Données projet'!$E$11+1,1))-AVERAGE(OFFSET($H$3,0,0,'Données projet'!$E$11+1,1))</f>
        <v>2843.5086223152098</v>
      </c>
      <c r="BJ11" s="62">
        <f t="shared" si="38"/>
        <v>324.81562437645522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6.166060606060606</v>
      </c>
      <c r="BY11" s="13">
        <f>IF('Données projet'!$A$114&gt;35,BY10+BX11-CG10,IF(A11&lt;'Données projet'!$A$114,$BV$205^A11,IF(A11='Données projet'!$A$114,'Données projet'!$B$114,BY10+BX11-CG10)))</f>
        <v>3.6277857559175226</v>
      </c>
      <c r="BZ11" s="14">
        <f>BY11*VLOOKUP('Données projet'!$B$12,Paramètres!$A$1:$I$89,3,0)*VLOOKUP('Données projet'!$B$12,Paramètres!$A$1:$I$89,5,0)</f>
        <v>3.6219812987080546</v>
      </c>
      <c r="CA11" s="14">
        <f t="shared" si="39"/>
        <v>1.4369343620169153</v>
      </c>
      <c r="CB11" s="22">
        <f t="shared" si="10"/>
        <v>8.8109447757626551</v>
      </c>
      <c r="CC11" s="62">
        <f t="shared" si="11"/>
        <v>275.25538922020712</v>
      </c>
      <c r="CD11" s="62">
        <f ca="1">AVERAGE(OFFSET($CC$3,0,0,'Données projet'!$E$12+1,1))-AVERAGE(OFFSET($H$3,0,0,'Données projet'!$E$12+1,1))</f>
        <v>2719.939926994799</v>
      </c>
      <c r="CE11" s="62">
        <f t="shared" si="40"/>
        <v>312.21824046329749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8.1527272727272742</v>
      </c>
      <c r="CT11" s="13">
        <f>IF('Données projet'!$A$140&gt;35,CT10+CS11-DB10,IF(A11&lt;'Données projet'!$A$140,$CQ$205^A11,IF(A11='Données projet'!$A$140,'Données projet'!$B$140,CT10+CS11-DB10)))</f>
        <v>3.8819193661463118</v>
      </c>
      <c r="CU11" s="18">
        <f>CT11*VLOOKUP('Données projet'!$B$13,Paramètres!$A$1:$I$89,3,0)*VLOOKUP('Données projet'!$B$13,Paramètres!$A$1:$I$89,5,0)</f>
        <v>3.3912447582654184</v>
      </c>
      <c r="CV11" s="14">
        <f t="shared" si="41"/>
        <v>1.3557430819085505</v>
      </c>
      <c r="CW11" s="22">
        <f t="shared" si="13"/>
        <v>8.2676704883029952</v>
      </c>
      <c r="CX11" s="62">
        <f t="shared" si="14"/>
        <v>274.71211493274745</v>
      </c>
      <c r="CY11" s="62">
        <f ca="1">AVERAGE(OFFSET($CX$3,0,0,'Données projet'!$E$13+1,1))-AVERAGE(OFFSET($H$3,0,0,'Données projet'!$E$13+1,1))</f>
        <v>1036.0130072090849</v>
      </c>
      <c r="CZ11" s="62">
        <f t="shared" si="42"/>
        <v>346.56593355696174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12.48</v>
      </c>
      <c r="DO11" s="13">
        <f>IF('Données projet'!$A$166&gt;35,DO10+DN11-DW10,IF(A11&lt;'Données projet'!$A$166,$DL$205^A11,IF(A11='Données projet'!$A$166,'Données projet'!$B$166,DO10+DN11-DW10)))</f>
        <v>6.282456209013084</v>
      </c>
      <c r="DP11" s="18">
        <f>DO11*VLOOKUP('Données projet'!$B$14,Paramètres!$A$1:$I$89,3,0)*VLOOKUP('Données projet'!$B$14,Paramètres!$A$1:$I$89,5,0)</f>
        <v>3.5118930208383139</v>
      </c>
      <c r="DQ11" s="14">
        <f t="shared" si="43"/>
        <v>1.3982741796026408</v>
      </c>
      <c r="DR11" s="22">
        <f t="shared" si="16"/>
        <v>8.5518745407679955</v>
      </c>
      <c r="DS11" s="62">
        <f t="shared" si="17"/>
        <v>274.99631898521244</v>
      </c>
      <c r="DT11" s="62">
        <f ca="1">AVERAGE(OFFSET($DS$3,0,0,'Données projet'!$E$14+1,1))-AVERAGE(OFFSET($H$3,0,0,'Données projet'!$E$14+1,1))</f>
        <v>446.48069057792151</v>
      </c>
      <c r="DU11" s="62">
        <f t="shared" si="44"/>
        <v>561.75656782935948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3.3521212121212121</v>
      </c>
      <c r="EJ11" s="13">
        <f>IF('Données projet'!$A$192&gt;35,EJ10+EI11-ER10,IF(A11&lt;'Données projet'!$A$192,$EG$205^A11,IF(A11='Données projet'!$A$192,'Données projet'!$B$192,EJ10+EI11-ER10)))</f>
        <v>3.1294990585807123</v>
      </c>
      <c r="EK11" s="18">
        <f>EJ11*VLOOKUP('Données projet'!$B$15,Paramètres!$A$1:$I$89,3,0)*VLOOKUP('Données projet'!$B$15,Paramètres!$A$1:$I$89,5,0)</f>
        <v>3.0268514894592653</v>
      </c>
      <c r="EL11" s="14">
        <f t="shared" si="45"/>
        <v>1.226184472959146</v>
      </c>
      <c r="EM11" s="22">
        <f t="shared" si="19"/>
        <v>7.4073709678787329</v>
      </c>
      <c r="EN11" s="62">
        <f t="shared" si="20"/>
        <v>273.85181541232316</v>
      </c>
      <c r="EO11" s="62">
        <f ca="1">AVERAGE(OFFSET($EN$3,0,0,'Données projet'!$E$15+1,1))-AVERAGE(OFFSET($H$3,0,0,'Données projet'!$E$15+1,1))</f>
        <v>301.18531163828169</v>
      </c>
      <c r="EP11" s="62">
        <f t="shared" si="46"/>
        <v>192.30530273268101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3.3521212121212121</v>
      </c>
      <c r="FE11" s="13">
        <f>IF('Données projet'!$A$218&gt;35,FE10+FD11-FM10,IF(A11&lt;'Données projet'!$A$218,$FB$205^A11,IF(A11='Données projet'!$A$218,'Données projet'!$B$218,FE10+FD11-FM10)))</f>
        <v>3.1294990585807123</v>
      </c>
      <c r="FF11" s="18">
        <f>FE11*VLOOKUP('Données projet'!$B$16,Paramètres!$A$1:$I$89,3,0)*VLOOKUP('Données projet'!$B$16,Paramètres!$A$1:$I$89,5,0)</f>
        <v>2.4410092656929558</v>
      </c>
      <c r="FG11" s="14">
        <f t="shared" si="47"/>
        <v>1.0139310233095371</v>
      </c>
      <c r="FH11" s="22">
        <f t="shared" si="22"/>
        <v>6.0173543366793405</v>
      </c>
      <c r="FI11" s="62">
        <f t="shared" si="23"/>
        <v>272.46179878112378</v>
      </c>
      <c r="FJ11" s="62">
        <f ca="1">AVERAGE(OFFSET($FI$3,0,0,'Données projet'!$E$16+1,1))-AVERAGE(OFFSET($H$3,0,0,'Données projet'!$E$16+1,1))</f>
        <v>249.2899297828755</v>
      </c>
      <c r="FK11" s="62">
        <f t="shared" si="48"/>
        <v>162.88011837476813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3.3521212121212121</v>
      </c>
      <c r="FZ11" s="13">
        <f>IF('Données projet'!$A$244&gt;35,FZ10+FY11-GH10,IF(A11&lt;'Données projet'!$A$244,$FW$205^A11,IF(A11='Données projet'!$A$244,'Données projet'!$B$244,FZ10+FY11-GH10)))</f>
        <v>3.1294990585807123</v>
      </c>
      <c r="GA11" s="18">
        <f>FZ11*VLOOKUP('Données projet'!$B$17,Paramètres!$A$1:$I$89,3,0)*VLOOKUP('Données projet'!$B$17,Paramètres!$A$1:$I$89,5,0)</f>
        <v>2.0992679684959419</v>
      </c>
      <c r="GB11" s="14">
        <f t="shared" si="49"/>
        <v>0.8874241492987619</v>
      </c>
      <c r="GC11" s="22">
        <f t="shared" si="25"/>
        <v>5.2018221051591089</v>
      </c>
      <c r="GD11" s="62">
        <f t="shared" si="26"/>
        <v>271.64626654960358</v>
      </c>
      <c r="GE11" s="62">
        <f ca="1">AVERAGE(OFFSET($GD$3,0,0,'Données projet'!$E$17+1,1))-AVERAGE(OFFSET($H$3,0,0,'Données projet'!$E$17+1,1))</f>
        <v>218.89895999738746</v>
      </c>
      <c r="GF11" s="62">
        <f t="shared" si="50"/>
        <v>145.64042897395763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3.3521212121212121</v>
      </c>
      <c r="GU11" s="13">
        <f>IF('Données projet'!$A$270&gt;35,GU10+GT11-HC10,IF(A11&lt;'Données projet'!$A$270,$GR$205^A11,IF(A11='Données projet'!$A$270,'Données projet'!$B$270,GU10+GT11-HC10)))</f>
        <v>3.1294990585807123</v>
      </c>
      <c r="GV11" s="18">
        <f>GU11*VLOOKUP('Données projet'!$B$18,Paramètres!$A$1:$I$89,3,0)*VLOOKUP('Données projet'!$B$18,Paramètres!$A$1:$I$89,5,0)</f>
        <v>3.3685927866562784</v>
      </c>
      <c r="GW11" s="14">
        <f t="shared" si="51"/>
        <v>1.3477383056534324</v>
      </c>
      <c r="GX11" s="22">
        <f t="shared" si="28"/>
        <v>8.2142766524394109</v>
      </c>
      <c r="GY11" s="62">
        <f t="shared" si="29"/>
        <v>274.65872109688388</v>
      </c>
      <c r="GZ11" s="62">
        <f ca="1">AVERAGE(OFFSET($GY$3,0,0,'Données projet'!$E$18+1,1))-AVERAGE(OFFSET($H$3,0,0,'Données projet'!$E$18+1,1))</f>
        <v>331.3579800635751</v>
      </c>
      <c r="HA11" s="62">
        <f t="shared" si="52"/>
        <v>209.40702003535273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6.166060606060606</v>
      </c>
      <c r="N12" s="14">
        <f>IF('Données projet'!$A$36&gt;35,N11+M12-V11,IF(A12&lt;'Données projet'!$A$36,$K$205^A12,IF(A12='Données projet'!$A$36,'Données projet'!$B$36,N11+M12-V11)))</f>
        <v>4.2618369968917884</v>
      </c>
      <c r="O12" s="14">
        <f>N12*VLOOKUP('Données projet'!$B$9,Paramètres!$A$1:$I$89,3,0)*VLOOKUP('Données projet'!$B$9,Paramètres!$A$1:$I$89,5,0)</f>
        <v>3.8561101147876902</v>
      </c>
      <c r="P12" s="14">
        <f t="shared" si="33"/>
        <v>1.5187059647294994</v>
      </c>
      <c r="Q12" s="22">
        <f t="shared" si="2"/>
        <v>9.3611380051591038</v>
      </c>
      <c r="R12" s="62">
        <f t="shared" si="0"/>
        <v>277.02780467182578</v>
      </c>
      <c r="S12" s="62">
        <f ca="1">AVERAGE(OFFSET($R$3,0,0,'Données projet'!$E$9+1,1))-AVERAGE(OFFSET($H$3,0,0,'Données projet'!$E$9+1,1))</f>
        <v>2472.5049373954762</v>
      </c>
      <c r="T12" s="62">
        <f t="shared" si="34"/>
        <v>286.98388307318311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6.166060606060606</v>
      </c>
      <c r="AI12" s="14">
        <f>IF('Données projet'!$A$62&gt;35,AI11+AH12-AQ11,IF(A12&lt;'Données projet'!$A$62,$AF$205^A12,IF(A12='Données projet'!$A$62,'Données projet'!$B$62,AI11+AH12-AQ11)))</f>
        <v>4.2618369968917884</v>
      </c>
      <c r="AJ12" s="14">
        <f>AI12*VLOOKUP('Données projet'!$B$10,Paramètres!$A$1:$I$89,3,0)*VLOOKUP('Données projet'!$B$10,Paramètres!$A$1:$I$89,5,0)</f>
        <v>4.3215027148482736</v>
      </c>
      <c r="AK12" s="14">
        <f t="shared" si="35"/>
        <v>1.6795733130520705</v>
      </c>
      <c r="AL12" s="22">
        <f t="shared" si="4"/>
        <v>10.451874081926434</v>
      </c>
      <c r="AM12" s="62">
        <f t="shared" si="5"/>
        <v>278.11854074859309</v>
      </c>
      <c r="AN12" s="62">
        <f ca="1">AVERAGE(OFFSET($AM$3,0,0,'Données projet'!$E$10+1,1))-AVERAGE(OFFSET($H$3,0,0,'Données projet'!$E$10+1,1))</f>
        <v>2761.1400657295467</v>
      </c>
      <c r="AO12" s="62">
        <f t="shared" si="36"/>
        <v>316.41877504316409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6.166060606060606</v>
      </c>
      <c r="BD12" s="13">
        <f>IF('Données projet'!$A$88&gt;35,BD11+BC12-BL11,IF(A12&lt;'Données projet'!$A$88,$BA$205^A12,IF(A12='Données projet'!$A$88,'Données projet'!$B$88,BD11+BC12-BL11)))</f>
        <v>4.2618369968917884</v>
      </c>
      <c r="BE12" s="14">
        <f>BD12*VLOOKUP('Données projet'!$B$11,Paramètres!$A$1:$I$89,3,0)*VLOOKUP('Données projet'!$B$11,Paramètres!$A$1:$I$89,5,0)</f>
        <v>4.4544720291512974</v>
      </c>
      <c r="BF12" s="14">
        <f t="shared" si="37"/>
        <v>1.7251561836733547</v>
      </c>
      <c r="BG12" s="22">
        <f t="shared" si="7"/>
        <v>10.762852470669602</v>
      </c>
      <c r="BH12" s="62">
        <f t="shared" si="8"/>
        <v>278.42951913733629</v>
      </c>
      <c r="BI12" s="62">
        <f ca="1">AVERAGE(OFFSET($BH$3,0,0,'Données projet'!$E$11+1,1))-AVERAGE(OFFSET($H$3,0,0,'Données projet'!$E$11+1,1))</f>
        <v>2843.5086223152098</v>
      </c>
      <c r="BJ12" s="62">
        <f t="shared" si="38"/>
        <v>324.81562437645522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6.166060606060606</v>
      </c>
      <c r="BY12" s="13">
        <f>IF('Données projet'!$A$114&gt;35,BY11+BX12-CG11,IF(A12&lt;'Données projet'!$A$114,$BV$205^A12,IF(A12='Données projet'!$A$114,'Données projet'!$B$114,BY11+BX12-CG11)))</f>
        <v>4.2618369968917884</v>
      </c>
      <c r="BZ12" s="14">
        <f>BY12*VLOOKUP('Données projet'!$B$12,Paramètres!$A$1:$I$89,3,0)*VLOOKUP('Données projet'!$B$12,Paramètres!$A$1:$I$89,5,0)</f>
        <v>4.2550180576967618</v>
      </c>
      <c r="CA12" s="14">
        <f t="shared" si="39"/>
        <v>1.6567208905306159</v>
      </c>
      <c r="CB12" s="22">
        <f t="shared" si="10"/>
        <v>10.296278668162682</v>
      </c>
      <c r="CC12" s="62">
        <f t="shared" si="11"/>
        <v>277.96294533482939</v>
      </c>
      <c r="CD12" s="62">
        <f ca="1">AVERAGE(OFFSET($CC$3,0,0,'Données projet'!$E$12+1,1))-AVERAGE(OFFSET($H$3,0,0,'Données projet'!$E$12+1,1))</f>
        <v>2719.939926994799</v>
      </c>
      <c r="CE12" s="62">
        <f t="shared" si="40"/>
        <v>312.21824046329749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8.1527272727272742</v>
      </c>
      <c r="CT12" s="13">
        <f>IF('Données projet'!$A$140&gt;35,CT11+CS12-DB11,IF(A12&lt;'Données projet'!$A$140,$CQ$205^A12,IF(A12='Données projet'!$A$140,'Données projet'!$B$140,CT11+CS12-DB11)))</f>
        <v>4.5991473493704094</v>
      </c>
      <c r="CU12" s="18">
        <f>CT12*VLOOKUP('Données projet'!$B$13,Paramètres!$A$1:$I$89,3,0)*VLOOKUP('Données projet'!$B$13,Paramètres!$A$1:$I$89,5,0)</f>
        <v>4.0178151244099904</v>
      </c>
      <c r="CV12" s="14">
        <f t="shared" si="41"/>
        <v>1.5748441591076325</v>
      </c>
      <c r="CW12" s="22">
        <f t="shared" si="13"/>
        <v>9.7405482521265245</v>
      </c>
      <c r="CX12" s="62">
        <f t="shared" si="14"/>
        <v>277.40721491879322</v>
      </c>
      <c r="CY12" s="62">
        <f ca="1">AVERAGE(OFFSET($CX$3,0,0,'Données projet'!$E$13+1,1))-AVERAGE(OFFSET($H$3,0,0,'Données projet'!$E$13+1,1))</f>
        <v>1036.0130072090849</v>
      </c>
      <c r="CZ12" s="62">
        <f t="shared" si="42"/>
        <v>346.56593355696174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12.48</v>
      </c>
      <c r="DO12" s="13">
        <f>IF('Données projet'!$A$166&gt;35,DO11+DN12-DW11,IF(A12&lt;'Données projet'!$A$166,$DL$205^A12,IF(A12='Données projet'!$A$166,'Données projet'!$B$166,DO11+DN12-DW11)))</f>
        <v>7.9048867771004323</v>
      </c>
      <c r="DP12" s="18">
        <f>DO12*VLOOKUP('Données projet'!$B$14,Paramètres!$A$1:$I$89,3,0)*VLOOKUP('Données projet'!$B$14,Paramètres!$A$1:$I$89,5,0)</f>
        <v>4.418831708399142</v>
      </c>
      <c r="DQ12" s="14">
        <f t="shared" si="43"/>
        <v>1.7129541481580082</v>
      </c>
      <c r="DR12" s="22">
        <f t="shared" si="16"/>
        <v>10.679527033503703</v>
      </c>
      <c r="DS12" s="62">
        <f t="shared" si="17"/>
        <v>278.34619370017037</v>
      </c>
      <c r="DT12" s="62">
        <f ca="1">AVERAGE(OFFSET($DS$3,0,0,'Données projet'!$E$14+1,1))-AVERAGE(OFFSET($H$3,0,0,'Données projet'!$E$14+1,1))</f>
        <v>446.48069057792151</v>
      </c>
      <c r="DU12" s="62">
        <f t="shared" si="44"/>
        <v>561.75656782935948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3.3521212121212121</v>
      </c>
      <c r="EJ12" s="13">
        <f>IF('Données projet'!$A$192&gt;35,EJ11+EI12-ER11,IF(A12&lt;'Données projet'!$A$192,$EG$205^A12,IF(A12='Données projet'!$A$192,'Données projet'!$B$192,EJ11+EI12-ER11)))</f>
        <v>3.6091852880052904</v>
      </c>
      <c r="EK12" s="18">
        <f>EJ12*VLOOKUP('Données projet'!$B$15,Paramètres!$A$1:$I$89,3,0)*VLOOKUP('Données projet'!$B$15,Paramètres!$A$1:$I$89,5,0)</f>
        <v>3.4908040105587173</v>
      </c>
      <c r="EL12" s="14">
        <f t="shared" si="45"/>
        <v>1.3908522802246277</v>
      </c>
      <c r="EM12" s="22">
        <f t="shared" si="19"/>
        <v>8.5022180397809937</v>
      </c>
      <c r="EN12" s="62">
        <f t="shared" si="20"/>
        <v>276.16888470644767</v>
      </c>
      <c r="EO12" s="62">
        <f ca="1">AVERAGE(OFFSET($EN$3,0,0,'Données projet'!$E$15+1,1))-AVERAGE(OFFSET($H$3,0,0,'Données projet'!$E$15+1,1))</f>
        <v>301.18531163828169</v>
      </c>
      <c r="EP12" s="62">
        <f t="shared" si="46"/>
        <v>192.30530273268101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3.3521212121212121</v>
      </c>
      <c r="FE12" s="13">
        <f>IF('Données projet'!$A$218&gt;35,FE11+FD12-FM11,IF(A12&lt;'Données projet'!$A$218,$FB$205^A12,IF(A12='Données projet'!$A$218,'Données projet'!$B$218,FE11+FD12-FM11)))</f>
        <v>3.6091852880052904</v>
      </c>
      <c r="FF12" s="18">
        <f>FE12*VLOOKUP('Données projet'!$B$16,Paramètres!$A$1:$I$89,3,0)*VLOOKUP('Données projet'!$B$16,Paramètres!$A$1:$I$89,5,0)</f>
        <v>2.8151645246441266</v>
      </c>
      <c r="FG12" s="14">
        <f t="shared" si="47"/>
        <v>1.1500947099397383</v>
      </c>
      <c r="FH12" s="22">
        <f t="shared" si="22"/>
        <v>6.906159833566897</v>
      </c>
      <c r="FI12" s="62">
        <f t="shared" si="23"/>
        <v>274.57282650023359</v>
      </c>
      <c r="FJ12" s="62">
        <f ca="1">AVERAGE(OFFSET($FI$3,0,0,'Données projet'!$E$16+1,1))-AVERAGE(OFFSET($H$3,0,0,'Données projet'!$E$16+1,1))</f>
        <v>249.2899297828755</v>
      </c>
      <c r="FK12" s="62">
        <f t="shared" si="48"/>
        <v>162.88011837476813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3.3521212121212121</v>
      </c>
      <c r="FZ12" s="13">
        <f>IF('Données projet'!$A$244&gt;35,FZ11+FY12-GH11,IF(A12&lt;'Données projet'!$A$244,$FW$205^A12,IF(A12='Données projet'!$A$244,'Données projet'!$B$244,FZ11+FY12-GH11)))</f>
        <v>3.6091852880052904</v>
      </c>
      <c r="GA12" s="18">
        <f>FZ12*VLOOKUP('Données projet'!$B$17,Paramètres!$A$1:$I$89,3,0)*VLOOKUP('Données projet'!$B$17,Paramètres!$A$1:$I$89,5,0)</f>
        <v>2.4210414911939488</v>
      </c>
      <c r="GB12" s="14">
        <f t="shared" si="49"/>
        <v>1.0065988672976021</v>
      </c>
      <c r="GC12" s="22">
        <f t="shared" si="25"/>
        <v>5.9698069577061181</v>
      </c>
      <c r="GD12" s="62">
        <f t="shared" si="26"/>
        <v>273.6364736243728</v>
      </c>
      <c r="GE12" s="62">
        <f ca="1">AVERAGE(OFFSET($GD$3,0,0,'Données projet'!$E$17+1,1))-AVERAGE(OFFSET($H$3,0,0,'Données projet'!$E$17+1,1))</f>
        <v>218.89895999738746</v>
      </c>
      <c r="GF12" s="62">
        <f t="shared" si="50"/>
        <v>145.64042897395763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3.3521212121212121</v>
      </c>
      <c r="GU12" s="13">
        <f>IF('Données projet'!$A$270&gt;35,GU11+GT12-HC11,IF(A12&lt;'Données projet'!$A$270,$GR$205^A12,IF(A12='Données projet'!$A$270,'Données projet'!$B$270,GU11+GT12-HC11)))</f>
        <v>3.6091852880052904</v>
      </c>
      <c r="GV12" s="18">
        <f>GU12*VLOOKUP('Données projet'!$B$18,Paramètres!$A$1:$I$89,3,0)*VLOOKUP('Données projet'!$B$18,Paramètres!$A$1:$I$89,5,0)</f>
        <v>3.8849270440088945</v>
      </c>
      <c r="GW12" s="14">
        <f t="shared" si="51"/>
        <v>1.5287299235166618</v>
      </c>
      <c r="GX12" s="22">
        <f t="shared" si="28"/>
        <v>9.4287858851070094</v>
      </c>
      <c r="GY12" s="62">
        <f t="shared" si="29"/>
        <v>277.09545255177369</v>
      </c>
      <c r="GZ12" s="62">
        <f ca="1">AVERAGE(OFFSET($GY$3,0,0,'Données projet'!$E$18+1,1))-AVERAGE(OFFSET($H$3,0,0,'Données projet'!$E$18+1,1))</f>
        <v>331.3579800635751</v>
      </c>
      <c r="HA12" s="62">
        <f t="shared" si="52"/>
        <v>209.40702003535273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6.166060606060606</v>
      </c>
      <c r="N13" s="14">
        <f>IF('Données projet'!$A$36&gt;35,N12+M13-V12,IF(A13&lt;'Données projet'!$A$36,$K$205^A13,IF(A13='Données projet'!$A$36,'Données projet'!$B$36,N12+M13-V12)))</f>
        <v>5.0067054148521102</v>
      </c>
      <c r="O13" s="14">
        <f>N13*VLOOKUP('Données projet'!$B$9,Paramètres!$A$1:$I$89,3,0)*VLOOKUP('Données projet'!$B$9,Paramètres!$A$1:$I$89,5,0)</f>
        <v>4.5300670593581893</v>
      </c>
      <c r="P13" s="14">
        <f t="shared" si="33"/>
        <v>1.7509998820051846</v>
      </c>
      <c r="Q13" s="22">
        <f t="shared" si="2"/>
        <v>10.939524922874542</v>
      </c>
      <c r="R13" s="62">
        <f t="shared" si="0"/>
        <v>279.82841381176343</v>
      </c>
      <c r="S13" s="62">
        <f ca="1">AVERAGE(OFFSET($R$3,0,0,'Données projet'!$E$9+1,1))-AVERAGE(OFFSET($H$3,0,0,'Données projet'!$E$9+1,1))</f>
        <v>2472.5049373954762</v>
      </c>
      <c r="T13" s="62">
        <f t="shared" si="34"/>
        <v>286.98388307318311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6.166060606060606</v>
      </c>
      <c r="AI13" s="14">
        <f>IF('Données projet'!$A$62&gt;35,AI12+AH13-AQ12,IF(A13&lt;'Données projet'!$A$62,$AF$205^A13,IF(A13='Données projet'!$A$62,'Données projet'!$B$62,AI12+AH13-AQ12)))</f>
        <v>5.0067054148521102</v>
      </c>
      <c r="AJ13" s="14">
        <f>AI13*VLOOKUP('Données projet'!$B$10,Paramètres!$A$1:$I$89,3,0)*VLOOKUP('Données projet'!$B$10,Paramètres!$A$1:$I$89,5,0)</f>
        <v>5.0767992906600403</v>
      </c>
      <c r="AK13" s="14">
        <f t="shared" si="35"/>
        <v>1.9364727216943862</v>
      </c>
      <c r="AL13" s="22">
        <f t="shared" si="4"/>
        <v>12.214782088183959</v>
      </c>
      <c r="AM13" s="62">
        <f t="shared" si="5"/>
        <v>281.1036709770728</v>
      </c>
      <c r="AN13" s="62">
        <f ca="1">AVERAGE(OFFSET($AM$3,0,0,'Données projet'!$E$10+1,1))-AVERAGE(OFFSET($H$3,0,0,'Données projet'!$E$10+1,1))</f>
        <v>2761.1400657295467</v>
      </c>
      <c r="AO13" s="62">
        <f t="shared" si="36"/>
        <v>316.41877504316409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6.166060606060606</v>
      </c>
      <c r="BD13" s="13">
        <f>IF('Données projet'!$A$88&gt;35,BD12+BC13-BL12,IF(A13&lt;'Données projet'!$A$88,$BA$205^A13,IF(A13='Données projet'!$A$88,'Données projet'!$B$88,BD12+BC13-BL12)))</f>
        <v>5.0067054148521102</v>
      </c>
      <c r="BE13" s="14">
        <f>BD13*VLOOKUP('Données projet'!$B$11,Paramètres!$A$1:$I$89,3,0)*VLOOKUP('Données projet'!$B$11,Paramètres!$A$1:$I$89,5,0)</f>
        <v>5.2330084996034261</v>
      </c>
      <c r="BF13" s="14">
        <f t="shared" si="37"/>
        <v>1.9890277276882837</v>
      </c>
      <c r="BG13" s="22">
        <f t="shared" si="7"/>
        <v>12.578379762533061</v>
      </c>
      <c r="BH13" s="62">
        <f t="shared" si="8"/>
        <v>281.46726865142193</v>
      </c>
      <c r="BI13" s="62">
        <f ca="1">AVERAGE(OFFSET($BH$3,0,0,'Données projet'!$E$11+1,1))-AVERAGE(OFFSET($H$3,0,0,'Données projet'!$E$11+1,1))</f>
        <v>2843.5086223152098</v>
      </c>
      <c r="BJ13" s="62">
        <f t="shared" si="38"/>
        <v>324.81562437645522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6.166060606060606</v>
      </c>
      <c r="BY13" s="13">
        <f>IF('Données projet'!$A$114&gt;35,BY12+BX13-CG12,IF(A13&lt;'Données projet'!$A$114,$BV$205^A13,IF(A13='Données projet'!$A$114,'Données projet'!$B$114,BY12+BX13-CG12)))</f>
        <v>5.0067054148521102</v>
      </c>
      <c r="BZ13" s="14">
        <f>BY13*VLOOKUP('Données projet'!$B$12,Paramètres!$A$1:$I$89,3,0)*VLOOKUP('Données projet'!$B$12,Paramètres!$A$1:$I$89,5,0)</f>
        <v>4.9986946861883474</v>
      </c>
      <c r="CA13" s="14">
        <f t="shared" si="39"/>
        <v>1.9101249031778988</v>
      </c>
      <c r="CB13" s="22">
        <f t="shared" si="10"/>
        <v>12.032860784812877</v>
      </c>
      <c r="CC13" s="62">
        <f t="shared" si="11"/>
        <v>280.92174967370175</v>
      </c>
      <c r="CD13" s="62">
        <f ca="1">AVERAGE(OFFSET($CC$3,0,0,'Données projet'!$E$12+1,1))-AVERAGE(OFFSET($H$3,0,0,'Données projet'!$E$12+1,1))</f>
        <v>2719.939926994799</v>
      </c>
      <c r="CE13" s="62">
        <f t="shared" si="40"/>
        <v>312.21824046329749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8.1527272727272742</v>
      </c>
      <c r="CT13" s="13">
        <f>IF('Données projet'!$A$140&gt;35,CT12+CS13-DB12,IF(A13&lt;'Données projet'!$A$140,$CQ$205^A13,IF(A13='Données projet'!$A$140,'Données projet'!$B$140,CT12+CS13-DB12)))</f>
        <v>5.4488912174956354</v>
      </c>
      <c r="CU13" s="18">
        <f>CT13*VLOOKUP('Données projet'!$B$13,Paramètres!$A$1:$I$89,3,0)*VLOOKUP('Données projet'!$B$13,Paramètres!$A$1:$I$89,5,0)</f>
        <v>4.7601513676041876</v>
      </c>
      <c r="CV13" s="14">
        <f t="shared" si="41"/>
        <v>1.8293540705249343</v>
      </c>
      <c r="CW13" s="22">
        <f t="shared" si="13"/>
        <v>11.476721971408219</v>
      </c>
      <c r="CX13" s="62">
        <f t="shared" si="14"/>
        <v>280.36561086029707</v>
      </c>
      <c r="CY13" s="62">
        <f ca="1">AVERAGE(OFFSET($CX$3,0,0,'Données projet'!$E$13+1,1))-AVERAGE(OFFSET($H$3,0,0,'Données projet'!$E$13+1,1))</f>
        <v>1036.0130072090849</v>
      </c>
      <c r="CZ13" s="62">
        <f t="shared" si="42"/>
        <v>346.56593355696174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12.48</v>
      </c>
      <c r="DO13" s="13">
        <f>IF('Données projet'!$A$166&gt;35,DO12+DN13-DW12,IF(A13&lt;'Données projet'!$A$166,$DL$205^A13,IF(A13='Données projet'!$A$166,'Données projet'!$B$166,DO12+DN13-DW12)))</f>
        <v>9.9463064890337591</v>
      </c>
      <c r="DP13" s="18">
        <f>DO13*VLOOKUP('Données projet'!$B$14,Paramètres!$A$1:$I$89,3,0)*VLOOKUP('Données projet'!$B$14,Paramètres!$A$1:$I$89,5,0)</f>
        <v>5.5599853273698709</v>
      </c>
      <c r="DQ13" s="14">
        <f t="shared" si="43"/>
        <v>2.0984524755549492</v>
      </c>
      <c r="DR13" s="22">
        <f t="shared" si="16"/>
        <v>13.33844584009406</v>
      </c>
      <c r="DS13" s="62">
        <f t="shared" si="17"/>
        <v>282.2273347289829</v>
      </c>
      <c r="DT13" s="62">
        <f ca="1">AVERAGE(OFFSET($DS$3,0,0,'Données projet'!$E$14+1,1))-AVERAGE(OFFSET($H$3,0,0,'Données projet'!$E$14+1,1))</f>
        <v>446.48069057792151</v>
      </c>
      <c r="DU13" s="62">
        <f t="shared" si="44"/>
        <v>561.75656782935948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3.3521212121212121</v>
      </c>
      <c r="EJ13" s="13">
        <f>IF('Données projet'!$A$192&gt;35,EJ12+EI13-ER12,IF(A13&lt;'Données projet'!$A$192,$EG$205^A13,IF(A13='Données projet'!$A$192,'Données projet'!$B$192,EJ12+EI13-ER12)))</f>
        <v>4.1623973036315496</v>
      </c>
      <c r="EK13" s="18">
        <f>EJ13*VLOOKUP('Données projet'!$B$15,Paramètres!$A$1:$I$89,3,0)*VLOOKUP('Données projet'!$B$15,Paramètres!$A$1:$I$89,5,0)</f>
        <v>4.0258706720724344</v>
      </c>
      <c r="EL13" s="14">
        <f t="shared" si="45"/>
        <v>1.5776337965996237</v>
      </c>
      <c r="EM13" s="22">
        <f t="shared" si="19"/>
        <v>9.7594369496038347</v>
      </c>
      <c r="EN13" s="62">
        <f t="shared" si="20"/>
        <v>278.64832583849267</v>
      </c>
      <c r="EO13" s="62">
        <f ca="1">AVERAGE(OFFSET($EN$3,0,0,'Données projet'!$E$15+1,1))-AVERAGE(OFFSET($H$3,0,0,'Données projet'!$E$15+1,1))</f>
        <v>301.18531163828169</v>
      </c>
      <c r="EP13" s="62">
        <f t="shared" si="46"/>
        <v>192.30530273268101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3.3521212121212121</v>
      </c>
      <c r="FE13" s="13">
        <f>IF('Données projet'!$A$218&gt;35,FE12+FD13-FM12,IF(A13&lt;'Données projet'!$A$218,$FB$205^A13,IF(A13='Données projet'!$A$218,'Données projet'!$B$218,FE12+FD13-FM12)))</f>
        <v>4.1623973036315496</v>
      </c>
      <c r="FF13" s="18">
        <f>FE13*VLOOKUP('Données projet'!$B$16,Paramètres!$A$1:$I$89,3,0)*VLOOKUP('Données projet'!$B$16,Paramètres!$A$1:$I$89,5,0)</f>
        <v>3.2466698968326089</v>
      </c>
      <c r="FG13" s="14">
        <f t="shared" si="47"/>
        <v>1.3045442060880363</v>
      </c>
      <c r="FH13" s="22">
        <f t="shared" si="22"/>
        <v>7.9266978959201237</v>
      </c>
      <c r="FI13" s="62">
        <f t="shared" si="23"/>
        <v>276.815586784809</v>
      </c>
      <c r="FJ13" s="62">
        <f ca="1">AVERAGE(OFFSET($FI$3,0,0,'Données projet'!$E$16+1,1))-AVERAGE(OFFSET($H$3,0,0,'Données projet'!$E$16+1,1))</f>
        <v>249.2899297828755</v>
      </c>
      <c r="FK13" s="62">
        <f t="shared" si="48"/>
        <v>162.88011837476813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3.3521212121212121</v>
      </c>
      <c r="FZ13" s="13">
        <f>IF('Données projet'!$A$244&gt;35,FZ12+FY13-GH12,IF(A13&lt;'Données projet'!$A$244,$FW$205^A13,IF(A13='Données projet'!$A$244,'Données projet'!$B$244,FZ12+FY13-GH12)))</f>
        <v>4.1623973036315496</v>
      </c>
      <c r="GA13" s="18">
        <f>FZ13*VLOOKUP('Données projet'!$B$17,Paramètres!$A$1:$I$89,3,0)*VLOOKUP('Données projet'!$B$17,Paramètres!$A$1:$I$89,5,0)</f>
        <v>2.7921361112760437</v>
      </c>
      <c r="GB13" s="14">
        <f t="shared" si="49"/>
        <v>1.1417778978017146</v>
      </c>
      <c r="GC13" s="22">
        <f t="shared" si="25"/>
        <v>6.8515668991437622</v>
      </c>
      <c r="GD13" s="62">
        <f t="shared" si="26"/>
        <v>275.74045578803259</v>
      </c>
      <c r="GE13" s="62">
        <f ca="1">AVERAGE(OFFSET($GD$3,0,0,'Données projet'!$E$17+1,1))-AVERAGE(OFFSET($H$3,0,0,'Données projet'!$E$17+1,1))</f>
        <v>218.89895999738746</v>
      </c>
      <c r="GF13" s="62">
        <f t="shared" si="50"/>
        <v>145.64042897395763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3.3521212121212121</v>
      </c>
      <c r="GU13" s="13">
        <f>IF('Données projet'!$A$270&gt;35,GU12+GT13-HC12,IF(A13&lt;'Données projet'!$A$270,$GR$205^A13,IF(A13='Données projet'!$A$270,'Données projet'!$B$270,GU12+GT13-HC12)))</f>
        <v>4.1623973036315496</v>
      </c>
      <c r="GV13" s="18">
        <f>GU13*VLOOKUP('Données projet'!$B$18,Paramètres!$A$1:$I$89,3,0)*VLOOKUP('Données projet'!$B$18,Paramètres!$A$1:$I$89,5,0)</f>
        <v>4.4804044576289996</v>
      </c>
      <c r="GW13" s="14">
        <f t="shared" si="51"/>
        <v>1.7340274215343221</v>
      </c>
      <c r="GX13" s="22">
        <f t="shared" si="28"/>
        <v>10.823468856209452</v>
      </c>
      <c r="GY13" s="62">
        <f t="shared" si="29"/>
        <v>279.7123577450983</v>
      </c>
      <c r="GZ13" s="62">
        <f ca="1">AVERAGE(OFFSET($GY$3,0,0,'Données projet'!$E$18+1,1))-AVERAGE(OFFSET($H$3,0,0,'Données projet'!$E$18+1,1))</f>
        <v>331.3579800635751</v>
      </c>
      <c r="HA13" s="62">
        <f t="shared" si="52"/>
        <v>209.40702003535273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6.166060606060606</v>
      </c>
      <c r="N14" s="14">
        <f>IF('Données projet'!$A$36&gt;35,N13+M14-V13,IF(A14&lt;'Données projet'!$A$36,$K$205^A14,IF(A14='Données projet'!$A$36,'Données projet'!$B$36,N13+M14-V13)))</f>
        <v>5.8817592341967071</v>
      </c>
      <c r="O14" s="14">
        <f>N14*VLOOKUP('Données projet'!$B$9,Paramètres!$A$1:$I$89,3,0)*VLOOKUP('Données projet'!$B$9,Paramètres!$A$1:$I$89,5,0)</f>
        <v>5.3218157551011807</v>
      </c>
      <c r="P14" s="14">
        <f t="shared" si="33"/>
        <v>2.0188243530921164</v>
      </c>
      <c r="Q14" s="22">
        <f t="shared" si="2"/>
        <v>12.784948188436658</v>
      </c>
      <c r="R14" s="62">
        <f t="shared" si="0"/>
        <v>282.8960592995478</v>
      </c>
      <c r="S14" s="62">
        <f ca="1">AVERAGE(OFFSET($R$3,0,0,'Données projet'!$E$9+1,1))-AVERAGE(OFFSET($H$3,0,0,'Données projet'!$E$9+1,1))</f>
        <v>2472.5049373954762</v>
      </c>
      <c r="T14" s="62">
        <f t="shared" si="34"/>
        <v>286.98388307318311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6.166060606060606</v>
      </c>
      <c r="AI14" s="14">
        <f>IF('Données projet'!$A$62&gt;35,AI13+AH14-AQ13,IF(A14&lt;'Données projet'!$A$62,$AF$205^A14,IF(A14='Données projet'!$A$62,'Données projet'!$B$62,AI13+AH14-AQ13)))</f>
        <v>5.8817592341967071</v>
      </c>
      <c r="AJ14" s="14">
        <f>AI14*VLOOKUP('Données projet'!$B$10,Paramètres!$A$1:$I$89,3,0)*VLOOKUP('Données projet'!$B$10,Paramètres!$A$1:$I$89,5,0)</f>
        <v>5.9641038634754615</v>
      </c>
      <c r="AK14" s="14">
        <f t="shared" si="35"/>
        <v>2.232666221072666</v>
      </c>
      <c r="AL14" s="22">
        <f t="shared" si="4"/>
        <v>14.276041230587987</v>
      </c>
      <c r="AM14" s="62">
        <f t="shared" si="5"/>
        <v>284.38715234169911</v>
      </c>
      <c r="AN14" s="62">
        <f ca="1">AVERAGE(OFFSET($AM$3,0,0,'Données projet'!$E$10+1,1))-AVERAGE(OFFSET($H$3,0,0,'Données projet'!$E$10+1,1))</f>
        <v>2761.1400657295467</v>
      </c>
      <c r="AO14" s="62">
        <f t="shared" si="36"/>
        <v>316.41877504316409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6.166060606060606</v>
      </c>
      <c r="BD14" s="13">
        <f>IF('Données projet'!$A$88&gt;35,BD13+BC14-BL13,IF(A14&lt;'Données projet'!$A$88,$BA$205^A14,IF(A14='Données projet'!$A$88,'Données projet'!$B$88,BD13+BC14-BL13)))</f>
        <v>5.8817592341967071</v>
      </c>
      <c r="BE14" s="14">
        <f>BD14*VLOOKUP('Données projet'!$B$11,Paramètres!$A$1:$I$89,3,0)*VLOOKUP('Données projet'!$B$11,Paramètres!$A$1:$I$89,5,0)</f>
        <v>6.1476147515823989</v>
      </c>
      <c r="BF14" s="14">
        <f t="shared" si="37"/>
        <v>2.2932597865364626</v>
      </c>
      <c r="BG14" s="22">
        <f t="shared" si="7"/>
        <v>14.701189820557017</v>
      </c>
      <c r="BH14" s="62">
        <f t="shared" si="8"/>
        <v>284.81230093166818</v>
      </c>
      <c r="BI14" s="62">
        <f ca="1">AVERAGE(OFFSET($BH$3,0,0,'Données projet'!$E$11+1,1))-AVERAGE(OFFSET($H$3,0,0,'Données projet'!$E$11+1,1))</f>
        <v>2843.5086223152098</v>
      </c>
      <c r="BJ14" s="62">
        <f t="shared" si="38"/>
        <v>324.81562437645522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6.166060606060606</v>
      </c>
      <c r="BY14" s="13">
        <f>IF('Données projet'!$A$114&gt;35,BY13+BX14-CG13,IF(A14&lt;'Données projet'!$A$114,$BV$205^A14,IF(A14='Données projet'!$A$114,'Données projet'!$B$114,BY13+BX14-CG13)))</f>
        <v>5.8817592341967071</v>
      </c>
      <c r="BZ14" s="14">
        <f>BY14*VLOOKUP('Données projet'!$B$12,Paramètres!$A$1:$I$89,3,0)*VLOOKUP('Données projet'!$B$12,Paramètres!$A$1:$I$89,5,0)</f>
        <v>5.8723484194219928</v>
      </c>
      <c r="CA14" s="14">
        <f t="shared" si="39"/>
        <v>2.2022883676995275</v>
      </c>
      <c r="CB14" s="22">
        <f t="shared" si="10"/>
        <v>14.063325737569977</v>
      </c>
      <c r="CC14" s="62">
        <f t="shared" si="11"/>
        <v>284.17443684868113</v>
      </c>
      <c r="CD14" s="62">
        <f ca="1">AVERAGE(OFFSET($CC$3,0,0,'Données projet'!$E$12+1,1))-AVERAGE(OFFSET($H$3,0,0,'Données projet'!$E$12+1,1))</f>
        <v>2719.939926994799</v>
      </c>
      <c r="CE14" s="62">
        <f t="shared" si="40"/>
        <v>312.21824046329749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8.1527272727272742</v>
      </c>
      <c r="CT14" s="13">
        <f>IF('Données projet'!$A$140&gt;35,CT13+CS14-DB13,IF(A14&lt;'Données projet'!$A$140,$CQ$205^A14,IF(A14='Données projet'!$A$140,'Données projet'!$B$140,CT13+CS14-DB13)))</f>
        <v>6.4556347611183797</v>
      </c>
      <c r="CU14" s="18">
        <f>CT14*VLOOKUP('Données projet'!$B$13,Paramètres!$A$1:$I$89,3,0)*VLOOKUP('Données projet'!$B$13,Paramètres!$A$1:$I$89,5,0)</f>
        <v>5.6396425273130166</v>
      </c>
      <c r="CV14" s="14">
        <f t="shared" si="41"/>
        <v>2.1249952231733347</v>
      </c>
      <c r="CW14" s="22">
        <f t="shared" si="13"/>
        <v>13.523410748763725</v>
      </c>
      <c r="CX14" s="62">
        <f t="shared" si="14"/>
        <v>283.63452185987489</v>
      </c>
      <c r="CY14" s="62">
        <f ca="1">AVERAGE(OFFSET($CX$3,0,0,'Données projet'!$E$13+1,1))-AVERAGE(OFFSET($H$3,0,0,'Données projet'!$E$13+1,1))</f>
        <v>1036.0130072090849</v>
      </c>
      <c r="CZ14" s="62">
        <f t="shared" si="42"/>
        <v>346.56593355696174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12.48</v>
      </c>
      <c r="DO14" s="13">
        <f>IF('Données projet'!$A$166&gt;35,DO13+DN14-DW13,IF(A14&lt;'Données projet'!$A$166,$DL$205^A14,IF(A14='Données projet'!$A$166,'Données projet'!$B$166,DO13+DN14-DW13)))</f>
        <v>12.514918374337919</v>
      </c>
      <c r="DP14" s="18">
        <f>DO14*VLOOKUP('Données projet'!$B$14,Paramètres!$A$1:$I$89,3,0)*VLOOKUP('Données projet'!$B$14,Paramètres!$A$1:$I$89,5,0)</f>
        <v>6.9958393712548963</v>
      </c>
      <c r="DQ14" s="14">
        <f t="shared" si="43"/>
        <v>2.5707067506143795</v>
      </c>
      <c r="DR14" s="22">
        <f t="shared" si="16"/>
        <v>16.661734495588991</v>
      </c>
      <c r="DS14" s="62">
        <f t="shared" si="17"/>
        <v>286.77284560670012</v>
      </c>
      <c r="DT14" s="62">
        <f ca="1">AVERAGE(OFFSET($DS$3,0,0,'Données projet'!$E$14+1,1))-AVERAGE(OFFSET($H$3,0,0,'Données projet'!$E$14+1,1))</f>
        <v>446.48069057792151</v>
      </c>
      <c r="DU14" s="62">
        <f t="shared" si="44"/>
        <v>561.75656782935948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3.3521212121212121</v>
      </c>
      <c r="EJ14" s="13">
        <f>IF('Données projet'!$A$192&gt;35,EJ13+EI14-ER13,IF(A14&lt;'Données projet'!$A$192,$EG$205^A14,IF(A14='Données projet'!$A$192,'Données projet'!$B$192,EJ13+EI14-ER13)))</f>
        <v>4.8004050584099023</v>
      </c>
      <c r="EK14" s="18">
        <f>EJ14*VLOOKUP('Données projet'!$B$15,Paramètres!$A$1:$I$89,3,0)*VLOOKUP('Données projet'!$B$15,Paramètres!$A$1:$I$89,5,0)</f>
        <v>4.6429517724940581</v>
      </c>
      <c r="EL14" s="14">
        <f t="shared" si="45"/>
        <v>1.7894987351003033</v>
      </c>
      <c r="EM14" s="22">
        <f t="shared" si="19"/>
        <v>11.203184634060179</v>
      </c>
      <c r="EN14" s="62">
        <f t="shared" si="20"/>
        <v>281.31429574517131</v>
      </c>
      <c r="EO14" s="62">
        <f ca="1">AVERAGE(OFFSET($EN$3,0,0,'Données projet'!$E$15+1,1))-AVERAGE(OFFSET($H$3,0,0,'Données projet'!$E$15+1,1))</f>
        <v>301.18531163828169</v>
      </c>
      <c r="EP14" s="62">
        <f t="shared" si="46"/>
        <v>192.30530273268101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3.3521212121212121</v>
      </c>
      <c r="FE14" s="13">
        <f>IF('Données projet'!$A$218&gt;35,FE13+FD14-FM13,IF(A14&lt;'Données projet'!$A$218,$FB$205^A14,IF(A14='Données projet'!$A$218,'Données projet'!$B$218,FE13+FD14-FM13)))</f>
        <v>4.8004050584099023</v>
      </c>
      <c r="FF14" s="18">
        <f>FE14*VLOOKUP('Données projet'!$B$16,Paramètres!$A$1:$I$89,3,0)*VLOOKUP('Données projet'!$B$16,Paramètres!$A$1:$I$89,5,0)</f>
        <v>3.7443159455597237</v>
      </c>
      <c r="FG14" s="14">
        <f t="shared" si="47"/>
        <v>1.4797351652256856</v>
      </c>
      <c r="FH14" s="22">
        <f t="shared" si="22"/>
        <v>9.0985556846179225</v>
      </c>
      <c r="FI14" s="62">
        <f t="shared" si="23"/>
        <v>279.20966679572905</v>
      </c>
      <c r="FJ14" s="62">
        <f ca="1">AVERAGE(OFFSET($FI$3,0,0,'Données projet'!$E$16+1,1))-AVERAGE(OFFSET($H$3,0,0,'Données projet'!$E$16+1,1))</f>
        <v>249.2899297828755</v>
      </c>
      <c r="FK14" s="62">
        <f t="shared" si="48"/>
        <v>162.88011837476813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3.3521212121212121</v>
      </c>
      <c r="FZ14" s="13">
        <f>IF('Données projet'!$A$244&gt;35,FZ13+FY14-GH13,IF(A14&lt;'Données projet'!$A$244,$FW$205^A14,IF(A14='Données projet'!$A$244,'Données projet'!$B$244,FZ13+FY14-GH13)))</f>
        <v>4.8004050584099023</v>
      </c>
      <c r="GA14" s="18">
        <f>FZ14*VLOOKUP('Données projet'!$B$17,Paramètres!$A$1:$I$89,3,0)*VLOOKUP('Données projet'!$B$17,Paramètres!$A$1:$I$89,5,0)</f>
        <v>3.2201117131813626</v>
      </c>
      <c r="GB14" s="14">
        <f t="shared" si="49"/>
        <v>1.2951105055466701</v>
      </c>
      <c r="GC14" s="22">
        <f t="shared" si="25"/>
        <v>7.8640120309513231</v>
      </c>
      <c r="GD14" s="62">
        <f t="shared" si="26"/>
        <v>277.97512314206244</v>
      </c>
      <c r="GE14" s="62">
        <f ca="1">AVERAGE(OFFSET($GD$3,0,0,'Données projet'!$E$17+1,1))-AVERAGE(OFFSET($H$3,0,0,'Données projet'!$E$17+1,1))</f>
        <v>218.89895999738746</v>
      </c>
      <c r="GF14" s="62">
        <f t="shared" si="50"/>
        <v>145.64042897395763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3.3521212121212121</v>
      </c>
      <c r="GU14" s="13">
        <f>IF('Données projet'!$A$270&gt;35,GU13+GT14-HC13,IF(A14&lt;'Données projet'!$A$270,$GR$205^A14,IF(A14='Données projet'!$A$270,'Données projet'!$B$270,GU13+GT14-HC13)))</f>
        <v>4.8004050584099023</v>
      </c>
      <c r="GV14" s="18">
        <f>GU14*VLOOKUP('Données projet'!$B$18,Paramètres!$A$1:$I$89,3,0)*VLOOKUP('Données projet'!$B$18,Paramètres!$A$1:$I$89,5,0)</f>
        <v>5.1671560048724183</v>
      </c>
      <c r="GW14" s="14">
        <f t="shared" si="51"/>
        <v>1.9668949056194733</v>
      </c>
      <c r="GX14" s="22">
        <f t="shared" si="28"/>
        <v>12.42513866910671</v>
      </c>
      <c r="GY14" s="62">
        <f t="shared" si="29"/>
        <v>282.53624978021787</v>
      </c>
      <c r="GZ14" s="62">
        <f ca="1">AVERAGE(OFFSET($GY$3,0,0,'Données projet'!$E$18+1,1))-AVERAGE(OFFSET($H$3,0,0,'Données projet'!$E$18+1,1))</f>
        <v>331.3579800635751</v>
      </c>
      <c r="HA14" s="62">
        <f t="shared" si="52"/>
        <v>209.40702003535273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6.166060606060606</v>
      </c>
      <c r="N15" s="14">
        <f>IF('Données projet'!$A$36&gt;35,N14+M15-V14,IF(A15&lt;'Données projet'!$A$36,$K$205^A15,IF(A15='Données projet'!$A$36,'Données projet'!$B$36,N14+M15-V14)))</f>
        <v>6.9097517873597756</v>
      </c>
      <c r="O15" s="14">
        <f>N15*VLOOKUP('Données projet'!$B$9,Paramètres!$A$1:$I$89,3,0)*VLOOKUP('Données projet'!$B$9,Paramètres!$A$1:$I$89,5,0)</f>
        <v>6.2519434172031252</v>
      </c>
      <c r="P15" s="14">
        <f t="shared" si="33"/>
        <v>2.3276139596140393</v>
      </c>
      <c r="Q15" s="22">
        <f t="shared" si="2"/>
        <v>14.942729097956558</v>
      </c>
      <c r="R15" s="62">
        <f t="shared" si="0"/>
        <v>286.27606243128986</v>
      </c>
      <c r="S15" s="62">
        <f ca="1">AVERAGE(OFFSET($R$3,0,0,'Données projet'!$E$9+1,1))-AVERAGE(OFFSET($H$3,0,0,'Données projet'!$E$9+1,1))</f>
        <v>2472.5049373954762</v>
      </c>
      <c r="T15" s="62">
        <f t="shared" si="34"/>
        <v>286.98388307318311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6.166060606060606</v>
      </c>
      <c r="AI15" s="14">
        <f>IF('Données projet'!$A$62&gt;35,AI14+AH15-AQ14,IF(A15&lt;'Données projet'!$A$62,$AF$205^A15,IF(A15='Données projet'!$A$62,'Données projet'!$B$62,AI14+AH15-AQ14)))</f>
        <v>6.9097517873597756</v>
      </c>
      <c r="AJ15" s="14">
        <f>AI15*VLOOKUP('Données projet'!$B$10,Paramètres!$A$1:$I$89,3,0)*VLOOKUP('Données projet'!$B$10,Paramètres!$A$1:$I$89,5,0)</f>
        <v>7.006488312382813</v>
      </c>
      <c r="AK15" s="14">
        <f t="shared" si="35"/>
        <v>2.5741640452116821</v>
      </c>
      <c r="AL15" s="22">
        <f t="shared" si="4"/>
        <v>16.686302856143744</v>
      </c>
      <c r="AM15" s="62">
        <f t="shared" si="5"/>
        <v>288.01963618947707</v>
      </c>
      <c r="AN15" s="62">
        <f ca="1">AVERAGE(OFFSET($AM$3,0,0,'Données projet'!$E$10+1,1))-AVERAGE(OFFSET($H$3,0,0,'Données projet'!$E$10+1,1))</f>
        <v>2761.1400657295467</v>
      </c>
      <c r="AO15" s="62">
        <f t="shared" si="36"/>
        <v>316.41877504316409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6.166060606060606</v>
      </c>
      <c r="BD15" s="13">
        <f>IF('Données projet'!$A$88&gt;35,BD14+BC15-BL14,IF(A15&lt;'Données projet'!$A$88,$BA$205^A15,IF(A15='Données projet'!$A$88,'Données projet'!$B$88,BD14+BC15-BL14)))</f>
        <v>6.9097517873597756</v>
      </c>
      <c r="BE15" s="14">
        <f>BD15*VLOOKUP('Données projet'!$B$11,Paramètres!$A$1:$I$89,3,0)*VLOOKUP('Données projet'!$B$11,Paramètres!$A$1:$I$89,5,0)</f>
        <v>7.2220725681484383</v>
      </c>
      <c r="BF15" s="14">
        <f t="shared" si="37"/>
        <v>2.6440257093135155</v>
      </c>
      <c r="BG15" s="22">
        <f t="shared" si="7"/>
        <v>17.183454499912902</v>
      </c>
      <c r="BH15" s="62">
        <f t="shared" si="8"/>
        <v>288.51678783324621</v>
      </c>
      <c r="BI15" s="62">
        <f ca="1">AVERAGE(OFFSET($BH$3,0,0,'Données projet'!$E$11+1,1))-AVERAGE(OFFSET($H$3,0,0,'Données projet'!$E$11+1,1))</f>
        <v>2843.5086223152098</v>
      </c>
      <c r="BJ15" s="62">
        <f t="shared" si="38"/>
        <v>324.81562437645522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6.166060606060606</v>
      </c>
      <c r="BY15" s="13">
        <f>IF('Données projet'!$A$114&gt;35,BY14+BX15-CG14,IF(A15&lt;'Données projet'!$A$114,$BV$205^A15,IF(A15='Données projet'!$A$114,'Données projet'!$B$114,BY14+BX15-CG14)))</f>
        <v>6.9097517873597756</v>
      </c>
      <c r="BZ15" s="14">
        <f>BY15*VLOOKUP('Données projet'!$B$12,Paramètres!$A$1:$I$89,3,0)*VLOOKUP('Données projet'!$B$12,Paramètres!$A$1:$I$89,5,0)</f>
        <v>6.8986961845000003</v>
      </c>
      <c r="CA15" s="14">
        <f t="shared" si="39"/>
        <v>2.5391397423464399</v>
      </c>
      <c r="CB15" s="22">
        <f t="shared" si="10"/>
        <v>16.437564239257547</v>
      </c>
      <c r="CC15" s="62">
        <f t="shared" si="11"/>
        <v>287.77089757259085</v>
      </c>
      <c r="CD15" s="62">
        <f ca="1">AVERAGE(OFFSET($CC$3,0,0,'Données projet'!$E$12+1,1))-AVERAGE(OFFSET($H$3,0,0,'Données projet'!$E$12+1,1))</f>
        <v>2719.939926994799</v>
      </c>
      <c r="CE15" s="62">
        <f t="shared" si="40"/>
        <v>312.21824046329749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8.1527272727272742</v>
      </c>
      <c r="CT15" s="13">
        <f>IF('Données projet'!$A$140&gt;35,CT14+CS15-DB14,IF(A15&lt;'Données projet'!$A$140,$CQ$205^A15,IF(A15='Données projet'!$A$140,'Données projet'!$B$140,CT14+CS15-DB14)))</f>
        <v>7.6483854247533136</v>
      </c>
      <c r="CU15" s="18">
        <f>CT15*VLOOKUP('Données projet'!$B$13,Paramètres!$A$1:$I$89,3,0)*VLOOKUP('Données projet'!$B$13,Paramètres!$A$1:$I$89,5,0)</f>
        <v>6.6816295070644953</v>
      </c>
      <c r="CV15" s="14">
        <f t="shared" si="41"/>
        <v>2.4684148198898068</v>
      </c>
      <c r="CW15" s="22">
        <f t="shared" si="13"/>
        <v>15.936327202778742</v>
      </c>
      <c r="CX15" s="62">
        <f t="shared" si="14"/>
        <v>287.26966053611204</v>
      </c>
      <c r="CY15" s="62">
        <f ca="1">AVERAGE(OFFSET($CX$3,0,0,'Données projet'!$E$13+1,1))-AVERAGE(OFFSET($H$3,0,0,'Données projet'!$E$13+1,1))</f>
        <v>1036.0130072090849</v>
      </c>
      <c r="CZ15" s="62">
        <f t="shared" si="42"/>
        <v>346.56593355696174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12.48</v>
      </c>
      <c r="DO15" s="13">
        <f>IF('Données projet'!$A$166&gt;35,DO14+DN15-DW14,IF(A15&lt;'Données projet'!$A$166,$DL$205^A15,IF(A15='Données projet'!$A$166,'Données projet'!$B$166,DO14+DN15-DW14)))</f>
        <v>15.746868658132023</v>
      </c>
      <c r="DP15" s="18">
        <f>DO15*VLOOKUP('Données projet'!$B$14,Paramètres!$A$1:$I$89,3,0)*VLOOKUP('Données projet'!$B$14,Paramètres!$A$1:$I$89,5,0)</f>
        <v>8.8024995798957999</v>
      </c>
      <c r="DQ15" s="14">
        <f t="shared" si="43"/>
        <v>3.1492412978791298</v>
      </c>
      <c r="DR15" s="22">
        <f t="shared" si="16"/>
        <v>20.815948695458001</v>
      </c>
      <c r="DS15" s="62">
        <f t="shared" si="17"/>
        <v>292.14928202879133</v>
      </c>
      <c r="DT15" s="62">
        <f ca="1">AVERAGE(OFFSET($DS$3,0,0,'Données projet'!$E$14+1,1))-AVERAGE(OFFSET($H$3,0,0,'Données projet'!$E$14+1,1))</f>
        <v>446.48069057792151</v>
      </c>
      <c r="DU15" s="62">
        <f t="shared" si="44"/>
        <v>561.75656782935948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3.3521212121212121</v>
      </c>
      <c r="EJ15" s="13">
        <f>IF('Données projet'!$A$192&gt;35,EJ14+EI15-ER14,IF(A15&lt;'Données projet'!$A$192,$EG$205^A15,IF(A15='Données projet'!$A$192,'Données projet'!$B$192,EJ14+EI15-ER14)))</f>
        <v>5.5362059514843454</v>
      </c>
      <c r="EK15" s="18">
        <f>EJ15*VLOOKUP('Données projet'!$B$15,Paramètres!$A$1:$I$89,3,0)*VLOOKUP('Données projet'!$B$15,Paramètres!$A$1:$I$89,5,0)</f>
        <v>5.3546183962756588</v>
      </c>
      <c r="EL15" s="14">
        <f t="shared" si="45"/>
        <v>2.0298156199668904</v>
      </c>
      <c r="EM15" s="22">
        <f t="shared" si="19"/>
        <v>12.861222578289107</v>
      </c>
      <c r="EN15" s="62">
        <f t="shared" si="20"/>
        <v>284.19455591162244</v>
      </c>
      <c r="EO15" s="62">
        <f ca="1">AVERAGE(OFFSET($EN$3,0,0,'Données projet'!$E$15+1,1))-AVERAGE(OFFSET($H$3,0,0,'Données projet'!$E$15+1,1))</f>
        <v>301.18531163828169</v>
      </c>
      <c r="EP15" s="62">
        <f t="shared" si="46"/>
        <v>192.30530273268101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3.3521212121212121</v>
      </c>
      <c r="FE15" s="13">
        <f>IF('Données projet'!$A$218&gt;35,FE14+FD15-FM14,IF(A15&lt;'Données projet'!$A$218,$FB$205^A15,IF(A15='Données projet'!$A$218,'Données projet'!$B$218,FE14+FD15-FM14)))</f>
        <v>5.5362059514843454</v>
      </c>
      <c r="FF15" s="18">
        <f>FE15*VLOOKUP('Données projet'!$B$16,Paramètres!$A$1:$I$89,3,0)*VLOOKUP('Données projet'!$B$16,Paramètres!$A$1:$I$89,5,0)</f>
        <v>4.3182406421577895</v>
      </c>
      <c r="FG15" s="14">
        <f t="shared" si="47"/>
        <v>1.678453017526738</v>
      </c>
      <c r="FH15" s="22">
        <f t="shared" si="22"/>
        <v>10.444241457283887</v>
      </c>
      <c r="FI15" s="62">
        <f t="shared" si="23"/>
        <v>281.77757479061722</v>
      </c>
      <c r="FJ15" s="62">
        <f ca="1">AVERAGE(OFFSET($FI$3,0,0,'Données projet'!$E$16+1,1))-AVERAGE(OFFSET($H$3,0,0,'Données projet'!$E$16+1,1))</f>
        <v>249.2899297828755</v>
      </c>
      <c r="FK15" s="62">
        <f t="shared" si="48"/>
        <v>162.88011837476813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3.3521212121212121</v>
      </c>
      <c r="FZ15" s="13">
        <f>IF('Données projet'!$A$244&gt;35,FZ14+FY15-GH14,IF(A15&lt;'Données projet'!$A$244,$FW$205^A15,IF(A15='Données projet'!$A$244,'Données projet'!$B$244,FZ14+FY15-GH14)))</f>
        <v>5.5362059514843454</v>
      </c>
      <c r="GA15" s="18">
        <f>FZ15*VLOOKUP('Données projet'!$B$17,Paramètres!$A$1:$I$89,3,0)*VLOOKUP('Données projet'!$B$17,Paramètres!$A$1:$I$89,5,0)</f>
        <v>3.7136869522556988</v>
      </c>
      <c r="GB15" s="14">
        <f t="shared" si="49"/>
        <v>1.4690345861543723</v>
      </c>
      <c r="GC15" s="22">
        <f t="shared" si="25"/>
        <v>9.0265733460642075</v>
      </c>
      <c r="GD15" s="62">
        <f t="shared" si="26"/>
        <v>280.35990667939751</v>
      </c>
      <c r="GE15" s="62">
        <f ca="1">AVERAGE(OFFSET($GD$3,0,0,'Données projet'!$E$17+1,1))-AVERAGE(OFFSET($H$3,0,0,'Données projet'!$E$17+1,1))</f>
        <v>218.89895999738746</v>
      </c>
      <c r="GF15" s="62">
        <f t="shared" si="50"/>
        <v>145.64042897395763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3.3521212121212121</v>
      </c>
      <c r="GU15" s="13">
        <f>IF('Données projet'!$A$270&gt;35,GU14+GT15-HC14,IF(A15&lt;'Données projet'!$A$270,$GR$205^A15,IF(A15='Données projet'!$A$270,'Données projet'!$B$270,GU14+GT15-HC14)))</f>
        <v>5.5362059514843454</v>
      </c>
      <c r="GV15" s="18">
        <f>GU15*VLOOKUP('Données projet'!$B$18,Paramètres!$A$1:$I$89,3,0)*VLOOKUP('Données projet'!$B$18,Paramètres!$A$1:$I$89,5,0)</f>
        <v>5.9591720861777491</v>
      </c>
      <c r="GW15" s="14">
        <f t="shared" si="51"/>
        <v>2.2310348277703196</v>
      </c>
      <c r="GX15" s="22">
        <f t="shared" si="28"/>
        <v>14.264610375126219</v>
      </c>
      <c r="GY15" s="62">
        <f t="shared" si="29"/>
        <v>285.59794370845952</v>
      </c>
      <c r="GZ15" s="62">
        <f ca="1">AVERAGE(OFFSET($GY$3,0,0,'Données projet'!$E$18+1,1))-AVERAGE(OFFSET($H$3,0,0,'Données projet'!$E$18+1,1))</f>
        <v>331.3579800635751</v>
      </c>
      <c r="HA15" s="62">
        <f t="shared" si="52"/>
        <v>209.40702003535273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6.166060606060606</v>
      </c>
      <c r="N16" s="14">
        <f>IF('Données projet'!$A$36&gt;35,N15+M16-V15,IF(A16&lt;'Données projet'!$A$36,$K$205^A16,IF(A16='Données projet'!$A$36,'Données projet'!$B$36,N15+M16-V15)))</f>
        <v>8.1174131517204611</v>
      </c>
      <c r="O16" s="14">
        <f>N16*VLOOKUP('Données projet'!$B$9,Paramètres!$A$1:$I$89,3,0)*VLOOKUP('Données projet'!$B$9,Paramètres!$A$1:$I$89,5,0)</f>
        <v>7.3446354196766723</v>
      </c>
      <c r="P16" s="14">
        <f t="shared" si="33"/>
        <v>2.6836345305088249</v>
      </c>
      <c r="Q16" s="22">
        <f t="shared" si="2"/>
        <v>17.465903496573073</v>
      </c>
      <c r="R16" s="62">
        <f t="shared" si="0"/>
        <v>290.02145905212859</v>
      </c>
      <c r="S16" s="62">
        <f ca="1">AVERAGE(OFFSET($R$3,0,0,'Données projet'!$E$9+1,1))-AVERAGE(OFFSET($H$3,0,0,'Données projet'!$E$9+1,1))</f>
        <v>2472.5049373954762</v>
      </c>
      <c r="T16" s="62">
        <f t="shared" si="34"/>
        <v>286.98388307318311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6.166060606060606</v>
      </c>
      <c r="AI16" s="14">
        <f>IF('Données projet'!$A$62&gt;35,AI15+AH16-AQ15,IF(A16&lt;'Données projet'!$A$62,$AF$205^A16,IF(A16='Données projet'!$A$62,'Données projet'!$B$62,AI15+AH16-AQ15)))</f>
        <v>8.1174131517204611</v>
      </c>
      <c r="AJ16" s="14">
        <f>AI16*VLOOKUP('Données projet'!$B$10,Paramètres!$A$1:$I$89,3,0)*VLOOKUP('Données projet'!$B$10,Paramètres!$A$1:$I$89,5,0)</f>
        <v>8.2310569358445473</v>
      </c>
      <c r="AK16" s="14">
        <f t="shared" si="35"/>
        <v>2.9678957244567492</v>
      </c>
      <c r="AL16" s="22">
        <f t="shared" si="4"/>
        <v>19.504842550024758</v>
      </c>
      <c r="AM16" s="62">
        <f t="shared" si="5"/>
        <v>292.0603981055803</v>
      </c>
      <c r="AN16" s="62">
        <f ca="1">AVERAGE(OFFSET($AM$3,0,0,'Données projet'!$E$10+1,1))-AVERAGE(OFFSET($H$3,0,0,'Données projet'!$E$10+1,1))</f>
        <v>2761.1400657295467</v>
      </c>
      <c r="AO16" s="62">
        <f t="shared" si="36"/>
        <v>316.41877504316409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6.166060606060606</v>
      </c>
      <c r="BD16" s="13">
        <f>IF('Données projet'!$A$88&gt;35,BD15+BC16-BL15,IF(A16&lt;'Données projet'!$A$88,$BA$205^A16,IF(A16='Données projet'!$A$88,'Données projet'!$B$88,BD15+BC16-BL15)))</f>
        <v>8.1174131517204611</v>
      </c>
      <c r="BE16" s="14">
        <f>BD16*VLOOKUP('Données projet'!$B$11,Paramètres!$A$1:$I$89,3,0)*VLOOKUP('Données projet'!$B$11,Paramètres!$A$1:$I$89,5,0)</f>
        <v>8.4843202261782267</v>
      </c>
      <c r="BF16" s="14">
        <f t="shared" si="37"/>
        <v>3.048443090727734</v>
      </c>
      <c r="BG16" s="22">
        <f t="shared" si="7"/>
        <v>20.086229443611213</v>
      </c>
      <c r="BH16" s="62">
        <f t="shared" si="8"/>
        <v>292.64178499916676</v>
      </c>
      <c r="BI16" s="62">
        <f ca="1">AVERAGE(OFFSET($BH$3,0,0,'Données projet'!$E$11+1,1))-AVERAGE(OFFSET($H$3,0,0,'Données projet'!$E$11+1,1))</f>
        <v>2843.5086223152098</v>
      </c>
      <c r="BJ16" s="62">
        <f t="shared" si="38"/>
        <v>324.81562437645522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6.166060606060606</v>
      </c>
      <c r="BY16" s="13">
        <f>IF('Données projet'!$A$114&gt;35,BY15+BX16-CG15,IF(A16&lt;'Données projet'!$A$114,$BV$205^A16,IF(A16='Données projet'!$A$114,'Données projet'!$B$114,BY15+BX16-CG15)))</f>
        <v>8.1174131517204611</v>
      </c>
      <c r="BZ16" s="14">
        <f>BY16*VLOOKUP('Données projet'!$B$12,Paramètres!$A$1:$I$89,3,0)*VLOOKUP('Données projet'!$B$12,Paramètres!$A$1:$I$89,5,0)</f>
        <v>8.1044252906777086</v>
      </c>
      <c r="CA16" s="14">
        <f t="shared" si="39"/>
        <v>2.9275142736633599</v>
      </c>
      <c r="CB16" s="22">
        <f t="shared" si="10"/>
        <v>19.213961407894029</v>
      </c>
      <c r="CC16" s="62">
        <f t="shared" si="11"/>
        <v>291.76951696344958</v>
      </c>
      <c r="CD16" s="62">
        <f ca="1">AVERAGE(OFFSET($CC$3,0,0,'Données projet'!$E$12+1,1))-AVERAGE(OFFSET($H$3,0,0,'Données projet'!$E$12+1,1))</f>
        <v>2719.939926994799</v>
      </c>
      <c r="CE16" s="62">
        <f t="shared" si="40"/>
        <v>312.21824046329749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8.1527272727272742</v>
      </c>
      <c r="CT16" s="13">
        <f>IF('Données projet'!$A$140&gt;35,CT15+CS16-DB15,IF(A16&lt;'Données projet'!$A$140,$CQ$205^A16,IF(A16='Données projet'!$A$140,'Données projet'!$B$140,CT15+CS16-DB15)))</f>
        <v>9.0615101024464888</v>
      </c>
      <c r="CU16" s="18">
        <f>CT16*VLOOKUP('Données projet'!$B$13,Paramètres!$A$1:$I$89,3,0)*VLOOKUP('Données projet'!$B$13,Paramètres!$A$1:$I$89,5,0)</f>
        <v>7.9161352254972535</v>
      </c>
      <c r="CV16" s="14">
        <f t="shared" si="41"/>
        <v>2.8673343152050079</v>
      </c>
      <c r="CW16" s="22">
        <f t="shared" si="13"/>
        <v>18.781209450056441</v>
      </c>
      <c r="CX16" s="62">
        <f t="shared" si="14"/>
        <v>291.33676500561199</v>
      </c>
      <c r="CY16" s="62">
        <f ca="1">AVERAGE(OFFSET($CX$3,0,0,'Données projet'!$E$13+1,1))-AVERAGE(OFFSET($H$3,0,0,'Données projet'!$E$13+1,1))</f>
        <v>1036.0130072090849</v>
      </c>
      <c r="CZ16" s="62">
        <f t="shared" si="42"/>
        <v>346.56593355696174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12.48</v>
      </c>
      <c r="DO16" s="13">
        <f>IF('Données projet'!$A$166&gt;35,DO15+DN16-DW15,IF(A16&lt;'Données projet'!$A$166,$DL$205^A16,IF(A16='Données projet'!$A$166,'Données projet'!$B$166,DO15+DN16-DW15)))</f>
        <v>19.813463030243593</v>
      </c>
      <c r="DP16" s="18">
        <f>DO16*VLOOKUP('Données projet'!$B$14,Paramètres!$A$1:$I$89,3,0)*VLOOKUP('Données projet'!$B$14,Paramètres!$A$1:$I$89,5,0)</f>
        <v>11.075725833906169</v>
      </c>
      <c r="DQ16" s="14">
        <f t="shared" si="43"/>
        <v>3.8579743682927523</v>
      </c>
      <c r="DR16" s="22">
        <f t="shared" si="16"/>
        <v>26.009527852163121</v>
      </c>
      <c r="DS16" s="62">
        <f t="shared" si="17"/>
        <v>298.56508340771865</v>
      </c>
      <c r="DT16" s="62">
        <f ca="1">AVERAGE(OFFSET($DS$3,0,0,'Données projet'!$E$14+1,1))-AVERAGE(OFFSET($H$3,0,0,'Données projet'!$E$14+1,1))</f>
        <v>446.48069057792151</v>
      </c>
      <c r="DU16" s="62">
        <f t="shared" si="44"/>
        <v>561.75656782935948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3.3521212121212121</v>
      </c>
      <c r="EJ16" s="13">
        <f>IF('Données projet'!$A$192&gt;35,EJ15+EI16-ER15,IF(A16&lt;'Données projet'!$A$192,$EG$205^A16,IF(A16='Données projet'!$A$192,'Données projet'!$B$192,EJ15+EI16-ER15)))</f>
        <v>6.3847896092758312</v>
      </c>
      <c r="EK16" s="18">
        <f>EJ16*VLOOKUP('Données projet'!$B$15,Paramètres!$A$1:$I$89,3,0)*VLOOKUP('Données projet'!$B$15,Paramètres!$A$1:$I$89,5,0)</f>
        <v>6.1753685100915838</v>
      </c>
      <c r="EL16" s="14">
        <f t="shared" si="45"/>
        <v>2.3024053441594816</v>
      </c>
      <c r="EM16" s="22">
        <f t="shared" si="19"/>
        <v>14.765456129487271</v>
      </c>
      <c r="EN16" s="62">
        <f t="shared" si="20"/>
        <v>287.32101168504283</v>
      </c>
      <c r="EO16" s="62">
        <f ca="1">AVERAGE(OFFSET($EN$3,0,0,'Données projet'!$E$15+1,1))-AVERAGE(OFFSET($H$3,0,0,'Données projet'!$E$15+1,1))</f>
        <v>301.18531163828169</v>
      </c>
      <c r="EP16" s="62">
        <f t="shared" si="46"/>
        <v>192.30530273268101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3.3521212121212121</v>
      </c>
      <c r="FE16" s="13">
        <f>IF('Données projet'!$A$218&gt;35,FE15+FD16-FM15,IF(A16&lt;'Données projet'!$A$218,$FB$205^A16,IF(A16='Données projet'!$A$218,'Données projet'!$B$218,FE15+FD16-FM15)))</f>
        <v>6.3847896092758312</v>
      </c>
      <c r="FF16" s="18">
        <f>FE16*VLOOKUP('Données projet'!$B$16,Paramètres!$A$1:$I$89,3,0)*VLOOKUP('Données projet'!$B$16,Paramètres!$A$1:$I$89,5,0)</f>
        <v>4.9801358952351489</v>
      </c>
      <c r="FG16" s="14">
        <f t="shared" si="47"/>
        <v>1.9038572565212633</v>
      </c>
      <c r="FH16" s="22">
        <f t="shared" si="22"/>
        <v>11.989621405975749</v>
      </c>
      <c r="FI16" s="62">
        <f t="shared" si="23"/>
        <v>284.5451769615313</v>
      </c>
      <c r="FJ16" s="62">
        <f ca="1">AVERAGE(OFFSET($FI$3,0,0,'Données projet'!$E$16+1,1))-AVERAGE(OFFSET($H$3,0,0,'Données projet'!$E$16+1,1))</f>
        <v>249.2899297828755</v>
      </c>
      <c r="FK16" s="62">
        <f t="shared" si="48"/>
        <v>162.88011837476813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3.3521212121212121</v>
      </c>
      <c r="FZ16" s="13">
        <f>IF('Données projet'!$A$244&gt;35,FZ15+FY16-GH15,IF(A16&lt;'Données projet'!$A$244,$FW$205^A16,IF(A16='Données projet'!$A$244,'Données projet'!$B$244,FZ15+FY16-GH15)))</f>
        <v>6.3847896092758312</v>
      </c>
      <c r="GA16" s="18">
        <f>FZ16*VLOOKUP('Données projet'!$B$17,Paramètres!$A$1:$I$89,3,0)*VLOOKUP('Données projet'!$B$17,Paramètres!$A$1:$I$89,5,0)</f>
        <v>4.2829168699022278</v>
      </c>
      <c r="GB16" s="14">
        <f t="shared" si="49"/>
        <v>1.6663154271973293</v>
      </c>
      <c r="GC16" s="22">
        <f t="shared" si="25"/>
        <v>10.361579584115061</v>
      </c>
      <c r="GD16" s="62">
        <f t="shared" si="26"/>
        <v>282.91713513967062</v>
      </c>
      <c r="GE16" s="62">
        <f ca="1">AVERAGE(OFFSET($GD$3,0,0,'Données projet'!$E$17+1,1))-AVERAGE(OFFSET($H$3,0,0,'Données projet'!$E$17+1,1))</f>
        <v>218.89895999738746</v>
      </c>
      <c r="GF16" s="62">
        <f t="shared" si="50"/>
        <v>145.64042897395763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3.3521212121212121</v>
      </c>
      <c r="GU16" s="13">
        <f>IF('Données projet'!$A$270&gt;35,GU15+GT16-HC15,IF(A16&lt;'Données projet'!$A$270,$GR$205^A16,IF(A16='Données projet'!$A$270,'Données projet'!$B$270,GU15+GT16-HC15)))</f>
        <v>6.3847896092758312</v>
      </c>
      <c r="GV16" s="18">
        <f>GU16*VLOOKUP('Données projet'!$B$18,Paramètres!$A$1:$I$89,3,0)*VLOOKUP('Données projet'!$B$18,Paramètres!$A$1:$I$89,5,0)</f>
        <v>6.872587535424505</v>
      </c>
      <c r="GW16" s="14">
        <f t="shared" si="51"/>
        <v>2.5306468528151851</v>
      </c>
      <c r="GX16" s="22">
        <f t="shared" si="28"/>
        <v>16.377299892850793</v>
      </c>
      <c r="GY16" s="62">
        <f t="shared" si="29"/>
        <v>288.93285544840631</v>
      </c>
      <c r="GZ16" s="62">
        <f ca="1">AVERAGE(OFFSET($GY$3,0,0,'Données projet'!$E$18+1,1))-AVERAGE(OFFSET($H$3,0,0,'Données projet'!$E$18+1,1))</f>
        <v>331.3579800635751</v>
      </c>
      <c r="HA16" s="62">
        <f t="shared" si="52"/>
        <v>209.40702003535273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6.166060606060606</v>
      </c>
      <c r="N17" s="14">
        <f>IF('Données projet'!$A$36&gt;35,N16+M17-V16,IF(A17&lt;'Données projet'!$A$36,$K$205^A17,IF(A17='Données projet'!$A$36,'Données projet'!$B$36,N16+M17-V16)))</f>
        <v>9.5361451906656498</v>
      </c>
      <c r="O17" s="14">
        <f>N17*VLOOKUP('Données projet'!$B$9,Paramètres!$A$1:$I$89,3,0)*VLOOKUP('Données projet'!$B$9,Paramètres!$A$1:$I$89,5,0)</f>
        <v>8.6283041685142798</v>
      </c>
      <c r="P17" s="14">
        <f t="shared" si="33"/>
        <v>3.0941102855962979</v>
      </c>
      <c r="Q17" s="22">
        <f t="shared" si="2"/>
        <v>20.416538507575922</v>
      </c>
      <c r="R17" s="62">
        <f t="shared" si="0"/>
        <v>294.19431628535369</v>
      </c>
      <c r="S17" s="62">
        <f ca="1">AVERAGE(OFFSET($R$3,0,0,'Données projet'!$E$9+1,1))-AVERAGE(OFFSET($H$3,0,0,'Données projet'!$E$9+1,1))</f>
        <v>2472.5049373954762</v>
      </c>
      <c r="T17" s="62">
        <f t="shared" si="34"/>
        <v>286.98388307318311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6.166060606060606</v>
      </c>
      <c r="AI17" s="14">
        <f>IF('Données projet'!$A$62&gt;35,AI16+AH17-AQ16,IF(A17&lt;'Données projet'!$A$62,$AF$205^A17,IF(A17='Données projet'!$A$62,'Données projet'!$B$62,AI16+AH17-AQ16)))</f>
        <v>9.5361451906656498</v>
      </c>
      <c r="AJ17" s="14">
        <f>AI17*VLOOKUP('Données projet'!$B$10,Paramètres!$A$1:$I$89,3,0)*VLOOKUP('Données projet'!$B$10,Paramètres!$A$1:$I$89,5,0)</f>
        <v>9.6696512233349701</v>
      </c>
      <c r="AK17" s="14">
        <f t="shared" si="35"/>
        <v>3.4218506965916036</v>
      </c>
      <c r="AL17" s="22">
        <f t="shared" si="4"/>
        <v>22.801032510538779</v>
      </c>
      <c r="AM17" s="62">
        <f t="shared" si="5"/>
        <v>296.57881028831656</v>
      </c>
      <c r="AN17" s="62">
        <f ca="1">AVERAGE(OFFSET($AM$3,0,0,'Données projet'!$E$10+1,1))-AVERAGE(OFFSET($H$3,0,0,'Données projet'!$E$10+1,1))</f>
        <v>2761.1400657295467</v>
      </c>
      <c r="AO17" s="62">
        <f t="shared" si="36"/>
        <v>316.41877504316409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6.166060606060606</v>
      </c>
      <c r="BD17" s="13">
        <f>IF('Données projet'!$A$88&gt;35,BD16+BC17-BL16,IF(A17&lt;'Données projet'!$A$88,$BA$205^A17,IF(A17='Données projet'!$A$88,'Données projet'!$B$88,BD16+BC17-BL16)))</f>
        <v>9.5361451906656498</v>
      </c>
      <c r="BE17" s="14">
        <f>BD17*VLOOKUP('Données projet'!$B$11,Paramètres!$A$1:$I$89,3,0)*VLOOKUP('Données projet'!$B$11,Paramètres!$A$1:$I$89,5,0)</f>
        <v>9.9671789532837387</v>
      </c>
      <c r="BF17" s="14">
        <f t="shared" si="37"/>
        <v>3.5147181983409914</v>
      </c>
      <c r="BG17" s="22">
        <f t="shared" si="7"/>
        <v>23.480970872413071</v>
      </c>
      <c r="BH17" s="62">
        <f t="shared" si="8"/>
        <v>297.25874865019085</v>
      </c>
      <c r="BI17" s="62">
        <f ca="1">AVERAGE(OFFSET($BH$3,0,0,'Données projet'!$E$11+1,1))-AVERAGE(OFFSET($H$3,0,0,'Données projet'!$E$11+1,1))</f>
        <v>2843.5086223152098</v>
      </c>
      <c r="BJ17" s="62">
        <f t="shared" si="38"/>
        <v>324.81562437645522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6.166060606060606</v>
      </c>
      <c r="BY17" s="13">
        <f>IF('Données projet'!$A$114&gt;35,BY16+BX17-CG16,IF(A17&lt;'Données projet'!$A$114,$BV$205^A17,IF(A17='Données projet'!$A$114,'Données projet'!$B$114,BY16+BX17-CG16)))</f>
        <v>9.5361451906656498</v>
      </c>
      <c r="BZ17" s="14">
        <f>BY17*VLOOKUP('Données projet'!$B$12,Paramètres!$A$1:$I$89,3,0)*VLOOKUP('Données projet'!$B$12,Paramètres!$A$1:$I$89,5,0)</f>
        <v>9.5208873583605858</v>
      </c>
      <c r="CA17" s="14">
        <f t="shared" si="39"/>
        <v>3.3752926944394108</v>
      </c>
      <c r="CB17" s="22">
        <f t="shared" si="10"/>
        <v>22.460846925293325</v>
      </c>
      <c r="CC17" s="62">
        <f t="shared" si="11"/>
        <v>296.23862470307108</v>
      </c>
      <c r="CD17" s="62">
        <f ca="1">AVERAGE(OFFSET($CC$3,0,0,'Données projet'!$E$12+1,1))-AVERAGE(OFFSET($H$3,0,0,'Données projet'!$E$12+1,1))</f>
        <v>2719.939926994799</v>
      </c>
      <c r="CE17" s="62">
        <f t="shared" si="40"/>
        <v>312.21824046329749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8.1527272727272742</v>
      </c>
      <c r="CT17" s="13">
        <f>IF('Données projet'!$A$140&gt;35,CT16+CS17-DB16,IF(A17&lt;'Données projet'!$A$140,$CQ$205^A17,IF(A17='Données projet'!$A$140,'Données projet'!$B$140,CT16+CS17-DB16)))</f>
        <v>10.735725355967942</v>
      </c>
      <c r="CU17" s="18">
        <f>CT17*VLOOKUP('Données projet'!$B$13,Paramètres!$A$1:$I$89,3,0)*VLOOKUP('Données projet'!$B$13,Paramètres!$A$1:$I$89,5,0)</f>
        <v>9.3787296709735948</v>
      </c>
      <c r="CV17" s="14">
        <f t="shared" si="41"/>
        <v>3.3307230247139725</v>
      </c>
      <c r="CW17" s="22">
        <f t="shared" si="13"/>
        <v>22.135630111655843</v>
      </c>
      <c r="CX17" s="62">
        <f t="shared" si="14"/>
        <v>295.91340788943364</v>
      </c>
      <c r="CY17" s="62">
        <f ca="1">AVERAGE(OFFSET($CX$3,0,0,'Données projet'!$E$13+1,1))-AVERAGE(OFFSET($H$3,0,0,'Données projet'!$E$13+1,1))</f>
        <v>1036.0130072090849</v>
      </c>
      <c r="CZ17" s="62">
        <f t="shared" si="42"/>
        <v>346.56593355696174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12.48</v>
      </c>
      <c r="DO17" s="13">
        <f>IF('Données projet'!$A$166&gt;35,DO16+DN17-DW16,IF(A17&lt;'Données projet'!$A$166,$DL$205^A17,IF(A17='Données projet'!$A$166,'Données projet'!$B$166,DO16+DN17-DW16)))</f>
        <v>24.930246500030105</v>
      </c>
      <c r="DP17" s="18">
        <f>DO17*VLOOKUP('Données projet'!$B$14,Paramètres!$A$1:$I$89,3,0)*VLOOKUP('Données projet'!$B$14,Paramètres!$A$1:$I$89,5,0)</f>
        <v>13.936007793516829</v>
      </c>
      <c r="DQ17" s="14">
        <f t="shared" si="43"/>
        <v>4.7262069871964174</v>
      </c>
      <c r="DR17" s="22">
        <f t="shared" si="16"/>
        <v>32.503357409742236</v>
      </c>
      <c r="DS17" s="62">
        <f t="shared" si="17"/>
        <v>306.28113518752002</v>
      </c>
      <c r="DT17" s="62">
        <f ca="1">AVERAGE(OFFSET($DS$3,0,0,'Données projet'!$E$14+1,1))-AVERAGE(OFFSET($H$3,0,0,'Données projet'!$E$14+1,1))</f>
        <v>446.48069057792151</v>
      </c>
      <c r="DU17" s="62">
        <f t="shared" si="44"/>
        <v>561.75656782935948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3.3521212121212121</v>
      </c>
      <c r="EJ17" s="13">
        <f>IF('Données projet'!$A$192&gt;35,EJ16+EI17-ER16,IF(A17&lt;'Données projet'!$A$192,$EG$205^A17,IF(A17='Données projet'!$A$192,'Données projet'!$B$192,EJ16+EI17-ER16)))</f>
        <v>7.3634432519235906</v>
      </c>
      <c r="EK17" s="18">
        <f>EJ17*VLOOKUP('Données projet'!$B$15,Paramètres!$A$1:$I$89,3,0)*VLOOKUP('Données projet'!$B$15,Paramètres!$A$1:$I$89,5,0)</f>
        <v>7.1219223132604972</v>
      </c>
      <c r="EL17" s="14">
        <f t="shared" si="45"/>
        <v>2.6116019192426023</v>
      </c>
      <c r="EM17" s="22">
        <f t="shared" si="19"/>
        <v>16.952554704942898</v>
      </c>
      <c r="EN17" s="62">
        <f t="shared" si="20"/>
        <v>290.73033248272066</v>
      </c>
      <c r="EO17" s="62">
        <f ca="1">AVERAGE(OFFSET($EN$3,0,0,'Données projet'!$E$15+1,1))-AVERAGE(OFFSET($H$3,0,0,'Données projet'!$E$15+1,1))</f>
        <v>301.18531163828169</v>
      </c>
      <c r="EP17" s="62">
        <f t="shared" si="46"/>
        <v>192.30530273268101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3.3521212121212121</v>
      </c>
      <c r="FE17" s="13">
        <f>IF('Données projet'!$A$218&gt;35,FE16+FD17-FM16,IF(A17&lt;'Données projet'!$A$218,$FB$205^A17,IF(A17='Données projet'!$A$218,'Données projet'!$B$218,FE16+FD17-FM16)))</f>
        <v>7.3634432519235906</v>
      </c>
      <c r="FF17" s="18">
        <f>FE17*VLOOKUP('Données projet'!$B$16,Paramètres!$A$1:$I$89,3,0)*VLOOKUP('Données projet'!$B$16,Paramètres!$A$1:$I$89,5,0)</f>
        <v>5.7434857365004008</v>
      </c>
      <c r="FG17" s="14">
        <f t="shared" si="47"/>
        <v>2.1595316731294378</v>
      </c>
      <c r="FH17" s="22">
        <f t="shared" si="22"/>
        <v>13.764421988438635</v>
      </c>
      <c r="FI17" s="62">
        <f t="shared" si="23"/>
        <v>287.54219976621641</v>
      </c>
      <c r="FJ17" s="62">
        <f ca="1">AVERAGE(OFFSET($FI$3,0,0,'Données projet'!$E$16+1,1))-AVERAGE(OFFSET($H$3,0,0,'Données projet'!$E$16+1,1))</f>
        <v>249.2899297828755</v>
      </c>
      <c r="FK17" s="62">
        <f t="shared" si="48"/>
        <v>162.88011837476813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3.3521212121212121</v>
      </c>
      <c r="FZ17" s="13">
        <f>IF('Données projet'!$A$244&gt;35,FZ16+FY17-GH16,IF(A17&lt;'Données projet'!$A$244,$FW$205^A17,IF(A17='Données projet'!$A$244,'Données projet'!$B$244,FZ16+FY17-GH16)))</f>
        <v>7.3634432519235906</v>
      </c>
      <c r="GA17" s="18">
        <f>FZ17*VLOOKUP('Données projet'!$B$17,Paramètres!$A$1:$I$89,3,0)*VLOOKUP('Données projet'!$B$17,Paramètres!$A$1:$I$89,5,0)</f>
        <v>4.9393977333903445</v>
      </c>
      <c r="GB17" s="14">
        <f t="shared" si="49"/>
        <v>1.8900896745967015</v>
      </c>
      <c r="GC17" s="22">
        <f t="shared" si="25"/>
        <v>11.89469056891077</v>
      </c>
      <c r="GD17" s="62">
        <f t="shared" si="26"/>
        <v>285.67246834668856</v>
      </c>
      <c r="GE17" s="62">
        <f ca="1">AVERAGE(OFFSET($GD$3,0,0,'Données projet'!$E$17+1,1))-AVERAGE(OFFSET($H$3,0,0,'Données projet'!$E$17+1,1))</f>
        <v>218.89895999738746</v>
      </c>
      <c r="GF17" s="62">
        <f t="shared" si="50"/>
        <v>145.64042897395763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3.3521212121212121</v>
      </c>
      <c r="GU17" s="13">
        <f>IF('Données projet'!$A$270&gt;35,GU16+GT17-HC16,IF(A17&lt;'Données projet'!$A$270,$GR$205^A17,IF(A17='Données projet'!$A$270,'Données projet'!$B$270,GU16+GT17-HC16)))</f>
        <v>7.3634432519235906</v>
      </c>
      <c r="GV17" s="18">
        <f>GU17*VLOOKUP('Données projet'!$B$18,Paramètres!$A$1:$I$89,3,0)*VLOOKUP('Données projet'!$B$18,Paramètres!$A$1:$I$89,5,0)</f>
        <v>7.9260103163705526</v>
      </c>
      <c r="GW17" s="14">
        <f t="shared" si="51"/>
        <v>2.8704946305404313</v>
      </c>
      <c r="GX17" s="22">
        <f t="shared" si="28"/>
        <v>18.803912782536631</v>
      </c>
      <c r="GY17" s="62">
        <f t="shared" si="29"/>
        <v>292.58169056031443</v>
      </c>
      <c r="GZ17" s="62">
        <f ca="1">AVERAGE(OFFSET($GY$3,0,0,'Données projet'!$E$18+1,1))-AVERAGE(OFFSET($H$3,0,0,'Données projet'!$E$18+1,1))</f>
        <v>331.3579800635751</v>
      </c>
      <c r="HA17" s="62">
        <f t="shared" si="52"/>
        <v>209.40702003535273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6.166060606060606</v>
      </c>
      <c r="N18" s="14">
        <f>IF('Données projet'!$A$36&gt;35,N17+M18-V17,IF(A18&lt;'Données projet'!$A$36,$K$205^A18,IF(A18='Données projet'!$A$36,'Données projet'!$B$36,N17+M18-V17)))</f>
        <v>11.202838071409678</v>
      </c>
      <c r="O18" s="14">
        <f>N18*VLOOKUP('Données projet'!$B$9,Paramètres!$A$1:$I$89,3,0)*VLOOKUP('Données projet'!$B$9,Paramètres!$A$1:$I$89,5,0)</f>
        <v>10.136327887011475</v>
      </c>
      <c r="P18" s="14">
        <f t="shared" si="33"/>
        <v>3.5673704264110944</v>
      </c>
      <c r="Q18" s="22">
        <f t="shared" si="2"/>
        <v>23.86727456254431</v>
      </c>
      <c r="R18" s="62">
        <f t="shared" si="0"/>
        <v>298.86727456254431</v>
      </c>
      <c r="S18" s="62">
        <f ca="1">AVERAGE(OFFSET($R$3,0,0,'Données projet'!$E$9+1,1))-AVERAGE(OFFSET($H$3,0,0,'Données projet'!$E$9+1,1))</f>
        <v>2472.5049373954762</v>
      </c>
      <c r="T18" s="62">
        <f t="shared" si="34"/>
        <v>286.98388307318311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6.166060606060606</v>
      </c>
      <c r="AI18" s="14">
        <f>IF('Données projet'!$A$62&gt;35,AI17+AH18-AQ17,IF(A18&lt;'Données projet'!$A$62,$AF$205^A18,IF(A18='Données projet'!$A$62,'Données projet'!$B$62,AI17+AH18-AQ17)))</f>
        <v>11.202838071409678</v>
      </c>
      <c r="AJ18" s="14">
        <f>AI18*VLOOKUP('Données projet'!$B$10,Paramètres!$A$1:$I$89,3,0)*VLOOKUP('Données projet'!$B$10,Paramètres!$A$1:$I$89,5,0)</f>
        <v>11.359677804409415</v>
      </c>
      <c r="AK18" s="14">
        <f t="shared" si="35"/>
        <v>3.9452404251526372</v>
      </c>
      <c r="AL18" s="22">
        <f t="shared" si="4"/>
        <v>26.656065916487236</v>
      </c>
      <c r="AM18" s="62">
        <f t="shared" si="5"/>
        <v>301.65606591648725</v>
      </c>
      <c r="AN18" s="62">
        <f ca="1">AVERAGE(OFFSET($AM$3,0,0,'Données projet'!$E$10+1,1))-AVERAGE(OFFSET($H$3,0,0,'Données projet'!$E$10+1,1))</f>
        <v>2761.1400657295467</v>
      </c>
      <c r="AO18" s="62">
        <f t="shared" si="36"/>
        <v>316.41877504316409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6.166060606060606</v>
      </c>
      <c r="BD18" s="13">
        <f>IF('Données projet'!$A$88&gt;35,BD17+BC18-BL17,IF(A18&lt;'Données projet'!$A$88,$BA$205^A18,IF(A18='Données projet'!$A$88,'Données projet'!$B$88,BD17+BC18-BL17)))</f>
        <v>11.202838071409678</v>
      </c>
      <c r="BE18" s="14">
        <f>BD18*VLOOKUP('Données projet'!$B$11,Paramètres!$A$1:$I$89,3,0)*VLOOKUP('Données projet'!$B$11,Paramètres!$A$1:$I$89,5,0)</f>
        <v>11.709206352237397</v>
      </c>
      <c r="BF18" s="14">
        <f t="shared" si="37"/>
        <v>4.0523124907017145</v>
      </c>
      <c r="BG18" s="22">
        <f t="shared" si="7"/>
        <v>27.451311984785615</v>
      </c>
      <c r="BH18" s="62">
        <f t="shared" si="8"/>
        <v>302.4513119847856</v>
      </c>
      <c r="BI18" s="62">
        <f ca="1">AVERAGE(OFFSET($BH$3,0,0,'Données projet'!$E$11+1,1))-AVERAGE(OFFSET($H$3,0,0,'Données projet'!$E$11+1,1))</f>
        <v>2843.5086223152098</v>
      </c>
      <c r="BJ18" s="62">
        <f t="shared" si="38"/>
        <v>324.81562437645522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6.166060606060606</v>
      </c>
      <c r="BY18" s="13">
        <f>IF('Données projet'!$A$114&gt;35,BY17+BX18-CG17,IF(A18&lt;'Données projet'!$A$114,$BV$205^A18,IF(A18='Données projet'!$A$114,'Données projet'!$B$114,BY17+BX18-CG17)))</f>
        <v>11.202838071409678</v>
      </c>
      <c r="BZ18" s="14">
        <f>BY18*VLOOKUP('Données projet'!$B$12,Paramètres!$A$1:$I$89,3,0)*VLOOKUP('Données projet'!$B$12,Paramètres!$A$1:$I$89,5,0)</f>
        <v>11.184913530495423</v>
      </c>
      <c r="CA18" s="14">
        <f t="shared" si="39"/>
        <v>3.8915611362262847</v>
      </c>
      <c r="CB18" s="22">
        <f t="shared" si="10"/>
        <v>26.258193377873642</v>
      </c>
      <c r="CC18" s="62">
        <f t="shared" si="11"/>
        <v>301.25819337787362</v>
      </c>
      <c r="CD18" s="62">
        <f ca="1">AVERAGE(OFFSET($CC$3,0,0,'Données projet'!$E$12+1,1))-AVERAGE(OFFSET($H$3,0,0,'Données projet'!$E$12+1,1))</f>
        <v>2719.939926994799</v>
      </c>
      <c r="CE18" s="62">
        <f t="shared" si="40"/>
        <v>312.21824046329749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8.1527272727272742</v>
      </c>
      <c r="CT18" s="13">
        <f>IF('Données projet'!$A$140&gt;35,CT17+CS18-DB17,IF(A18&lt;'Données projet'!$A$140,$CQ$205^A18,IF(A18='Données projet'!$A$140,'Données projet'!$B$140,CT17+CS18-DB17)))</f>
        <v>12.719270586881034</v>
      </c>
      <c r="CU18" s="18">
        <f>CT18*VLOOKUP('Données projet'!$B$13,Paramètres!$A$1:$I$89,3,0)*VLOOKUP('Données projet'!$B$13,Paramètres!$A$1:$I$89,5,0)</f>
        <v>11.111554784699273</v>
      </c>
      <c r="CV18" s="14">
        <f t="shared" si="41"/>
        <v>3.868999791385197</v>
      </c>
      <c r="CW18" s="22">
        <f t="shared" si="13"/>
        <v>26.091132553347112</v>
      </c>
      <c r="CX18" s="62">
        <f t="shared" si="14"/>
        <v>301.09113255334711</v>
      </c>
      <c r="CY18" s="62">
        <f ca="1">AVERAGE(OFFSET($CX$3,0,0,'Données projet'!$E$13+1,1))-AVERAGE(OFFSET($H$3,0,0,'Données projet'!$E$13+1,1))</f>
        <v>1036.0130072090849</v>
      </c>
      <c r="CZ18" s="62">
        <f t="shared" si="42"/>
        <v>346.56593355696174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12.48</v>
      </c>
      <c r="DO18" s="13">
        <f>IF('Données projet'!$A$166&gt;35,DO17+DN18-DW17,IF(A18&lt;'Données projet'!$A$166,$DL$205^A18,IF(A18='Données projet'!$A$166,'Données projet'!$B$166,DO17+DN18-DW17)))</f>
        <v>31.368428103838756</v>
      </c>
      <c r="DP18" s="18">
        <f>DO18*VLOOKUP('Données projet'!$B$14,Paramètres!$A$1:$I$89,3,0)*VLOOKUP('Données projet'!$B$14,Paramètres!$A$1:$I$89,5,0)</f>
        <v>17.534951310045866</v>
      </c>
      <c r="DQ18" s="14">
        <f t="shared" si="43"/>
        <v>5.7898343414108631</v>
      </c>
      <c r="DR18" s="22">
        <f t="shared" si="16"/>
        <v>40.624001676287129</v>
      </c>
      <c r="DS18" s="62">
        <f t="shared" si="17"/>
        <v>315.62400167628715</v>
      </c>
      <c r="DT18" s="62">
        <f ca="1">AVERAGE(OFFSET($DS$3,0,0,'Données projet'!$E$14+1,1))-AVERAGE(OFFSET($H$3,0,0,'Données projet'!$E$14+1,1))</f>
        <v>446.48069057792151</v>
      </c>
      <c r="DU18" s="62">
        <f t="shared" si="44"/>
        <v>561.75656782935948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3.3521212121212121</v>
      </c>
      <c r="EJ18" s="13">
        <f>IF('Données projet'!$A$192&gt;35,EJ17+EI18-ER17,IF(A18&lt;'Données projet'!$A$192,$EG$205^A18,IF(A18='Données projet'!$A$192,'Données projet'!$B$192,EJ17+EI18-ER17)))</f>
        <v>8.4921038659641557</v>
      </c>
      <c r="EK18" s="18">
        <f>EJ18*VLOOKUP('Données projet'!$B$15,Paramètres!$A$1:$I$89,3,0)*VLOOKUP('Données projet'!$B$15,Paramètres!$A$1:$I$89,5,0)</f>
        <v>8.2135628591605325</v>
      </c>
      <c r="EL18" s="14">
        <f t="shared" si="45"/>
        <v>2.9623213835448805</v>
      </c>
      <c r="EM18" s="22">
        <f t="shared" si="19"/>
        <v>19.464665056045259</v>
      </c>
      <c r="EN18" s="62">
        <f t="shared" si="20"/>
        <v>294.46466505604525</v>
      </c>
      <c r="EO18" s="62">
        <f ca="1">AVERAGE(OFFSET($EN$3,0,0,'Données projet'!$E$15+1,1))-AVERAGE(OFFSET($H$3,0,0,'Données projet'!$E$15+1,1))</f>
        <v>301.18531163828169</v>
      </c>
      <c r="EP18" s="62">
        <f t="shared" si="46"/>
        <v>192.30530273268101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3.3521212121212121</v>
      </c>
      <c r="FE18" s="13">
        <f>IF('Données projet'!$A$218&gt;35,FE17+FD18-FM17,IF(A18&lt;'Données projet'!$A$218,$FB$205^A18,IF(A18='Données projet'!$A$218,'Données projet'!$B$218,FE17+FD18-FM17)))</f>
        <v>8.4921038659641557</v>
      </c>
      <c r="FF18" s="18">
        <f>FE18*VLOOKUP('Données projet'!$B$16,Paramètres!$A$1:$I$89,3,0)*VLOOKUP('Données projet'!$B$16,Paramètres!$A$1:$I$89,5,0)</f>
        <v>6.623841015452042</v>
      </c>
      <c r="FG18" s="14">
        <f t="shared" si="47"/>
        <v>2.4495413357672309</v>
      </c>
      <c r="FH18" s="22">
        <f t="shared" si="22"/>
        <v>15.802807595040235</v>
      </c>
      <c r="FI18" s="62">
        <f t="shared" si="23"/>
        <v>290.80280759504024</v>
      </c>
      <c r="FJ18" s="62">
        <f ca="1">AVERAGE(OFFSET($FI$3,0,0,'Données projet'!$E$16+1,1))-AVERAGE(OFFSET($H$3,0,0,'Données projet'!$E$16+1,1))</f>
        <v>249.2899297828755</v>
      </c>
      <c r="FK18" s="62">
        <f t="shared" si="48"/>
        <v>162.88011837476813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3.3521212121212121</v>
      </c>
      <c r="FZ18" s="13">
        <f>IF('Données projet'!$A$244&gt;35,FZ17+FY18-GH17,IF(A18&lt;'Données projet'!$A$244,$FW$205^A18,IF(A18='Données projet'!$A$244,'Données projet'!$B$244,FZ17+FY18-GH17)))</f>
        <v>8.4921038659641557</v>
      </c>
      <c r="GA18" s="18">
        <f>FZ18*VLOOKUP('Données projet'!$B$17,Paramètres!$A$1:$I$89,3,0)*VLOOKUP('Données projet'!$B$17,Paramètres!$A$1:$I$89,5,0)</f>
        <v>5.6965032732887559</v>
      </c>
      <c r="GB18" s="14">
        <f t="shared" si="49"/>
        <v>2.1439152033932452</v>
      </c>
      <c r="GC18" s="22">
        <f t="shared" si="25"/>
        <v>13.655395513554486</v>
      </c>
      <c r="GD18" s="62">
        <f t="shared" si="26"/>
        <v>288.65539551355448</v>
      </c>
      <c r="GE18" s="62">
        <f ca="1">AVERAGE(OFFSET($GD$3,0,0,'Données projet'!$E$17+1,1))-AVERAGE(OFFSET($H$3,0,0,'Données projet'!$E$17+1,1))</f>
        <v>218.89895999738746</v>
      </c>
      <c r="GF18" s="62">
        <f t="shared" si="50"/>
        <v>145.64042897395763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3.3521212121212121</v>
      </c>
      <c r="GU18" s="13">
        <f>IF('Données projet'!$A$270&gt;35,GU17+GT18-HC17,IF(A18&lt;'Données projet'!$A$270,$GR$205^A18,IF(A18='Données projet'!$A$270,'Données projet'!$B$270,GU17+GT18-HC17)))</f>
        <v>8.4921038659641557</v>
      </c>
      <c r="GV18" s="18">
        <f>GU18*VLOOKUP('Données projet'!$B$18,Paramètres!$A$1:$I$89,3,0)*VLOOKUP('Données projet'!$B$18,Paramètres!$A$1:$I$89,5,0)</f>
        <v>9.1409006013238159</v>
      </c>
      <c r="GW18" s="14">
        <f t="shared" si="51"/>
        <v>3.2559815348377263</v>
      </c>
      <c r="GX18" s="22">
        <f t="shared" si="28"/>
        <v>21.591236387148019</v>
      </c>
      <c r="GY18" s="62">
        <f t="shared" si="29"/>
        <v>296.591236387148</v>
      </c>
      <c r="GZ18" s="62">
        <f ca="1">AVERAGE(OFFSET($GY$3,0,0,'Données projet'!$E$18+1,1))-AVERAGE(OFFSET($H$3,0,0,'Données projet'!$E$18+1,1))</f>
        <v>331.3579800635751</v>
      </c>
      <c r="HA18" s="62">
        <f t="shared" si="52"/>
        <v>209.40702003535273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6.166060606060606</v>
      </c>
      <c r="N19" s="14">
        <f>IF('Données projet'!$A$36&gt;35,N18+M19-V18,IF(A19&lt;'Données projet'!$A$36,$K$205^A19,IF(A19='Données projet'!$A$36,'Données projet'!$B$36,N18+M19-V18)))</f>
        <v>13.16082949083807</v>
      </c>
      <c r="O19" s="14">
        <f>N19*VLOOKUP('Données projet'!$B$9,Paramètres!$A$1:$I$89,3,0)*VLOOKUP('Données projet'!$B$9,Paramètres!$A$1:$I$89,5,0)</f>
        <v>11.907918523310286</v>
      </c>
      <c r="P19" s="14">
        <f t="shared" si="33"/>
        <v>4.1130181488601609</v>
      </c>
      <c r="Q19" s="22">
        <f t="shared" si="2"/>
        <v>27.903131370696858</v>
      </c>
      <c r="R19" s="62">
        <f t="shared" si="0"/>
        <v>304.12535359291911</v>
      </c>
      <c r="S19" s="62">
        <f ca="1">AVERAGE(OFFSET($R$3,0,0,'Données projet'!$E$9+1,1))-AVERAGE(OFFSET($H$3,0,0,'Données projet'!$E$9+1,1))</f>
        <v>2472.5049373954762</v>
      </c>
      <c r="T19" s="62">
        <f t="shared" si="34"/>
        <v>286.98388307318311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6.166060606060606</v>
      </c>
      <c r="AI19" s="14">
        <f>IF('Données projet'!$A$62&gt;35,AI18+AH19-AQ18,IF(A19&lt;'Données projet'!$A$62,$AF$205^A19,IF(A19='Données projet'!$A$62,'Données projet'!$B$62,AI18+AH19-AQ18)))</f>
        <v>13.16082949083807</v>
      </c>
      <c r="AJ19" s="14">
        <f>AI19*VLOOKUP('Données projet'!$B$10,Paramètres!$A$1:$I$89,3,0)*VLOOKUP('Données projet'!$B$10,Paramètres!$A$1:$I$89,5,0)</f>
        <v>13.345081103709804</v>
      </c>
      <c r="AK19" s="14">
        <f t="shared" si="35"/>
        <v>4.5486853145761978</v>
      </c>
      <c r="AL19" s="22">
        <f t="shared" si="4"/>
        <v>31.164976511848121</v>
      </c>
      <c r="AM19" s="62">
        <f t="shared" si="5"/>
        <v>307.38719873407035</v>
      </c>
      <c r="AN19" s="62">
        <f ca="1">AVERAGE(OFFSET($AM$3,0,0,'Données projet'!$E$10+1,1))-AVERAGE(OFFSET($H$3,0,0,'Données projet'!$E$10+1,1))</f>
        <v>2761.1400657295467</v>
      </c>
      <c r="AO19" s="62">
        <f t="shared" si="36"/>
        <v>316.41877504316409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6.166060606060606</v>
      </c>
      <c r="BD19" s="13">
        <f>IF('Données projet'!$A$88&gt;35,BD18+BC19-BL18,IF(A19&lt;'Données projet'!$A$88,$BA$205^A19,IF(A19='Données projet'!$A$88,'Données projet'!$B$88,BD18+BC19-BL18)))</f>
        <v>13.16082949083807</v>
      </c>
      <c r="BE19" s="14">
        <f>BD19*VLOOKUP('Données projet'!$B$11,Paramètres!$A$1:$I$89,3,0)*VLOOKUP('Données projet'!$B$11,Paramètres!$A$1:$I$89,5,0)</f>
        <v>13.755698983823951</v>
      </c>
      <c r="BF19" s="14">
        <f t="shared" si="37"/>
        <v>4.6721346052859261</v>
      </c>
      <c r="BG19" s="22">
        <f t="shared" si="7"/>
        <v>32.095143501033029</v>
      </c>
      <c r="BH19" s="62">
        <f t="shared" si="8"/>
        <v>308.31736572325525</v>
      </c>
      <c r="BI19" s="62">
        <f ca="1">AVERAGE(OFFSET($BH$3,0,0,'Données projet'!$E$11+1,1))-AVERAGE(OFFSET($H$3,0,0,'Données projet'!$E$11+1,1))</f>
        <v>2843.5086223152098</v>
      </c>
      <c r="BJ19" s="62">
        <f t="shared" si="38"/>
        <v>324.81562437645522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6.166060606060606</v>
      </c>
      <c r="BY19" s="13">
        <f>IF('Données projet'!$A$114&gt;35,BY18+BX19-CG18,IF(A19&lt;'Données projet'!$A$114,$BV$205^A19,IF(A19='Données projet'!$A$114,'Données projet'!$B$114,BY18+BX19-CG18)))</f>
        <v>13.16082949083807</v>
      </c>
      <c r="BZ19" s="14">
        <f>BY19*VLOOKUP('Données projet'!$B$12,Paramètres!$A$1:$I$89,3,0)*VLOOKUP('Données projet'!$B$12,Paramètres!$A$1:$I$89,5,0)</f>
        <v>13.139772163652731</v>
      </c>
      <c r="CA19" s="14">
        <f t="shared" si="39"/>
        <v>4.486795501301577</v>
      </c>
      <c r="CB19" s="22">
        <f t="shared" si="10"/>
        <v>30.699605349795419</v>
      </c>
      <c r="CC19" s="62">
        <f t="shared" si="11"/>
        <v>306.92182757201766</v>
      </c>
      <c r="CD19" s="62">
        <f ca="1">AVERAGE(OFFSET($CC$3,0,0,'Données projet'!$E$12+1,1))-AVERAGE(OFFSET($H$3,0,0,'Données projet'!$E$12+1,1))</f>
        <v>2719.939926994799</v>
      </c>
      <c r="CE19" s="62">
        <f t="shared" si="40"/>
        <v>312.21824046329749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8.1527272727272742</v>
      </c>
      <c r="CT19" s="13">
        <f>IF('Données projet'!$A$140&gt;35,CT18+CS19-DB18,IF(A19&lt;'Données projet'!$A$140,$CQ$205^A19,IF(A19='Données projet'!$A$140,'Données projet'!$B$140,CT18+CS19-DB18)))</f>
        <v>15.069297965261784</v>
      </c>
      <c r="CU19" s="18">
        <f>CT19*VLOOKUP('Données projet'!$B$13,Paramètres!$A$1:$I$89,3,0)*VLOOKUP('Données projet'!$B$13,Paramètres!$A$1:$I$89,5,0)</f>
        <v>13.164538702452697</v>
      </c>
      <c r="CV19" s="14">
        <f t="shared" si="41"/>
        <v>4.4942672430783057</v>
      </c>
      <c r="CW19" s="22">
        <f t="shared" si="13"/>
        <v>30.755753688466495</v>
      </c>
      <c r="CX19" s="62">
        <f t="shared" si="14"/>
        <v>306.97797591068871</v>
      </c>
      <c r="CY19" s="62">
        <f ca="1">AVERAGE(OFFSET($CX$3,0,0,'Données projet'!$E$13+1,1))-AVERAGE(OFFSET($H$3,0,0,'Données projet'!$E$13+1,1))</f>
        <v>1036.0130072090849</v>
      </c>
      <c r="CZ19" s="62">
        <f t="shared" si="42"/>
        <v>346.56593355696174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12.48</v>
      </c>
      <c r="DO19" s="13">
        <f>IF('Données projet'!$A$166&gt;35,DO18+DN19-DW18,IF(A19&lt;'Données projet'!$A$166,$DL$205^A19,IF(A19='Données projet'!$A$166,'Données projet'!$B$166,DO18+DN19-DW18)))</f>
        <v>39.469256018167052</v>
      </c>
      <c r="DP19" s="18">
        <f>DO19*VLOOKUP('Données projet'!$B$14,Paramètres!$A$1:$I$89,3,0)*VLOOKUP('Données projet'!$B$14,Paramètres!$A$1:$I$89,5,0)</f>
        <v>22.063314114155386</v>
      </c>
      <c r="DQ19" s="14">
        <f t="shared" si="43"/>
        <v>7.0928297875641455</v>
      </c>
      <c r="DR19" s="22">
        <f t="shared" si="16"/>
        <v>50.780283962161519</v>
      </c>
      <c r="DS19" s="62">
        <f t="shared" si="17"/>
        <v>327.00250618438372</v>
      </c>
      <c r="DT19" s="62">
        <f ca="1">AVERAGE(OFFSET($DS$3,0,0,'Données projet'!$E$14+1,1))-AVERAGE(OFFSET($H$3,0,0,'Données projet'!$E$14+1,1))</f>
        <v>446.48069057792151</v>
      </c>
      <c r="DU19" s="62">
        <f t="shared" si="44"/>
        <v>561.75656782935948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3.3521212121212121</v>
      </c>
      <c r="EJ19" s="13">
        <f>IF('Données projet'!$A$192&gt;35,EJ18+EI19-ER18,IF(A19&lt;'Données projet'!$A$192,$EG$205^A19,IF(A19='Données projet'!$A$192,'Données projet'!$B$192,EJ18+EI19-ER18)))</f>
        <v>9.7937643576575653</v>
      </c>
      <c r="EK19" s="18">
        <f>EJ19*VLOOKUP('Données projet'!$B$15,Paramètres!$A$1:$I$89,3,0)*VLOOKUP('Données projet'!$B$15,Paramètres!$A$1:$I$89,5,0)</f>
        <v>9.4725288867263977</v>
      </c>
      <c r="EL19" s="14">
        <f t="shared" si="45"/>
        <v>3.3601399641918688</v>
      </c>
      <c r="EM19" s="22">
        <f t="shared" si="19"/>
        <v>22.350231582015983</v>
      </c>
      <c r="EN19" s="62">
        <f t="shared" si="20"/>
        <v>298.57245380423819</v>
      </c>
      <c r="EO19" s="62">
        <f ca="1">AVERAGE(OFFSET($EN$3,0,0,'Données projet'!$E$15+1,1))-AVERAGE(OFFSET($H$3,0,0,'Données projet'!$E$15+1,1))</f>
        <v>301.18531163828169</v>
      </c>
      <c r="EP19" s="62">
        <f t="shared" si="46"/>
        <v>192.30530273268101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3.3521212121212121</v>
      </c>
      <c r="FE19" s="13">
        <f>IF('Données projet'!$A$218&gt;35,FE18+FD19-FM18,IF(A19&lt;'Données projet'!$A$218,$FB$205^A19,IF(A19='Données projet'!$A$218,'Données projet'!$B$218,FE18+FD19-FM18)))</f>
        <v>9.7937643576575653</v>
      </c>
      <c r="FF19" s="18">
        <f>FE19*VLOOKUP('Données projet'!$B$16,Paramètres!$A$1:$I$89,3,0)*VLOOKUP('Données projet'!$B$16,Paramètres!$A$1:$I$89,5,0)</f>
        <v>7.639136198972901</v>
      </c>
      <c r="FG19" s="14">
        <f t="shared" si="47"/>
        <v>2.778497222472859</v>
      </c>
      <c r="FH19" s="22">
        <f t="shared" si="22"/>
        <v>18.144044875684699</v>
      </c>
      <c r="FI19" s="62">
        <f t="shared" si="23"/>
        <v>294.36626709790693</v>
      </c>
      <c r="FJ19" s="62">
        <f ca="1">AVERAGE(OFFSET($FI$3,0,0,'Données projet'!$E$16+1,1))-AVERAGE(OFFSET($H$3,0,0,'Données projet'!$E$16+1,1))</f>
        <v>249.2899297828755</v>
      </c>
      <c r="FK19" s="62">
        <f t="shared" si="48"/>
        <v>162.88011837476813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3.3521212121212121</v>
      </c>
      <c r="FZ19" s="13">
        <f>IF('Données projet'!$A$244&gt;35,FZ18+FY19-GH18,IF(A19&lt;'Données projet'!$A$244,$FW$205^A19,IF(A19='Données projet'!$A$244,'Données projet'!$B$244,FZ18+FY19-GH18)))</f>
        <v>9.7937643576575653</v>
      </c>
      <c r="GA19" s="18">
        <f>FZ19*VLOOKUP('Données projet'!$B$17,Paramètres!$A$1:$I$89,3,0)*VLOOKUP('Données projet'!$B$17,Paramètres!$A$1:$I$89,5,0)</f>
        <v>6.5696571311166947</v>
      </c>
      <c r="GB19" s="14">
        <f t="shared" si="49"/>
        <v>2.4318276858062053</v>
      </c>
      <c r="GC19" s="22">
        <f t="shared" si="25"/>
        <v>15.677586056140717</v>
      </c>
      <c r="GD19" s="62">
        <f t="shared" si="26"/>
        <v>291.89980827836297</v>
      </c>
      <c r="GE19" s="62">
        <f ca="1">AVERAGE(OFFSET($GD$3,0,0,'Données projet'!$E$17+1,1))-AVERAGE(OFFSET($H$3,0,0,'Données projet'!$E$17+1,1))</f>
        <v>218.89895999738746</v>
      </c>
      <c r="GF19" s="62">
        <f t="shared" si="50"/>
        <v>145.64042897395763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3.3521212121212121</v>
      </c>
      <c r="GU19" s="13">
        <f>IF('Données projet'!$A$270&gt;35,GU18+GT19-HC18,IF(A19&lt;'Données projet'!$A$270,$GR$205^A19,IF(A19='Données projet'!$A$270,'Données projet'!$B$270,GU18+GT19-HC18)))</f>
        <v>9.7937643576575653</v>
      </c>
      <c r="GV19" s="18">
        <f>GU19*VLOOKUP('Données projet'!$B$18,Paramètres!$A$1:$I$89,3,0)*VLOOKUP('Données projet'!$B$18,Paramètres!$A$1:$I$89,5,0)</f>
        <v>10.542007954582603</v>
      </c>
      <c r="GW19" s="14">
        <f t="shared" si="51"/>
        <v>3.6932365740772348</v>
      </c>
      <c r="GX19" s="22">
        <f t="shared" si="28"/>
        <v>24.793050887415884</v>
      </c>
      <c r="GY19" s="62">
        <f t="shared" si="29"/>
        <v>301.01527310963809</v>
      </c>
      <c r="GZ19" s="62">
        <f ca="1">AVERAGE(OFFSET($GY$3,0,0,'Données projet'!$E$18+1,1))-AVERAGE(OFFSET($H$3,0,0,'Données projet'!$E$18+1,1))</f>
        <v>331.3579800635751</v>
      </c>
      <c r="HA19" s="62">
        <f t="shared" si="52"/>
        <v>209.40702003535273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6.166060606060606</v>
      </c>
      <c r="N20" s="14">
        <f>IF('Données projet'!$A$36&gt;35,N19+M20-V19,IF(A20&lt;'Données projet'!$A$36,$K$205^A20,IF(A20='Données projet'!$A$36,'Données projet'!$B$36,N19+M20-V19)))</f>
        <v>15.461031551366339</v>
      </c>
      <c r="O20" s="14">
        <f>N20*VLOOKUP('Données projet'!$B$9,Paramètres!$A$1:$I$89,3,0)*VLOOKUP('Données projet'!$B$9,Paramètres!$A$1:$I$89,5,0)</f>
        <v>13.989141347676263</v>
      </c>
      <c r="P20" s="14">
        <f t="shared" si="33"/>
        <v>4.7421255072387032</v>
      </c>
      <c r="Q20" s="22">
        <f t="shared" si="2"/>
        <v>32.623623105643567</v>
      </c>
      <c r="R20" s="62">
        <f t="shared" si="0"/>
        <v>310.06806755008802</v>
      </c>
      <c r="S20" s="62">
        <f ca="1">AVERAGE(OFFSET($R$3,0,0,'Données projet'!$E$9+1,1))-AVERAGE(OFFSET($H$3,0,0,'Données projet'!$E$9+1,1))</f>
        <v>2472.5049373954762</v>
      </c>
      <c r="T20" s="62">
        <f t="shared" si="34"/>
        <v>286.98388307318311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6.166060606060606</v>
      </c>
      <c r="AI20" s="14">
        <f>IF('Données projet'!$A$62&gt;35,AI19+AH20-AQ19,IF(A20&lt;'Données projet'!$A$62,$AF$205^A20,IF(A20='Données projet'!$A$62,'Données projet'!$B$62,AI19+AH20-AQ19)))</f>
        <v>15.461031551366339</v>
      </c>
      <c r="AJ20" s="14">
        <f>AI20*VLOOKUP('Données projet'!$B$10,Paramètres!$A$1:$I$89,3,0)*VLOOKUP('Données projet'!$B$10,Paramètres!$A$1:$I$89,5,0)</f>
        <v>15.677485993085471</v>
      </c>
      <c r="AK20" s="14">
        <f t="shared" si="35"/>
        <v>5.244430214982569</v>
      </c>
      <c r="AL20" s="22">
        <f t="shared" si="4"/>
        <v>36.439004062385166</v>
      </c>
      <c r="AM20" s="62">
        <f t="shared" si="5"/>
        <v>313.88344850682961</v>
      </c>
      <c r="AN20" s="62">
        <f ca="1">AVERAGE(OFFSET($AM$3,0,0,'Données projet'!$E$10+1,1))-AVERAGE(OFFSET($H$3,0,0,'Données projet'!$E$10+1,1))</f>
        <v>2761.1400657295467</v>
      </c>
      <c r="AO20" s="62">
        <f t="shared" si="36"/>
        <v>316.41877504316409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6.166060606060606</v>
      </c>
      <c r="BD20" s="13">
        <f>IF('Données projet'!$A$88&gt;35,BD19+BC20-BL19,IF(A20&lt;'Données projet'!$A$88,$BA$205^A20,IF(A20='Données projet'!$A$88,'Données projet'!$B$88,BD19+BC20-BL19)))</f>
        <v>15.461031551366339</v>
      </c>
      <c r="BE20" s="14">
        <f>BD20*VLOOKUP('Données projet'!$B$11,Paramètres!$A$1:$I$89,3,0)*VLOOKUP('Données projet'!$B$11,Paramètres!$A$1:$I$89,5,0)</f>
        <v>16.159870177488099</v>
      </c>
      <c r="BF20" s="14">
        <f t="shared" si="37"/>
        <v>5.3867617119849251</v>
      </c>
      <c r="BG20" s="22">
        <f t="shared" si="7"/>
        <v>37.527050540832185</v>
      </c>
      <c r="BH20" s="62">
        <f t="shared" si="8"/>
        <v>314.97149498527665</v>
      </c>
      <c r="BI20" s="62">
        <f ca="1">AVERAGE(OFFSET($BH$3,0,0,'Données projet'!$E$11+1,1))-AVERAGE(OFFSET($H$3,0,0,'Données projet'!$E$11+1,1))</f>
        <v>2843.5086223152098</v>
      </c>
      <c r="BJ20" s="62">
        <f t="shared" si="38"/>
        <v>324.81562437645522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6.166060606060606</v>
      </c>
      <c r="BY20" s="13">
        <f>IF('Données projet'!$A$114&gt;35,BY19+BX20-CG19,IF(A20&lt;'Données projet'!$A$114,$BV$205^A20,IF(A20='Données projet'!$A$114,'Données projet'!$B$114,BY19+BX20-CG19)))</f>
        <v>15.461031551366339</v>
      </c>
      <c r="BZ20" s="14">
        <f>BY20*VLOOKUP('Données projet'!$B$12,Paramètres!$A$1:$I$89,3,0)*VLOOKUP('Données projet'!$B$12,Paramètres!$A$1:$I$89,5,0)</f>
        <v>15.436293900884154</v>
      </c>
      <c r="CA20" s="14">
        <f t="shared" si="39"/>
        <v>5.1730740352756657</v>
      </c>
      <c r="CB20" s="22">
        <f t="shared" si="10"/>
        <v>35.894649155478348</v>
      </c>
      <c r="CC20" s="62">
        <f t="shared" si="11"/>
        <v>313.33909359992282</v>
      </c>
      <c r="CD20" s="62">
        <f ca="1">AVERAGE(OFFSET($CC$3,0,0,'Données projet'!$E$12+1,1))-AVERAGE(OFFSET($H$3,0,0,'Données projet'!$E$12+1,1))</f>
        <v>2719.939926994799</v>
      </c>
      <c r="CE20" s="62">
        <f t="shared" si="40"/>
        <v>312.21824046329749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8.1527272727272742</v>
      </c>
      <c r="CT20" s="13">
        <f>IF('Données projet'!$A$140&gt;35,CT19+CS20-DB19,IF(A20&lt;'Données projet'!$A$140,$CQ$205^A20,IF(A20='Données projet'!$A$140,'Données projet'!$B$140,CT19+CS20-DB19)))</f>
        <v>17.853519163281472</v>
      </c>
      <c r="CU20" s="18">
        <f>CT20*VLOOKUP('Données projet'!$B$13,Paramètres!$A$1:$I$89,3,0)*VLOOKUP('Données projet'!$B$13,Paramètres!$A$1:$I$89,5,0)</f>
        <v>15.596834341042696</v>
      </c>
      <c r="CV20" s="14">
        <f t="shared" si="41"/>
        <v>5.2205839083219834</v>
      </c>
      <c r="CW20" s="22">
        <f t="shared" si="13"/>
        <v>36.257003450976811</v>
      </c>
      <c r="CX20" s="62">
        <f t="shared" si="14"/>
        <v>313.70144789542127</v>
      </c>
      <c r="CY20" s="62">
        <f ca="1">AVERAGE(OFFSET($CX$3,0,0,'Données projet'!$E$13+1,1))-AVERAGE(OFFSET($H$3,0,0,'Données projet'!$E$13+1,1))</f>
        <v>1036.0130072090849</v>
      </c>
      <c r="CZ20" s="62">
        <f t="shared" si="42"/>
        <v>346.56593355696174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12.48</v>
      </c>
      <c r="DO20" s="13">
        <f>IF('Données projet'!$A$166&gt;35,DO19+DN20-DW19,IF(A20&lt;'Données projet'!$A$166,$DL$205^A20,IF(A20='Données projet'!$A$166,'Données projet'!$B$166,DO19+DN20-DW19)))</f>
        <v>49.662105014340042</v>
      </c>
      <c r="DP20" s="18">
        <f>DO20*VLOOKUP('Données projet'!$B$14,Paramètres!$A$1:$I$89,3,0)*VLOOKUP('Données projet'!$B$14,Paramètres!$A$1:$I$89,5,0)</f>
        <v>27.761116703016086</v>
      </c>
      <c r="DQ20" s="14">
        <f t="shared" si="43"/>
        <v>8.6890628347577437</v>
      </c>
      <c r="DR20" s="22">
        <f t="shared" si="16"/>
        <v>63.484062694956087</v>
      </c>
      <c r="DS20" s="62">
        <f t="shared" si="17"/>
        <v>340.92850713940055</v>
      </c>
      <c r="DT20" s="62">
        <f ca="1">AVERAGE(OFFSET($DS$3,0,0,'Données projet'!$E$14+1,1))-AVERAGE(OFFSET($H$3,0,0,'Données projet'!$E$14+1,1))</f>
        <v>446.48069057792151</v>
      </c>
      <c r="DU20" s="62">
        <f t="shared" si="44"/>
        <v>561.75656782935948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3.3521212121212121</v>
      </c>
      <c r="EJ20" s="13">
        <f>IF('Données projet'!$A$192&gt;35,EJ19+EI20-ER19,IF(A20&lt;'Données projet'!$A$192,$EG$205^A20,IF(A20='Données projet'!$A$192,'Données projet'!$B$192,EJ19+EI20-ER19)))</f>
        <v>11.294941961055914</v>
      </c>
      <c r="EK20" s="18">
        <f>EJ20*VLOOKUP('Données projet'!$B$15,Paramètres!$A$1:$I$89,3,0)*VLOOKUP('Données projet'!$B$15,Paramètres!$A$1:$I$89,5,0)</f>
        <v>10.92446786473328</v>
      </c>
      <c r="EL20" s="14">
        <f t="shared" si="45"/>
        <v>3.8113827357409957</v>
      </c>
      <c r="EM20" s="22">
        <f t="shared" si="19"/>
        <v>25.664939795826029</v>
      </c>
      <c r="EN20" s="62">
        <f t="shared" si="20"/>
        <v>303.10938424027051</v>
      </c>
      <c r="EO20" s="62">
        <f ca="1">AVERAGE(OFFSET($EN$3,0,0,'Données projet'!$E$15+1,1))-AVERAGE(OFFSET($H$3,0,0,'Données projet'!$E$15+1,1))</f>
        <v>301.18531163828169</v>
      </c>
      <c r="EP20" s="62">
        <f t="shared" si="46"/>
        <v>192.30530273268101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3.3521212121212121</v>
      </c>
      <c r="FE20" s="13">
        <f>IF('Données projet'!$A$218&gt;35,FE19+FD20-FM19,IF(A20&lt;'Données projet'!$A$218,$FB$205^A20,IF(A20='Données projet'!$A$218,'Données projet'!$B$218,FE19+FD20-FM19)))</f>
        <v>11.294941961055914</v>
      </c>
      <c r="FF20" s="18">
        <f>FE20*VLOOKUP('Données projet'!$B$16,Paramètres!$A$1:$I$89,3,0)*VLOOKUP('Données projet'!$B$16,Paramètres!$A$1:$I$89,5,0)</f>
        <v>8.8100547296236122</v>
      </c>
      <c r="FG20" s="14">
        <f t="shared" si="47"/>
        <v>3.1516295326656993</v>
      </c>
      <c r="FH20" s="22">
        <f t="shared" si="22"/>
        <v>20.833266756820549</v>
      </c>
      <c r="FI20" s="62">
        <f t="shared" si="23"/>
        <v>298.27771120126499</v>
      </c>
      <c r="FJ20" s="62">
        <f ca="1">AVERAGE(OFFSET($FI$3,0,0,'Données projet'!$E$16+1,1))-AVERAGE(OFFSET($H$3,0,0,'Données projet'!$E$16+1,1))</f>
        <v>249.2899297828755</v>
      </c>
      <c r="FK20" s="62">
        <f t="shared" si="48"/>
        <v>162.88011837476813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3.3521212121212121</v>
      </c>
      <c r="FZ20" s="13">
        <f>IF('Données projet'!$A$244&gt;35,FZ19+FY20-GH19,IF(A20&lt;'Données projet'!$A$244,$FW$205^A20,IF(A20='Données projet'!$A$244,'Données projet'!$B$244,FZ19+FY20-GH19)))</f>
        <v>11.294941961055914</v>
      </c>
      <c r="GA20" s="18">
        <f>FZ20*VLOOKUP('Données projet'!$B$17,Paramètres!$A$1:$I$89,3,0)*VLOOKUP('Données projet'!$B$17,Paramètres!$A$1:$I$89,5,0)</f>
        <v>7.5766470674763067</v>
      </c>
      <c r="GB20" s="14">
        <f t="shared" si="49"/>
        <v>2.7584047559780447</v>
      </c>
      <c r="GC20" s="22">
        <f t="shared" si="25"/>
        <v>18.000215259182994</v>
      </c>
      <c r="GD20" s="62">
        <f t="shared" si="26"/>
        <v>295.44465970362745</v>
      </c>
      <c r="GE20" s="62">
        <f ca="1">AVERAGE(OFFSET($GD$3,0,0,'Données projet'!$E$17+1,1))-AVERAGE(OFFSET($H$3,0,0,'Données projet'!$E$17+1,1))</f>
        <v>218.89895999738746</v>
      </c>
      <c r="GF20" s="62">
        <f t="shared" si="50"/>
        <v>145.64042897395763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3.3521212121212121</v>
      </c>
      <c r="GU20" s="13">
        <f>IF('Données projet'!$A$270&gt;35,GU19+GT20-HC19,IF(A20&lt;'Données projet'!$A$270,$GR$205^A20,IF(A20='Données projet'!$A$270,'Données projet'!$B$270,GU19+GT20-HC19)))</f>
        <v>11.294941961055914</v>
      </c>
      <c r="GV20" s="18">
        <f>GU20*VLOOKUP('Données projet'!$B$18,Paramètres!$A$1:$I$89,3,0)*VLOOKUP('Données projet'!$B$18,Paramètres!$A$1:$I$89,5,0)</f>
        <v>12.157875526880584</v>
      </c>
      <c r="GW20" s="14">
        <f t="shared" si="51"/>
        <v>4.1892118386296504</v>
      </c>
      <c r="GX20" s="22">
        <f t="shared" si="28"/>
        <v>28.471177161596987</v>
      </c>
      <c r="GY20" s="62">
        <f t="shared" si="29"/>
        <v>305.91562160604144</v>
      </c>
      <c r="GZ20" s="62">
        <f ca="1">AVERAGE(OFFSET($GY$3,0,0,'Données projet'!$E$18+1,1))-AVERAGE(OFFSET($H$3,0,0,'Données projet'!$E$18+1,1))</f>
        <v>331.3579800635751</v>
      </c>
      <c r="HA20" s="62">
        <f t="shared" si="52"/>
        <v>209.40702003535273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6.166060606060606</v>
      </c>
      <c r="N21" s="14">
        <f>IF('Données projet'!$A$36&gt;35,N20+M21-V20,IF(A21&lt;'Données projet'!$A$36,$K$205^A21,IF(A21='Données projet'!$A$36,'Données projet'!$B$36,N20+M21-V20)))</f>
        <v>18.163254588075613</v>
      </c>
      <c r="O21" s="14">
        <f>N21*VLOOKUP('Données projet'!$B$9,Paramètres!$A$1:$I$89,3,0)*VLOOKUP('Données projet'!$B$9,Paramètres!$A$1:$I$89,5,0)</f>
        <v>16.434112751290812</v>
      </c>
      <c r="P21" s="14">
        <f t="shared" si="33"/>
        <v>5.4674580837033169</v>
      </c>
      <c r="Q21" s="22">
        <f t="shared" si="2"/>
        <v>38.145235870948106</v>
      </c>
      <c r="R21" s="62">
        <f t="shared" si="0"/>
        <v>316.8119025376148</v>
      </c>
      <c r="S21" s="62">
        <f ca="1">AVERAGE(OFFSET($R$3,0,0,'Données projet'!$E$9+1,1))-AVERAGE(OFFSET($H$3,0,0,'Données projet'!$E$9+1,1))</f>
        <v>2472.5049373954762</v>
      </c>
      <c r="T21" s="62">
        <f t="shared" si="34"/>
        <v>286.98388307318311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6.166060606060606</v>
      </c>
      <c r="AI21" s="14">
        <f>IF('Données projet'!$A$62&gt;35,AI20+AH21-AQ20,IF(A21&lt;'Données projet'!$A$62,$AF$205^A21,IF(A21='Données projet'!$A$62,'Données projet'!$B$62,AI20+AH21-AQ20)))</f>
        <v>18.163254588075613</v>
      </c>
      <c r="AJ21" s="14">
        <f>AI21*VLOOKUP('Données projet'!$B$10,Paramètres!$A$1:$I$89,3,0)*VLOOKUP('Données projet'!$B$10,Paramètres!$A$1:$I$89,5,0)</f>
        <v>18.417540152308675</v>
      </c>
      <c r="AK21" s="14">
        <f t="shared" si="35"/>
        <v>6.0465928895291556</v>
      </c>
      <c r="AL21" s="22">
        <f t="shared" si="4"/>
        <v>42.608365047867551</v>
      </c>
      <c r="AM21" s="62">
        <f t="shared" si="5"/>
        <v>321.27503171453424</v>
      </c>
      <c r="AN21" s="62">
        <f ca="1">AVERAGE(OFFSET($AM$3,0,0,'Données projet'!$E$10+1,1))-AVERAGE(OFFSET($H$3,0,0,'Données projet'!$E$10+1,1))</f>
        <v>2761.1400657295467</v>
      </c>
      <c r="AO21" s="62">
        <f t="shared" si="36"/>
        <v>316.41877504316409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6.166060606060606</v>
      </c>
      <c r="BD21" s="13">
        <f>IF('Données projet'!$A$88&gt;35,BD20+BC21-BL20,IF(A21&lt;'Données projet'!$A$88,$BA$205^A21,IF(A21='Données projet'!$A$88,'Données projet'!$B$88,BD20+BC21-BL20)))</f>
        <v>18.163254588075613</v>
      </c>
      <c r="BE21" s="14">
        <f>BD21*VLOOKUP('Données projet'!$B$11,Paramètres!$A$1:$I$89,3,0)*VLOOKUP('Données projet'!$B$11,Paramètres!$A$1:$I$89,5,0)</f>
        <v>18.984233695456634</v>
      </c>
      <c r="BF21" s="14">
        <f t="shared" si="37"/>
        <v>6.2106947237516428</v>
      </c>
      <c r="BG21" s="22">
        <f t="shared" si="7"/>
        <v>43.881166996787748</v>
      </c>
      <c r="BH21" s="62">
        <f t="shared" si="8"/>
        <v>322.54783366345441</v>
      </c>
      <c r="BI21" s="62">
        <f ca="1">AVERAGE(OFFSET($BH$3,0,0,'Données projet'!$E$11+1,1))-AVERAGE(OFFSET($H$3,0,0,'Données projet'!$E$11+1,1))</f>
        <v>2843.5086223152098</v>
      </c>
      <c r="BJ21" s="62">
        <f t="shared" si="38"/>
        <v>324.81562437645522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6.166060606060606</v>
      </c>
      <c r="BY21" s="13">
        <f>IF('Données projet'!$A$114&gt;35,BY20+BX21-CG20,IF(A21&lt;'Données projet'!$A$114,$BV$205^A21,IF(A21='Données projet'!$A$114,'Données projet'!$B$114,BY20+BX21-CG20)))</f>
        <v>18.163254588075613</v>
      </c>
      <c r="BZ21" s="14">
        <f>BY21*VLOOKUP('Données projet'!$B$12,Paramètres!$A$1:$I$89,3,0)*VLOOKUP('Données projet'!$B$12,Paramètres!$A$1:$I$89,5,0)</f>
        <v>18.134193380734693</v>
      </c>
      <c r="CA21" s="14">
        <f t="shared" si="39"/>
        <v>5.964322413776209</v>
      </c>
      <c r="CB21" s="22">
        <f t="shared" si="10"/>
        <v>41.971581675439815</v>
      </c>
      <c r="CC21" s="62">
        <f t="shared" si="11"/>
        <v>320.63824834210652</v>
      </c>
      <c r="CD21" s="62">
        <f ca="1">AVERAGE(OFFSET($CC$3,0,0,'Données projet'!$E$12+1,1))-AVERAGE(OFFSET($H$3,0,0,'Données projet'!$E$12+1,1))</f>
        <v>2719.939926994799</v>
      </c>
      <c r="CE21" s="62">
        <f t="shared" si="40"/>
        <v>312.21824046329749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8.1527272727272742</v>
      </c>
      <c r="CT21" s="13">
        <f>IF('Données projet'!$A$140&gt;35,CT20+CS21-DB20,IF(A21&lt;'Données projet'!$A$140,$CQ$205^A21,IF(A21='Données projet'!$A$140,'Données projet'!$B$140,CT20+CS21-DB20)))</f>
        <v>21.152156341220866</v>
      </c>
      <c r="CU21" s="18">
        <f>CT21*VLOOKUP('Données projet'!$B$13,Paramètres!$A$1:$I$89,3,0)*VLOOKUP('Données projet'!$B$13,Paramètres!$A$1:$I$89,5,0)</f>
        <v>18.478523779690551</v>
      </c>
      <c r="CV21" s="14">
        <f t="shared" si="41"/>
        <v>6.0642803086099377</v>
      </c>
      <c r="CW21" s="22">
        <f t="shared" si="13"/>
        <v>42.745383787123352</v>
      </c>
      <c r="CX21" s="62">
        <f t="shared" si="14"/>
        <v>321.41205045379002</v>
      </c>
      <c r="CY21" s="62">
        <f ca="1">AVERAGE(OFFSET($CX$3,0,0,'Données projet'!$E$13+1,1))-AVERAGE(OFFSET($H$3,0,0,'Données projet'!$E$13+1,1))</f>
        <v>1036.0130072090849</v>
      </c>
      <c r="CZ21" s="62">
        <f t="shared" si="42"/>
        <v>346.56593355696174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12.48</v>
      </c>
      <c r="DO21" s="13">
        <f>IF('Données projet'!$A$166&gt;35,DO20+DN21-DW20,IF(A21&lt;'Données projet'!$A$166,$DL$205^A21,IF(A21='Données projet'!$A$166,'Données projet'!$B$166,DO20+DN21-DW20)))</f>
        <v>62.487234958777265</v>
      </c>
      <c r="DP21" s="18">
        <f>DO21*VLOOKUP('Données projet'!$B$14,Paramètres!$A$1:$I$89,3,0)*VLOOKUP('Données projet'!$B$14,Paramètres!$A$1:$I$89,5,0)</f>
        <v>34.930364341956491</v>
      </c>
      <c r="DQ21" s="14">
        <f t="shared" si="43"/>
        <v>10.64452626210516</v>
      </c>
      <c r="DR21" s="22">
        <f t="shared" si="16"/>
        <v>79.37626780207404</v>
      </c>
      <c r="DS21" s="62">
        <f t="shared" si="17"/>
        <v>358.04293446874073</v>
      </c>
      <c r="DT21" s="62">
        <f ca="1">AVERAGE(OFFSET($DS$3,0,0,'Données projet'!$E$14+1,1))-AVERAGE(OFFSET($H$3,0,0,'Données projet'!$E$14+1,1))</f>
        <v>446.48069057792151</v>
      </c>
      <c r="DU21" s="62">
        <f t="shared" si="44"/>
        <v>561.75656782935948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3.3521212121212121</v>
      </c>
      <c r="EJ21" s="13">
        <f>IF('Données projet'!$A$192&gt;35,EJ20+EI21-ER20,IF(A21&lt;'Données projet'!$A$192,$EG$205^A21,IF(A21='Données projet'!$A$192,'Données projet'!$B$192,EJ20+EI21-ER20)))</f>
        <v>13.02621844315383</v>
      </c>
      <c r="EK21" s="18">
        <f>EJ21*VLOOKUP('Données projet'!$B$15,Paramètres!$A$1:$I$89,3,0)*VLOOKUP('Données projet'!$B$15,Paramètres!$A$1:$I$89,5,0)</f>
        <v>12.598958478218385</v>
      </c>
      <c r="EL21" s="14">
        <f t="shared" si="45"/>
        <v>4.3232241850372573</v>
      </c>
      <c r="EM21" s="22">
        <f t="shared" si="19"/>
        <v>29.472801471836906</v>
      </c>
      <c r="EN21" s="62">
        <f t="shared" si="20"/>
        <v>308.13946813850362</v>
      </c>
      <c r="EO21" s="62">
        <f ca="1">AVERAGE(OFFSET($EN$3,0,0,'Données projet'!$E$15+1,1))-AVERAGE(OFFSET($H$3,0,0,'Données projet'!$E$15+1,1))</f>
        <v>301.18531163828169</v>
      </c>
      <c r="EP21" s="62">
        <f t="shared" si="46"/>
        <v>192.30530273268101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3.3521212121212121</v>
      </c>
      <c r="FE21" s="13">
        <f>IF('Données projet'!$A$218&gt;35,FE20+FD21-FM20,IF(A21&lt;'Données projet'!$A$218,$FB$205^A21,IF(A21='Données projet'!$A$218,'Données projet'!$B$218,FE20+FD21-FM20)))</f>
        <v>13.02621844315383</v>
      </c>
      <c r="FF21" s="18">
        <f>FE21*VLOOKUP('Données projet'!$B$16,Paramètres!$A$1:$I$89,3,0)*VLOOKUP('Données projet'!$B$16,Paramètres!$A$1:$I$89,5,0)</f>
        <v>10.160450385659988</v>
      </c>
      <c r="FG21" s="14">
        <f t="shared" si="47"/>
        <v>3.5748708441502295</v>
      </c>
      <c r="FH21" s="22">
        <f t="shared" si="22"/>
        <v>23.922351141919464</v>
      </c>
      <c r="FI21" s="62">
        <f t="shared" si="23"/>
        <v>302.58901780858616</v>
      </c>
      <c r="FJ21" s="62">
        <f ca="1">AVERAGE(OFFSET($FI$3,0,0,'Données projet'!$E$16+1,1))-AVERAGE(OFFSET($H$3,0,0,'Données projet'!$E$16+1,1))</f>
        <v>249.2899297828755</v>
      </c>
      <c r="FK21" s="62">
        <f t="shared" si="48"/>
        <v>162.88011837476813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3.3521212121212121</v>
      </c>
      <c r="FZ21" s="13">
        <f>IF('Données projet'!$A$244&gt;35,FZ20+FY21-GH20,IF(A21&lt;'Données projet'!$A$244,$FW$205^A21,IF(A21='Données projet'!$A$244,'Données projet'!$B$244,FZ20+FY21-GH20)))</f>
        <v>13.02621844315383</v>
      </c>
      <c r="GA21" s="18">
        <f>FZ21*VLOOKUP('Données projet'!$B$17,Paramètres!$A$1:$I$89,3,0)*VLOOKUP('Données projet'!$B$17,Paramètres!$A$1:$I$89,5,0)</f>
        <v>8.7379873316675898</v>
      </c>
      <c r="GB21" s="14">
        <f t="shared" si="49"/>
        <v>3.1288387915856006</v>
      </c>
      <c r="GC21" s="22">
        <f t="shared" si="25"/>
        <v>20.668055497999305</v>
      </c>
      <c r="GD21" s="62">
        <f t="shared" si="26"/>
        <v>299.334722164666</v>
      </c>
      <c r="GE21" s="62">
        <f ca="1">AVERAGE(OFFSET($GD$3,0,0,'Données projet'!$E$17+1,1))-AVERAGE(OFFSET($H$3,0,0,'Données projet'!$E$17+1,1))</f>
        <v>218.89895999738746</v>
      </c>
      <c r="GF21" s="62">
        <f t="shared" si="50"/>
        <v>145.64042897395763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3.3521212121212121</v>
      </c>
      <c r="GU21" s="13">
        <f>IF('Données projet'!$A$270&gt;35,GU20+GT21-HC20,IF(A21&lt;'Données projet'!$A$270,$GR$205^A21,IF(A21='Données projet'!$A$270,'Données projet'!$B$270,GU20+GT21-HC20)))</f>
        <v>13.02621844315383</v>
      </c>
      <c r="GV21" s="18">
        <f>GU21*VLOOKUP('Données projet'!$B$18,Paramètres!$A$1:$I$89,3,0)*VLOOKUP('Données projet'!$B$18,Paramètres!$A$1:$I$89,5,0)</f>
        <v>14.021421532210784</v>
      </c>
      <c r="GW21" s="14">
        <f t="shared" si="51"/>
        <v>4.7517930348936872</v>
      </c>
      <c r="GX21" s="22">
        <f t="shared" si="28"/>
        <v>32.696682037706957</v>
      </c>
      <c r="GY21" s="62">
        <f t="shared" si="29"/>
        <v>311.36334870437366</v>
      </c>
      <c r="GZ21" s="62">
        <f ca="1">AVERAGE(OFFSET($GY$3,0,0,'Données projet'!$E$18+1,1))-AVERAGE(OFFSET($H$3,0,0,'Données projet'!$E$18+1,1))</f>
        <v>331.3579800635751</v>
      </c>
      <c r="HA21" s="62">
        <f t="shared" si="52"/>
        <v>209.40702003535273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6.166060606060606</v>
      </c>
      <c r="N22" s="14">
        <f>IF('Données projet'!$A$36&gt;35,N21+M22-V21,IF(A22&lt;'Données projet'!$A$36,$K$205^A22,IF(A22='Données projet'!$A$36,'Données projet'!$B$36,N21+M22-V21)))</f>
        <v>21.337762369555168</v>
      </c>
      <c r="O22" s="14">
        <f>N22*VLOOKUP('Données projet'!$B$9,Paramètres!$A$1:$I$89,3,0)*VLOOKUP('Données projet'!$B$9,Paramètres!$A$1:$I$89,5,0)</f>
        <v>19.306407391973515</v>
      </c>
      <c r="P22" s="14">
        <f t="shared" si="33"/>
        <v>6.3037340221008265</v>
      </c>
      <c r="Q22" s="22">
        <f t="shared" si="2"/>
        <v>44.604329629512812</v>
      </c>
      <c r="R22" s="62">
        <f t="shared" si="0"/>
        <v>324.49321851840165</v>
      </c>
      <c r="S22" s="62">
        <f ca="1">AVERAGE(OFFSET($R$3,0,0,'Données projet'!$E$9+1,1))-AVERAGE(OFFSET($H$3,0,0,'Données projet'!$E$9+1,1))</f>
        <v>2472.5049373954762</v>
      </c>
      <c r="T22" s="62">
        <f t="shared" si="34"/>
        <v>286.98388307318311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6.166060606060606</v>
      </c>
      <c r="AI22" s="14">
        <f>IF('Données projet'!$A$62&gt;35,AI21+AH22-AQ21,IF(A22&lt;'Données projet'!$A$62,$AF$205^A22,IF(A22='Données projet'!$A$62,'Données projet'!$B$62,AI21+AH22-AQ21)))</f>
        <v>21.337762369555168</v>
      </c>
      <c r="AJ22" s="14">
        <f>AI22*VLOOKUP('Données projet'!$B$10,Paramètres!$A$1:$I$89,3,0)*VLOOKUP('Données projet'!$B$10,Paramètres!$A$1:$I$89,5,0)</f>
        <v>21.636491042728942</v>
      </c>
      <c r="AK22" s="14">
        <f t="shared" si="35"/>
        <v>6.9714504861279813</v>
      </c>
      <c r="AL22" s="22">
        <f t="shared" si="4"/>
        <v>49.825498162759139</v>
      </c>
      <c r="AM22" s="62">
        <f t="shared" si="5"/>
        <v>329.71438705164798</v>
      </c>
      <c r="AN22" s="62">
        <f ca="1">AVERAGE(OFFSET($AM$3,0,0,'Données projet'!$E$10+1,1))-AVERAGE(OFFSET($H$3,0,0,'Données projet'!$E$10+1,1))</f>
        <v>2761.1400657295467</v>
      </c>
      <c r="AO22" s="62">
        <f t="shared" si="36"/>
        <v>316.41877504316409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6.166060606060606</v>
      </c>
      <c r="BD22" s="13">
        <f>IF('Données projet'!$A$88&gt;35,BD21+BC22-BL21,IF(A22&lt;'Données projet'!$A$88,$BA$205^A22,IF(A22='Données projet'!$A$88,'Données projet'!$B$88,BD21+BC22-BL21)))</f>
        <v>21.337762369555168</v>
      </c>
      <c r="BE22" s="14">
        <f>BD22*VLOOKUP('Données projet'!$B$11,Paramètres!$A$1:$I$89,3,0)*VLOOKUP('Données projet'!$B$11,Paramètres!$A$1:$I$89,5,0)</f>
        <v>22.302229228659066</v>
      </c>
      <c r="BF22" s="14">
        <f t="shared" si="37"/>
        <v>7.1606525430327848</v>
      </c>
      <c r="BG22" s="22">
        <f t="shared" si="7"/>
        <v>51.314519085696638</v>
      </c>
      <c r="BH22" s="62">
        <f t="shared" si="8"/>
        <v>331.2034079745855</v>
      </c>
      <c r="BI22" s="62">
        <f ca="1">AVERAGE(OFFSET($BH$3,0,0,'Données projet'!$E$11+1,1))-AVERAGE(OFFSET($H$3,0,0,'Données projet'!$E$11+1,1))</f>
        <v>2843.5086223152098</v>
      </c>
      <c r="BJ22" s="62">
        <f t="shared" si="38"/>
        <v>324.81562437645522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6.166060606060606</v>
      </c>
      <c r="BY22" s="13">
        <f>IF('Données projet'!$A$114&gt;35,BY21+BX22-CG21,IF(A22&lt;'Données projet'!$A$114,$BV$205^A22,IF(A22='Données projet'!$A$114,'Données projet'!$B$114,BY21+BX22-CG21)))</f>
        <v>21.337762369555168</v>
      </c>
      <c r="BZ22" s="14">
        <f>BY22*VLOOKUP('Données projet'!$B$12,Paramètres!$A$1:$I$89,3,0)*VLOOKUP('Données projet'!$B$12,Paramètres!$A$1:$I$89,5,0)</f>
        <v>21.30362194976388</v>
      </c>
      <c r="CA22" s="14">
        <f t="shared" si="39"/>
        <v>6.8765963164062134</v>
      </c>
      <c r="CB22" s="22">
        <f t="shared" si="10"/>
        <v>49.080546813579581</v>
      </c>
      <c r="CC22" s="62">
        <f t="shared" si="11"/>
        <v>328.96943570246845</v>
      </c>
      <c r="CD22" s="62">
        <f ca="1">AVERAGE(OFFSET($CC$3,0,0,'Données projet'!$E$12+1,1))-AVERAGE(OFFSET($H$3,0,0,'Données projet'!$E$12+1,1))</f>
        <v>2719.939926994799</v>
      </c>
      <c r="CE22" s="62">
        <f t="shared" si="40"/>
        <v>312.21824046329749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8.1527272727272742</v>
      </c>
      <c r="CT22" s="13">
        <f>IF('Données projet'!$A$140&gt;35,CT21+CS22-DB21,IF(A22&lt;'Données projet'!$A$140,$CQ$205^A22,IF(A22='Données projet'!$A$140,'Données projet'!$B$140,CT21+CS22-DB21)))</f>
        <v>25.060253599952759</v>
      </c>
      <c r="CU22" s="18">
        <f>CT22*VLOOKUP('Données projet'!$B$13,Paramètres!$A$1:$I$89,3,0)*VLOOKUP('Données projet'!$B$13,Paramètres!$A$1:$I$89,5,0)</f>
        <v>21.892637544918731</v>
      </c>
      <c r="CV22" s="14">
        <f t="shared" si="41"/>
        <v>7.0443261342417021</v>
      </c>
      <c r="CW22" s="22">
        <f t="shared" si="13"/>
        <v>50.398545074537758</v>
      </c>
      <c r="CX22" s="62">
        <f t="shared" si="14"/>
        <v>330.28743396342662</v>
      </c>
      <c r="CY22" s="62">
        <f ca="1">AVERAGE(OFFSET($CX$3,0,0,'Données projet'!$E$13+1,1))-AVERAGE(OFFSET($H$3,0,0,'Données projet'!$E$13+1,1))</f>
        <v>1036.0130072090849</v>
      </c>
      <c r="CZ22" s="62">
        <f t="shared" si="42"/>
        <v>346.56593355696174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12.48</v>
      </c>
      <c r="DO22" s="13">
        <f>IF('Données projet'!$A$166&gt;35,DO21+DN22-DW21,IF(A22&lt;'Données projet'!$A$166,$DL$205^A22,IF(A22='Données projet'!$A$166,'Données projet'!$B$166,DO21+DN22-DW21)))</f>
        <v>78.624426646151193</v>
      </c>
      <c r="DP22" s="18">
        <f>DO22*VLOOKUP('Données projet'!$B$14,Paramètres!$A$1:$I$89,3,0)*VLOOKUP('Données projet'!$B$14,Paramètres!$A$1:$I$89,5,0)</f>
        <v>43.95105449519852</v>
      </c>
      <c r="DQ22" s="14">
        <f t="shared" si="43"/>
        <v>13.04006444646749</v>
      </c>
      <c r="DR22" s="22">
        <f t="shared" si="16"/>
        <v>99.259532156734963</v>
      </c>
      <c r="DS22" s="62">
        <f t="shared" si="17"/>
        <v>379.14842104562382</v>
      </c>
      <c r="DT22" s="62">
        <f ca="1">AVERAGE(OFFSET($DS$3,0,0,'Données projet'!$E$14+1,1))-AVERAGE(OFFSET($H$3,0,0,'Données projet'!$E$14+1,1))</f>
        <v>446.48069057792151</v>
      </c>
      <c r="DU22" s="62">
        <f t="shared" si="44"/>
        <v>561.75656782935948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3.3521212121212121</v>
      </c>
      <c r="EJ22" s="13">
        <f>IF('Données projet'!$A$192&gt;35,EJ21+EI22-ER21,IF(A22&lt;'Données projet'!$A$192,$EG$205^A22,IF(A22='Données projet'!$A$192,'Données projet'!$B$192,EJ21+EI22-ER21)))</f>
        <v>15.022863111099879</v>
      </c>
      <c r="EK22" s="18">
        <f>EJ22*VLOOKUP('Données projet'!$B$15,Paramètres!$A$1:$I$89,3,0)*VLOOKUP('Données projet'!$B$15,Paramètres!$A$1:$I$89,5,0)</f>
        <v>14.530113201055803</v>
      </c>
      <c r="EL22" s="14">
        <f t="shared" si="45"/>
        <v>4.9038022812099875</v>
      </c>
      <c r="EM22" s="22">
        <f t="shared" si="19"/>
        <v>33.847402798279582</v>
      </c>
      <c r="EN22" s="62">
        <f t="shared" si="20"/>
        <v>313.73629168716843</v>
      </c>
      <c r="EO22" s="62">
        <f ca="1">AVERAGE(OFFSET($EN$3,0,0,'Données projet'!$E$15+1,1))-AVERAGE(OFFSET($H$3,0,0,'Données projet'!$E$15+1,1))</f>
        <v>301.18531163828169</v>
      </c>
      <c r="EP22" s="62">
        <f t="shared" si="46"/>
        <v>192.30530273268101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3.3521212121212121</v>
      </c>
      <c r="FE22" s="13">
        <f>IF('Données projet'!$A$218&gt;35,FE21+FD22-FM21,IF(A22&lt;'Données projet'!$A$218,$FB$205^A22,IF(A22='Données projet'!$A$218,'Données projet'!$B$218,FE21+FD22-FM21)))</f>
        <v>15.022863111099879</v>
      </c>
      <c r="FF22" s="18">
        <f>FE22*VLOOKUP('Données projet'!$B$16,Paramètres!$A$1:$I$89,3,0)*VLOOKUP('Données projet'!$B$16,Paramètres!$A$1:$I$89,5,0)</f>
        <v>11.717833226657905</v>
      </c>
      <c r="FG22" s="14">
        <f t="shared" si="47"/>
        <v>4.0549504375110015</v>
      </c>
      <c r="FH22" s="22">
        <f t="shared" si="22"/>
        <v>27.470931548427512</v>
      </c>
      <c r="FI22" s="62">
        <f t="shared" si="23"/>
        <v>307.35982043731639</v>
      </c>
      <c r="FJ22" s="62">
        <f ca="1">AVERAGE(OFFSET($FI$3,0,0,'Données projet'!$E$16+1,1))-AVERAGE(OFFSET($H$3,0,0,'Données projet'!$E$16+1,1))</f>
        <v>249.2899297828755</v>
      </c>
      <c r="FK22" s="62">
        <f t="shared" si="48"/>
        <v>162.88011837476813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3.3521212121212121</v>
      </c>
      <c r="FZ22" s="13">
        <f>IF('Données projet'!$A$244&gt;35,FZ21+FY22-GH21,IF(A22&lt;'Données projet'!$A$244,$FW$205^A22,IF(A22='Données projet'!$A$244,'Données projet'!$B$244,FZ21+FY22-GH21)))</f>
        <v>15.022863111099879</v>
      </c>
      <c r="GA22" s="18">
        <f>FZ22*VLOOKUP('Données projet'!$B$17,Paramètres!$A$1:$I$89,3,0)*VLOOKUP('Données projet'!$B$17,Paramètres!$A$1:$I$89,5,0)</f>
        <v>10.0773365749258</v>
      </c>
      <c r="GB22" s="14">
        <f t="shared" si="49"/>
        <v>3.5490194695012209</v>
      </c>
      <c r="GC22" s="22">
        <f t="shared" si="25"/>
        <v>23.732570110710395</v>
      </c>
      <c r="GD22" s="62">
        <f t="shared" si="26"/>
        <v>303.62145899959927</v>
      </c>
      <c r="GE22" s="62">
        <f ca="1">AVERAGE(OFFSET($GD$3,0,0,'Données projet'!$E$17+1,1))-AVERAGE(OFFSET($H$3,0,0,'Données projet'!$E$17+1,1))</f>
        <v>218.89895999738746</v>
      </c>
      <c r="GF22" s="62">
        <f t="shared" si="50"/>
        <v>145.64042897395763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3.3521212121212121</v>
      </c>
      <c r="GU22" s="13">
        <f>IF('Données projet'!$A$270&gt;35,GU21+GT22-HC21,IF(A22&lt;'Données projet'!$A$270,$GR$205^A22,IF(A22='Données projet'!$A$270,'Données projet'!$B$270,GU21+GT22-HC21)))</f>
        <v>15.022863111099879</v>
      </c>
      <c r="GV22" s="18">
        <f>GU22*VLOOKUP('Données projet'!$B$18,Paramètres!$A$1:$I$89,3,0)*VLOOKUP('Données projet'!$B$18,Paramètres!$A$1:$I$89,5,0)</f>
        <v>16.170609852787909</v>
      </c>
      <c r="GW22" s="14">
        <f t="shared" si="51"/>
        <v>5.3899248632530901</v>
      </c>
      <c r="GX22" s="22">
        <f t="shared" si="28"/>
        <v>37.55126463043807</v>
      </c>
      <c r="GY22" s="62">
        <f t="shared" si="29"/>
        <v>317.44015351932694</v>
      </c>
      <c r="GZ22" s="62">
        <f ca="1">AVERAGE(OFFSET($GY$3,0,0,'Données projet'!$E$18+1,1))-AVERAGE(OFFSET($H$3,0,0,'Données projet'!$E$18+1,1))</f>
        <v>331.3579800635751</v>
      </c>
      <c r="HA22" s="62">
        <f t="shared" si="52"/>
        <v>209.40702003535273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6.166060606060606</v>
      </c>
      <c r="N23" s="14">
        <f>IF('Données projet'!$A$36&gt;35,N22+M23-V22,IF(A23&lt;'Données projet'!$A$36,$K$205^A23,IF(A23='Données projet'!$A$36,'Données projet'!$B$36,N22+M23-V22)))</f>
        <v>25.067099111109435</v>
      </c>
      <c r="O23" s="14">
        <f>N23*VLOOKUP('Données projet'!$B$9,Paramètres!$A$1:$I$89,3,0)*VLOOKUP('Données projet'!$B$9,Paramètres!$A$1:$I$89,5,0)</f>
        <v>22.680711275731817</v>
      </c>
      <c r="P23" s="14">
        <f t="shared" si="33"/>
        <v>7.2679226823584591</v>
      </c>
      <c r="Q23" s="22">
        <f t="shared" si="2"/>
        <v>52.160537477007232</v>
      </c>
      <c r="R23" s="62">
        <f t="shared" si="0"/>
        <v>333.27164858811835</v>
      </c>
      <c r="S23" s="62">
        <f ca="1">AVERAGE(OFFSET($R$3,0,0,'Données projet'!$E$9+1,1))-AVERAGE(OFFSET($H$3,0,0,'Données projet'!$E$9+1,1))</f>
        <v>2472.5049373954762</v>
      </c>
      <c r="T23" s="62">
        <f t="shared" si="34"/>
        <v>286.98388307318311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6.166060606060606</v>
      </c>
      <c r="AI23" s="14">
        <f>IF('Données projet'!$A$62&gt;35,AI22+AH23-AQ22,IF(A23&lt;'Données projet'!$A$62,$AF$205^A23,IF(A23='Données projet'!$A$62,'Données projet'!$B$62,AI22+AH23-AQ22)))</f>
        <v>25.067099111109435</v>
      </c>
      <c r="AJ23" s="14">
        <f>AI23*VLOOKUP('Données projet'!$B$10,Paramètres!$A$1:$I$89,3,0)*VLOOKUP('Données projet'!$B$10,Paramètres!$A$1:$I$89,5,0)</f>
        <v>25.418038498664966</v>
      </c>
      <c r="AK23" s="14">
        <f t="shared" si="35"/>
        <v>8.0377698264912656</v>
      </c>
      <c r="AL23" s="22">
        <f t="shared" si="4"/>
        <v>58.268866166313764</v>
      </c>
      <c r="AM23" s="62">
        <f t="shared" si="5"/>
        <v>339.37997727742493</v>
      </c>
      <c r="AN23" s="62">
        <f ca="1">AVERAGE(OFFSET($AM$3,0,0,'Données projet'!$E$10+1,1))-AVERAGE(OFFSET($H$3,0,0,'Données projet'!$E$10+1,1))</f>
        <v>2761.1400657295467</v>
      </c>
      <c r="AO23" s="62">
        <f t="shared" si="36"/>
        <v>316.41877504316409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6.166060606060606</v>
      </c>
      <c r="BD23" s="13">
        <f>IF('Données projet'!$A$88&gt;35,BD22+BC23-BL22,IF(A23&lt;'Données projet'!$A$88,$BA$205^A23,IF(A23='Données projet'!$A$88,'Données projet'!$B$88,BD22+BC23-BL22)))</f>
        <v>25.067099111109435</v>
      </c>
      <c r="BE23" s="14">
        <f>BD23*VLOOKUP('Données projet'!$B$11,Paramètres!$A$1:$I$89,3,0)*VLOOKUP('Données projet'!$B$11,Paramètres!$A$1:$I$89,5,0)</f>
        <v>26.200131990931585</v>
      </c>
      <c r="BF23" s="14">
        <f t="shared" si="37"/>
        <v>8.2559113147117689</v>
      </c>
      <c r="BG23" s="22">
        <f t="shared" si="7"/>
        <v>60.010942090662176</v>
      </c>
      <c r="BH23" s="62">
        <f t="shared" si="8"/>
        <v>341.12205320177333</v>
      </c>
      <c r="BI23" s="62">
        <f ca="1">AVERAGE(OFFSET($BH$3,0,0,'Données projet'!$E$11+1,1))-AVERAGE(OFFSET($H$3,0,0,'Données projet'!$E$11+1,1))</f>
        <v>2843.5086223152098</v>
      </c>
      <c r="BJ23" s="62">
        <f t="shared" si="38"/>
        <v>324.81562437645522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6.166060606060606</v>
      </c>
      <c r="BY23" s="13">
        <f>IF('Données projet'!$A$114&gt;35,BY22+BX23-CG22,IF(A23&lt;'Données projet'!$A$114,$BV$205^A23,IF(A23='Données projet'!$A$114,'Données projet'!$B$114,BY22+BX23-CG22)))</f>
        <v>25.067099111109435</v>
      </c>
      <c r="BZ23" s="14">
        <f>BY23*VLOOKUP('Données projet'!$B$12,Paramètres!$A$1:$I$89,3,0)*VLOOKUP('Données projet'!$B$12,Paramètres!$A$1:$I$89,5,0)</f>
        <v>25.026991752531661</v>
      </c>
      <c r="CA23" s="14">
        <f t="shared" si="39"/>
        <v>7.9284072218477144</v>
      </c>
      <c r="CB23" s="22">
        <f t="shared" si="10"/>
        <v>57.39731988037741</v>
      </c>
      <c r="CC23" s="62">
        <f t="shared" si="11"/>
        <v>338.50843099148858</v>
      </c>
      <c r="CD23" s="62">
        <f ca="1">AVERAGE(OFFSET($CC$3,0,0,'Données projet'!$E$12+1,1))-AVERAGE(OFFSET($H$3,0,0,'Données projet'!$E$12+1,1))</f>
        <v>2719.939926994799</v>
      </c>
      <c r="CE23" s="62">
        <f t="shared" si="40"/>
        <v>312.21824046329749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8.1527272727272742</v>
      </c>
      <c r="CT23" s="13">
        <f>IF('Données projet'!$A$140&gt;35,CT22+CS23-DB22,IF(A23&lt;'Données projet'!$A$140,$CQ$205^A23,IF(A23='Données projet'!$A$140,'Données projet'!$B$140,CT22+CS23-DB22)))</f>
        <v>29.690415500101075</v>
      </c>
      <c r="CU23" s="18">
        <f>CT23*VLOOKUP('Données projet'!$B$13,Paramètres!$A$1:$I$89,3,0)*VLOOKUP('Données projet'!$B$13,Paramètres!$A$1:$I$89,5,0)</f>
        <v>25.9375469808883</v>
      </c>
      <c r="CV23" s="14">
        <f t="shared" si="41"/>
        <v>8.18275675929881</v>
      </c>
      <c r="CW23" s="22">
        <f t="shared" si="13"/>
        <v>59.426195680825884</v>
      </c>
      <c r="CX23" s="62">
        <f t="shared" si="14"/>
        <v>340.537306791937</v>
      </c>
      <c r="CY23" s="62">
        <f ca="1">AVERAGE(OFFSET($CX$3,0,0,'Données projet'!$E$13+1,1))-AVERAGE(OFFSET($H$3,0,0,'Données projet'!$E$13+1,1))</f>
        <v>1036.0130072090849</v>
      </c>
      <c r="CZ23" s="62">
        <f t="shared" si="42"/>
        <v>346.56593355696174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12.48</v>
      </c>
      <c r="DO23" s="13">
        <f>IF('Données projet'!$A$166&gt;35,DO22+DN23-DW22,IF(A23&lt;'Données projet'!$A$166,$DL$205^A23,IF(A23='Données projet'!$A$166,'Données projet'!$B$166,DO22+DN23-DW22)))</f>
        <v>98.929012773795051</v>
      </c>
      <c r="DP23" s="18">
        <f>DO23*VLOOKUP('Données projet'!$B$14,Paramètres!$A$1:$I$89,3,0)*VLOOKUP('Données projet'!$B$14,Paramètres!$A$1:$I$89,5,0)</f>
        <v>55.301318140551437</v>
      </c>
      <c r="DQ23" s="14">
        <f t="shared" si="43"/>
        <v>15.974715697154581</v>
      </c>
      <c r="DR23" s="22">
        <f t="shared" si="16"/>
        <v>124.139092267338</v>
      </c>
      <c r="DS23" s="62">
        <f t="shared" si="17"/>
        <v>405.25020337844916</v>
      </c>
      <c r="DT23" s="62">
        <f ca="1">AVERAGE(OFFSET($DS$3,0,0,'Données projet'!$E$14+1,1))-AVERAGE(OFFSET($H$3,0,0,'Données projet'!$E$14+1,1))</f>
        <v>446.48069057792151</v>
      </c>
      <c r="DU23" s="62">
        <f t="shared" si="44"/>
        <v>561.75656782935948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3.3521212121212121</v>
      </c>
      <c r="EJ23" s="13">
        <f>IF('Données projet'!$A$192&gt;35,EJ22+EI23-ER22,IF(A23&lt;'Données projet'!$A$192,$EG$205^A23,IF(A23='Données projet'!$A$192,'Données projet'!$B$192,EJ22+EI23-ER22)))</f>
        <v>17.325551313279195</v>
      </c>
      <c r="EK23" s="18">
        <f>EJ23*VLOOKUP('Données projet'!$B$15,Paramètres!$A$1:$I$89,3,0)*VLOOKUP('Données projet'!$B$15,Paramètres!$A$1:$I$89,5,0)</f>
        <v>16.757273230203637</v>
      </c>
      <c r="EL23" s="14">
        <f t="shared" si="45"/>
        <v>5.5623478644545585</v>
      </c>
      <c r="EM23" s="22">
        <f t="shared" si="19"/>
        <v>38.87334007319636</v>
      </c>
      <c r="EN23" s="62">
        <f t="shared" si="20"/>
        <v>319.98445118430749</v>
      </c>
      <c r="EO23" s="62">
        <f ca="1">AVERAGE(OFFSET($EN$3,0,0,'Données projet'!$E$15+1,1))-AVERAGE(OFFSET($H$3,0,0,'Données projet'!$E$15+1,1))</f>
        <v>301.18531163828169</v>
      </c>
      <c r="EP23" s="62">
        <f t="shared" si="46"/>
        <v>192.30530273268101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3.3521212121212121</v>
      </c>
      <c r="FE23" s="13">
        <f>IF('Données projet'!$A$218&gt;35,FE22+FD23-FM22,IF(A23&lt;'Données projet'!$A$218,$FB$205^A23,IF(A23='Données projet'!$A$218,'Données projet'!$B$218,FE22+FD23-FM22)))</f>
        <v>17.325551313279195</v>
      </c>
      <c r="FF23" s="18">
        <f>FE23*VLOOKUP('Données projet'!$B$16,Paramètres!$A$1:$I$89,3,0)*VLOOKUP('Données projet'!$B$16,Paramètres!$A$1:$I$89,5,0)</f>
        <v>13.513930024357773</v>
      </c>
      <c r="FG23" s="14">
        <f t="shared" si="47"/>
        <v>4.5995012875994359</v>
      </c>
      <c r="FH23" s="22">
        <f t="shared" si="22"/>
        <v>31.547559534992136</v>
      </c>
      <c r="FI23" s="62">
        <f t="shared" si="23"/>
        <v>312.6586706461033</v>
      </c>
      <c r="FJ23" s="62">
        <f ca="1">AVERAGE(OFFSET($FI$3,0,0,'Données projet'!$E$16+1,1))-AVERAGE(OFFSET($H$3,0,0,'Données projet'!$E$16+1,1))</f>
        <v>249.2899297828755</v>
      </c>
      <c r="FK23" s="62">
        <f t="shared" si="48"/>
        <v>162.88011837476813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3.3521212121212121</v>
      </c>
      <c r="FZ23" s="13">
        <f>IF('Données projet'!$A$244&gt;35,FZ22+FY23-GH22,IF(A23&lt;'Données projet'!$A$244,$FW$205^A23,IF(A23='Données projet'!$A$244,'Données projet'!$B$244,FZ22+FY23-GH22)))</f>
        <v>17.325551313279195</v>
      </c>
      <c r="GA23" s="18">
        <f>FZ23*VLOOKUP('Données projet'!$B$17,Paramètres!$A$1:$I$89,3,0)*VLOOKUP('Données projet'!$B$17,Paramètres!$A$1:$I$89,5,0)</f>
        <v>11.621979820947685</v>
      </c>
      <c r="GB23" s="14">
        <f t="shared" si="49"/>
        <v>4.0256274080888916</v>
      </c>
      <c r="GC23" s="22">
        <f t="shared" si="25"/>
        <v>27.252915923905366</v>
      </c>
      <c r="GD23" s="62">
        <f t="shared" si="26"/>
        <v>308.36402703501653</v>
      </c>
      <c r="GE23" s="62">
        <f ca="1">AVERAGE(OFFSET($GD$3,0,0,'Données projet'!$E$17+1,1))-AVERAGE(OFFSET($H$3,0,0,'Données projet'!$E$17+1,1))</f>
        <v>218.89895999738746</v>
      </c>
      <c r="GF23" s="62">
        <f t="shared" si="50"/>
        <v>145.64042897395763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3.3521212121212121</v>
      </c>
      <c r="GU23" s="13">
        <f>IF('Données projet'!$A$270&gt;35,GU22+GT23-HC22,IF(A23&lt;'Données projet'!$A$270,$GR$205^A23,IF(A23='Données projet'!$A$270,'Données projet'!$B$270,GU22+GT23-HC22)))</f>
        <v>17.325551313279195</v>
      </c>
      <c r="GV23" s="18">
        <f>GU23*VLOOKUP('Données projet'!$B$18,Paramètres!$A$1:$I$89,3,0)*VLOOKUP('Données projet'!$B$18,Paramètres!$A$1:$I$89,5,0)</f>
        <v>18.649223433613727</v>
      </c>
      <c r="GW23" s="14">
        <f t="shared" si="51"/>
        <v>6.1137532333968361</v>
      </c>
      <c r="GX23" s="22">
        <f t="shared" si="28"/>
        <v>43.128851028376722</v>
      </c>
      <c r="GY23" s="62">
        <f t="shared" si="29"/>
        <v>324.23996213948789</v>
      </c>
      <c r="GZ23" s="62">
        <f ca="1">AVERAGE(OFFSET($GY$3,0,0,'Données projet'!$E$18+1,1))-AVERAGE(OFFSET($H$3,0,0,'Données projet'!$E$18+1,1))</f>
        <v>331.3579800635751</v>
      </c>
      <c r="HA23" s="62">
        <f t="shared" si="52"/>
        <v>209.40702003535273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6.166060606060606</v>
      </c>
      <c r="N24" s="14">
        <f>IF('Données projet'!$A$36&gt;35,N23+M24-V23,IF(A24&lt;'Données projet'!$A$36,$K$205^A24,IF(A24='Données projet'!$A$36,'Données projet'!$B$36,N23+M24-V23)))</f>
        <v>29.448235806709054</v>
      </c>
      <c r="O24" s="14">
        <f>N24*VLOOKUP('Données projet'!$B$9,Paramètres!$A$1:$I$89,3,0)*VLOOKUP('Données projet'!$B$9,Paramètres!$A$1:$I$89,5,0)</f>
        <v>26.644763757910351</v>
      </c>
      <c r="P24" s="14">
        <f t="shared" si="33"/>
        <v>8.379588975604733</v>
      </c>
      <c r="Q24" s="22">
        <f t="shared" si="2"/>
        <v>61.000747677538776</v>
      </c>
      <c r="R24" s="62">
        <f t="shared" si="0"/>
        <v>343.33408101087207</v>
      </c>
      <c r="S24" s="62">
        <f ca="1">AVERAGE(OFFSET($R$3,0,0,'Données projet'!$E$9+1,1))-AVERAGE(OFFSET($H$3,0,0,'Données projet'!$E$9+1,1))</f>
        <v>2472.5049373954762</v>
      </c>
      <c r="T24" s="62">
        <f t="shared" si="34"/>
        <v>286.98388307318311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6.166060606060606</v>
      </c>
      <c r="AI24" s="14">
        <f>IF('Données projet'!$A$62&gt;35,AI23+AH24-AQ23,IF(A24&lt;'Données projet'!$A$62,$AF$205^A24,IF(A24='Données projet'!$A$62,'Données projet'!$B$62,AI23+AH24-AQ23)))</f>
        <v>29.448235806709054</v>
      </c>
      <c r="AJ24" s="14">
        <f>AI24*VLOOKUP('Données projet'!$B$10,Paramètres!$A$1:$I$89,3,0)*VLOOKUP('Données projet'!$B$10,Paramètres!$A$1:$I$89,5,0)</f>
        <v>29.860511108002981</v>
      </c>
      <c r="AK24" s="14">
        <f t="shared" si="35"/>
        <v>9.2671882145915099</v>
      </c>
      <c r="AL24" s="22">
        <f t="shared" si="4"/>
        <v>68.14740965351875</v>
      </c>
      <c r="AM24" s="62">
        <f t="shared" si="5"/>
        <v>350.48074298685208</v>
      </c>
      <c r="AN24" s="62">
        <f ca="1">AVERAGE(OFFSET($AM$3,0,0,'Données projet'!$E$10+1,1))-AVERAGE(OFFSET($H$3,0,0,'Données projet'!$E$10+1,1))</f>
        <v>2761.1400657295467</v>
      </c>
      <c r="AO24" s="62">
        <f t="shared" si="36"/>
        <v>316.41877504316409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6.166060606060606</v>
      </c>
      <c r="BD24" s="13">
        <f>IF('Données projet'!$A$88&gt;35,BD23+BC24-BL23,IF(A24&lt;'Données projet'!$A$88,$BA$205^A24,IF(A24='Données projet'!$A$88,'Données projet'!$B$88,BD23+BC24-BL23)))</f>
        <v>29.448235806709054</v>
      </c>
      <c r="BE24" s="14">
        <f>BD24*VLOOKUP('Données projet'!$B$11,Paramètres!$A$1:$I$89,3,0)*VLOOKUP('Données projet'!$B$11,Paramètres!$A$1:$I$89,5,0)</f>
        <v>30.779296065172304</v>
      </c>
      <c r="BF24" s="14">
        <f t="shared" si="37"/>
        <v>9.5186955695406041</v>
      </c>
      <c r="BG24" s="22">
        <f t="shared" si="7"/>
        <v>70.185668763791639</v>
      </c>
      <c r="BH24" s="62">
        <f t="shared" si="8"/>
        <v>352.51900209712494</v>
      </c>
      <c r="BI24" s="62">
        <f ca="1">AVERAGE(OFFSET($BH$3,0,0,'Données projet'!$E$11+1,1))-AVERAGE(OFFSET($H$3,0,0,'Données projet'!$E$11+1,1))</f>
        <v>2843.5086223152098</v>
      </c>
      <c r="BJ24" s="62">
        <f t="shared" si="38"/>
        <v>324.81562437645522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6.166060606060606</v>
      </c>
      <c r="BY24" s="13">
        <f>IF('Données projet'!$A$114&gt;35,BY23+BX24-CG23,IF(A24&lt;'Données projet'!$A$114,$BV$205^A24,IF(A24='Données projet'!$A$114,'Données projet'!$B$114,BY23+BX24-CG23)))</f>
        <v>29.448235806709054</v>
      </c>
      <c r="BZ24" s="14">
        <f>BY24*VLOOKUP('Données projet'!$B$12,Paramètres!$A$1:$I$89,3,0)*VLOOKUP('Données projet'!$B$12,Paramètres!$A$1:$I$89,5,0)</f>
        <v>29.40111862941832</v>
      </c>
      <c r="CA24" s="14">
        <f t="shared" si="39"/>
        <v>9.1410980350084241</v>
      </c>
      <c r="CB24" s="22">
        <f t="shared" si="10"/>
        <v>67.127694023876572</v>
      </c>
      <c r="CC24" s="62">
        <f t="shared" si="11"/>
        <v>349.4610273572099</v>
      </c>
      <c r="CD24" s="62">
        <f ca="1">AVERAGE(OFFSET($CC$3,0,0,'Données projet'!$E$12+1,1))-AVERAGE(OFFSET($H$3,0,0,'Données projet'!$E$12+1,1))</f>
        <v>2719.939926994799</v>
      </c>
      <c r="CE24" s="62">
        <f t="shared" si="40"/>
        <v>312.21824046329749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8.1527272727272742</v>
      </c>
      <c r="CT24" s="13">
        <f>IF('Données projet'!$A$140&gt;35,CT23+CS24-DB23,IF(A24&lt;'Données projet'!$A$140,$CQ$205^A24,IF(A24='Données projet'!$A$140,'Données projet'!$B$140,CT23+CS24-DB23)))</f>
        <v>35.176051553217476</v>
      </c>
      <c r="CU24" s="18">
        <f>CT24*VLOOKUP('Données projet'!$B$13,Paramètres!$A$1:$I$89,3,0)*VLOOKUP('Données projet'!$B$13,Paramètres!$A$1:$I$89,5,0)</f>
        <v>30.729798636890791</v>
      </c>
      <c r="CV24" s="14">
        <f t="shared" si="41"/>
        <v>9.505168685529366</v>
      </c>
      <c r="CW24" s="22">
        <f t="shared" si="13"/>
        <v>70.075901419881774</v>
      </c>
      <c r="CX24" s="62">
        <f t="shared" si="14"/>
        <v>352.40923475321506</v>
      </c>
      <c r="CY24" s="62">
        <f ca="1">AVERAGE(OFFSET($CX$3,0,0,'Données projet'!$E$13+1,1))-AVERAGE(OFFSET($H$3,0,0,'Données projet'!$E$13+1,1))</f>
        <v>1036.0130072090849</v>
      </c>
      <c r="CZ24" s="62">
        <f t="shared" si="42"/>
        <v>346.56593355696174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12.48</v>
      </c>
      <c r="DO24" s="13">
        <f>IF('Données projet'!$A$166&gt;35,DO23+DN24-DW23,IF(A24&lt;'Données projet'!$A$166,$DL$205^A24,IF(A24='Données projet'!$A$166,'Données projet'!$B$166,DO23+DN24-DW23)))</f>
        <v>124.47721383640506</v>
      </c>
      <c r="DP24" s="18">
        <f>DO24*VLOOKUP('Données projet'!$B$14,Paramètres!$A$1:$I$89,3,0)*VLOOKUP('Données projet'!$B$14,Paramètres!$A$1:$I$89,5,0)</f>
        <v>69.582762534550426</v>
      </c>
      <c r="DQ24" s="14">
        <f t="shared" si="43"/>
        <v>19.569806779141153</v>
      </c>
      <c r="DR24" s="22">
        <f t="shared" si="16"/>
        <v>155.27405822134617</v>
      </c>
      <c r="DS24" s="62">
        <f t="shared" si="17"/>
        <v>437.60739155467945</v>
      </c>
      <c r="DT24" s="62">
        <f ca="1">AVERAGE(OFFSET($DS$3,0,0,'Données projet'!$E$14+1,1))-AVERAGE(OFFSET($H$3,0,0,'Données projet'!$E$14+1,1))</f>
        <v>446.48069057792151</v>
      </c>
      <c r="DU24" s="62">
        <f t="shared" si="44"/>
        <v>561.75656782935948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3.3521212121212121</v>
      </c>
      <c r="EJ24" s="13">
        <f>IF('Données projet'!$A$192&gt;35,EJ23+EI24-ER23,IF(A24&lt;'Données projet'!$A$192,$EG$205^A24,IF(A24='Données projet'!$A$192,'Données projet'!$B$192,EJ23+EI24-ER23)))</f>
        <v>19.981193071464631</v>
      </c>
      <c r="EK24" s="18">
        <f>EJ24*VLOOKUP('Données projet'!$B$15,Paramètres!$A$1:$I$89,3,0)*VLOOKUP('Données projet'!$B$15,Paramètres!$A$1:$I$89,5,0)</f>
        <v>19.325809938720592</v>
      </c>
      <c r="EL24" s="14">
        <f t="shared" si="45"/>
        <v>6.3093314108023053</v>
      </c>
      <c r="EM24" s="22">
        <f t="shared" si="19"/>
        <v>44.647871183752379</v>
      </c>
      <c r="EN24" s="62">
        <f t="shared" si="20"/>
        <v>326.9812045170857</v>
      </c>
      <c r="EO24" s="62">
        <f ca="1">AVERAGE(OFFSET($EN$3,0,0,'Données projet'!$E$15+1,1))-AVERAGE(OFFSET($H$3,0,0,'Données projet'!$E$15+1,1))</f>
        <v>301.18531163828169</v>
      </c>
      <c r="EP24" s="62">
        <f t="shared" si="46"/>
        <v>192.30530273268101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3.3521212121212121</v>
      </c>
      <c r="FE24" s="13">
        <f>IF('Données projet'!$A$218&gt;35,FE23+FD24-FM23,IF(A24&lt;'Données projet'!$A$218,$FB$205^A24,IF(A24='Données projet'!$A$218,'Données projet'!$B$218,FE23+FD24-FM23)))</f>
        <v>19.981193071464631</v>
      </c>
      <c r="FF24" s="18">
        <f>FE24*VLOOKUP('Données projet'!$B$16,Paramètres!$A$1:$I$89,3,0)*VLOOKUP('Données projet'!$B$16,Paramètres!$A$1:$I$89,5,0)</f>
        <v>15.585330595742413</v>
      </c>
      <c r="FG24" s="14">
        <f t="shared" si="47"/>
        <v>5.2171814232122733</v>
      </c>
      <c r="FH24" s="22">
        <f t="shared" si="22"/>
        <v>36.231041766346074</v>
      </c>
      <c r="FI24" s="62">
        <f t="shared" si="23"/>
        <v>318.56437509967941</v>
      </c>
      <c r="FJ24" s="62">
        <f ca="1">AVERAGE(OFFSET($FI$3,0,0,'Données projet'!$E$16+1,1))-AVERAGE(OFFSET($H$3,0,0,'Données projet'!$E$16+1,1))</f>
        <v>249.2899297828755</v>
      </c>
      <c r="FK24" s="62">
        <f t="shared" si="48"/>
        <v>162.88011837476813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3.3521212121212121</v>
      </c>
      <c r="FZ24" s="13">
        <f>IF('Données projet'!$A$244&gt;35,FZ23+FY24-GH23,IF(A24&lt;'Données projet'!$A$244,$FW$205^A24,IF(A24='Données projet'!$A$244,'Données projet'!$B$244,FZ23+FY24-GH23)))</f>
        <v>19.981193071464631</v>
      </c>
      <c r="GA24" s="18">
        <f>FZ24*VLOOKUP('Données projet'!$B$17,Paramètres!$A$1:$I$89,3,0)*VLOOKUP('Données projet'!$B$17,Paramètres!$A$1:$I$89,5,0)</f>
        <v>13.403384312338474</v>
      </c>
      <c r="GB24" s="14">
        <f t="shared" si="49"/>
        <v>4.5662403849911941</v>
      </c>
      <c r="GC24" s="22">
        <f t="shared" si="25"/>
        <v>31.297096347849173</v>
      </c>
      <c r="GD24" s="62">
        <f t="shared" si="26"/>
        <v>313.63042968118248</v>
      </c>
      <c r="GE24" s="62">
        <f ca="1">AVERAGE(OFFSET($GD$3,0,0,'Données projet'!$E$17+1,1))-AVERAGE(OFFSET($H$3,0,0,'Données projet'!$E$17+1,1))</f>
        <v>218.89895999738746</v>
      </c>
      <c r="GF24" s="62">
        <f t="shared" si="50"/>
        <v>145.64042897395763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3.3521212121212121</v>
      </c>
      <c r="GU24" s="13">
        <f>IF('Données projet'!$A$270&gt;35,GU23+GT24-HC23,IF(A24&lt;'Données projet'!$A$270,$GR$205^A24,IF(A24='Données projet'!$A$270,'Données projet'!$B$270,GU23+GT24-HC23)))</f>
        <v>19.981193071464631</v>
      </c>
      <c r="GV24" s="18">
        <f>GU24*VLOOKUP('Données projet'!$B$18,Paramètres!$A$1:$I$89,3,0)*VLOOKUP('Données projet'!$B$18,Paramètres!$A$1:$I$89,5,0)</f>
        <v>21.507756222124527</v>
      </c>
      <c r="GW24" s="14">
        <f t="shared" si="51"/>
        <v>6.9347865781399411</v>
      </c>
      <c r="GX24" s="22">
        <f t="shared" si="28"/>
        <v>49.53742871046061</v>
      </c>
      <c r="GY24" s="62">
        <f t="shared" si="29"/>
        <v>331.87076204379395</v>
      </c>
      <c r="GZ24" s="62">
        <f ca="1">AVERAGE(OFFSET($GY$3,0,0,'Données projet'!$E$18+1,1))-AVERAGE(OFFSET($H$3,0,0,'Données projet'!$E$18+1,1))</f>
        <v>331.3579800635751</v>
      </c>
      <c r="HA24" s="62">
        <f t="shared" si="52"/>
        <v>209.40702003535273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6.166060606060606</v>
      </c>
      <c r="N25" s="14">
        <f>IF('Données projet'!$A$36&gt;35,N24+M25-V24,IF(A25&lt;'Données projet'!$A$36,$K$205^A25,IF(A25='Données projet'!$A$36,'Données projet'!$B$36,N24+M25-V24)))</f>
        <v>34.595091689058229</v>
      </c>
      <c r="O25" s="14">
        <f>N25*VLOOKUP('Données projet'!$B$9,Paramètres!$A$1:$I$89,3,0)*VLOOKUP('Données projet'!$B$9,Paramètres!$A$1:$I$89,5,0)</f>
        <v>31.301638960259886</v>
      </c>
      <c r="P25" s="14">
        <f t="shared" si="33"/>
        <v>9.6612903671246322</v>
      </c>
      <c r="Q25" s="22">
        <f t="shared" si="2"/>
        <v>71.343768578528028</v>
      </c>
      <c r="R25" s="62">
        <f t="shared" si="0"/>
        <v>354.8993241340836</v>
      </c>
      <c r="S25" s="62">
        <f ca="1">AVERAGE(OFFSET($R$3,0,0,'Données projet'!$E$9+1,1))-AVERAGE(OFFSET($H$3,0,0,'Données projet'!$E$9+1,1))</f>
        <v>2472.5049373954762</v>
      </c>
      <c r="T25" s="62">
        <f t="shared" si="34"/>
        <v>286.98388307318311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6.166060606060606</v>
      </c>
      <c r="AI25" s="14">
        <f>IF('Données projet'!$A$62&gt;35,AI24+AH25-AQ24,IF(A25&lt;'Données projet'!$A$62,$AF$205^A25,IF(A25='Données projet'!$A$62,'Données projet'!$B$62,AI24+AH25-AQ24)))</f>
        <v>34.595091689058229</v>
      </c>
      <c r="AJ25" s="14">
        <f>AI25*VLOOKUP('Données projet'!$B$10,Paramètres!$A$1:$I$89,3,0)*VLOOKUP('Données projet'!$B$10,Paramètres!$A$1:$I$89,5,0)</f>
        <v>35.079422972705046</v>
      </c>
      <c r="AK25" s="14">
        <f t="shared" si="35"/>
        <v>10.684652491741399</v>
      </c>
      <c r="AL25" s="22">
        <f t="shared" si="4"/>
        <v>79.705764767244233</v>
      </c>
      <c r="AM25" s="62">
        <f t="shared" si="5"/>
        <v>363.26132032279975</v>
      </c>
      <c r="AN25" s="62">
        <f ca="1">AVERAGE(OFFSET($AM$3,0,0,'Données projet'!$E$10+1,1))-AVERAGE(OFFSET($H$3,0,0,'Données projet'!$E$10+1,1))</f>
        <v>2761.1400657295467</v>
      </c>
      <c r="AO25" s="62">
        <f t="shared" si="36"/>
        <v>316.41877504316409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6.166060606060606</v>
      </c>
      <c r="BD25" s="13">
        <f>IF('Données projet'!$A$88&gt;35,BD24+BC25-BL24,IF(A25&lt;'Données projet'!$A$88,$BA$205^A25,IF(A25='Données projet'!$A$88,'Données projet'!$B$88,BD24+BC25-BL24)))</f>
        <v>34.595091689058229</v>
      </c>
      <c r="BE25" s="14">
        <f>BD25*VLOOKUP('Données projet'!$B$11,Paramètres!$A$1:$I$89,3,0)*VLOOKUP('Données projet'!$B$11,Paramètres!$A$1:$I$89,5,0)</f>
        <v>36.158789833403667</v>
      </c>
      <c r="BF25" s="14">
        <f t="shared" si="37"/>
        <v>10.974629194978842</v>
      </c>
      <c r="BG25" s="22">
        <f t="shared" si="7"/>
        <v>82.090704807766187</v>
      </c>
      <c r="BH25" s="62">
        <f t="shared" si="8"/>
        <v>365.64626036332174</v>
      </c>
      <c r="BI25" s="62">
        <f ca="1">AVERAGE(OFFSET($BH$3,0,0,'Données projet'!$E$11+1,1))-AVERAGE(OFFSET($H$3,0,0,'Données projet'!$E$11+1,1))</f>
        <v>2843.5086223152098</v>
      </c>
      <c r="BJ25" s="62">
        <f t="shared" si="38"/>
        <v>324.81562437645522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6.166060606060606</v>
      </c>
      <c r="BY25" s="13">
        <f>IF('Données projet'!$A$114&gt;35,BY24+BX25-CG24,IF(A25&lt;'Données projet'!$A$114,$BV$205^A25,IF(A25='Données projet'!$A$114,'Données projet'!$B$114,BY24+BX25-CG24)))</f>
        <v>34.595091689058229</v>
      </c>
      <c r="BZ25" s="14">
        <f>BY25*VLOOKUP('Données projet'!$B$12,Paramètres!$A$1:$I$89,3,0)*VLOOKUP('Données projet'!$B$12,Paramètres!$A$1:$I$89,5,0)</f>
        <v>34.539739542355733</v>
      </c>
      <c r="CA25" s="14">
        <f t="shared" si="39"/>
        <v>10.539276168279523</v>
      </c>
      <c r="CB25" s="22">
        <f t="shared" si="10"/>
        <v>78.512619029356401</v>
      </c>
      <c r="CC25" s="62">
        <f t="shared" si="11"/>
        <v>362.06817458491196</v>
      </c>
      <c r="CD25" s="62">
        <f ca="1">AVERAGE(OFFSET($CC$3,0,0,'Données projet'!$E$12+1,1))-AVERAGE(OFFSET($H$3,0,0,'Données projet'!$E$12+1,1))</f>
        <v>2719.939926994799</v>
      </c>
      <c r="CE25" s="62">
        <f t="shared" si="40"/>
        <v>312.21824046329749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8.1527272727272742</v>
      </c>
      <c r="CT25" s="13">
        <f>IF('Données projet'!$A$140&gt;35,CT24+CS25-DB24,IF(A25&lt;'Données projet'!$A$140,$CQ$205^A25,IF(A25='Données projet'!$A$140,'Données projet'!$B$140,CT24+CS25-DB24)))</f>
        <v>41.67522016895996</v>
      </c>
      <c r="CU25" s="18">
        <f>CT25*VLOOKUP('Données projet'!$B$13,Paramètres!$A$1:$I$89,3,0)*VLOOKUP('Données projet'!$B$13,Paramètres!$A$1:$I$89,5,0)</f>
        <v>36.40747233960343</v>
      </c>
      <c r="CV25" s="14">
        <f t="shared" si="41"/>
        <v>11.041295054713341</v>
      </c>
      <c r="CW25" s="22">
        <f t="shared" si="13"/>
        <v>82.639936545101719</v>
      </c>
      <c r="CX25" s="62">
        <f t="shared" si="14"/>
        <v>366.19549210065725</v>
      </c>
      <c r="CY25" s="62">
        <f ca="1">AVERAGE(OFFSET($CX$3,0,0,'Données projet'!$E$13+1,1))-AVERAGE(OFFSET($H$3,0,0,'Données projet'!$E$13+1,1))</f>
        <v>1036.0130072090849</v>
      </c>
      <c r="CZ25" s="62">
        <f t="shared" si="42"/>
        <v>346.56593355696174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12.48</v>
      </c>
      <c r="DO25" s="13">
        <f>IF('Données projet'!$A$166&gt;35,DO24+DN25-DW24,IF(A25&lt;'Données projet'!$A$166,$DL$205^A25,IF(A25='Données projet'!$A$166,'Données projet'!$B$166,DO24+DN25-DW24)))</f>
        <v>156.62318191634085</v>
      </c>
      <c r="DP25" s="18">
        <f>DO25*VLOOKUP('Données projet'!$B$14,Paramètres!$A$1:$I$89,3,0)*VLOOKUP('Données projet'!$B$14,Paramètres!$A$1:$I$89,5,0)</f>
        <v>87.552358691234545</v>
      </c>
      <c r="DQ25" s="14">
        <f t="shared" si="43"/>
        <v>23.973968903943298</v>
      </c>
      <c r="DR25" s="22">
        <f t="shared" si="16"/>
        <v>194.24168722826809</v>
      </c>
      <c r="DS25" s="62">
        <f t="shared" si="17"/>
        <v>477.79724278382366</v>
      </c>
      <c r="DT25" s="62">
        <f ca="1">AVERAGE(OFFSET($DS$3,0,0,'Données projet'!$E$14+1,1))-AVERAGE(OFFSET($H$3,0,0,'Données projet'!$E$14+1,1))</f>
        <v>446.48069057792151</v>
      </c>
      <c r="DU25" s="62">
        <f t="shared" si="44"/>
        <v>561.75656782935948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3.3521212121212121</v>
      </c>
      <c r="EJ25" s="13">
        <f>IF('Données projet'!$A$192&gt;35,EJ24+EI25-ER24,IF(A25&lt;'Données projet'!$A$192,$EG$205^A25,IF(A25='Données projet'!$A$192,'Données projet'!$B$192,EJ24+EI25-ER24)))</f>
        <v>23.043888724807378</v>
      </c>
      <c r="EK25" s="18">
        <f>EJ25*VLOOKUP('Données projet'!$B$15,Paramètres!$A$1:$I$89,3,0)*VLOOKUP('Données projet'!$B$15,Paramètres!$A$1:$I$89,5,0)</f>
        <v>22.288049174633695</v>
      </c>
      <c r="EL25" s="14">
        <f t="shared" si="45"/>
        <v>7.1566295063496774</v>
      </c>
      <c r="EM25" s="22">
        <f t="shared" si="19"/>
        <v>51.282815369379364</v>
      </c>
      <c r="EN25" s="62">
        <f t="shared" si="20"/>
        <v>334.83837092493491</v>
      </c>
      <c r="EO25" s="62">
        <f ca="1">AVERAGE(OFFSET($EN$3,0,0,'Données projet'!$E$15+1,1))-AVERAGE(OFFSET($H$3,0,0,'Données projet'!$E$15+1,1))</f>
        <v>301.18531163828169</v>
      </c>
      <c r="EP25" s="62">
        <f t="shared" si="46"/>
        <v>192.30530273268101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3.3521212121212121</v>
      </c>
      <c r="FE25" s="13">
        <f>IF('Données projet'!$A$218&gt;35,FE24+FD25-FM24,IF(A25&lt;'Données projet'!$A$218,$FB$205^A25,IF(A25='Données projet'!$A$218,'Données projet'!$B$218,FE24+FD25-FM24)))</f>
        <v>23.043888724807378</v>
      </c>
      <c r="FF25" s="18">
        <f>FE25*VLOOKUP('Données projet'!$B$16,Paramètres!$A$1:$I$89,3,0)*VLOOKUP('Données projet'!$B$16,Paramètres!$A$1:$I$89,5,0)</f>
        <v>17.974233205349755</v>
      </c>
      <c r="FG25" s="14">
        <f t="shared" si="47"/>
        <v>5.917811584507092</v>
      </c>
      <c r="FH25" s="22">
        <f t="shared" si="22"/>
        <v>41.611978009000673</v>
      </c>
      <c r="FI25" s="62">
        <f t="shared" si="23"/>
        <v>325.16753356455621</v>
      </c>
      <c r="FJ25" s="62">
        <f ca="1">AVERAGE(OFFSET($FI$3,0,0,'Données projet'!$E$16+1,1))-AVERAGE(OFFSET($H$3,0,0,'Données projet'!$E$16+1,1))</f>
        <v>249.2899297828755</v>
      </c>
      <c r="FK25" s="62">
        <f t="shared" si="48"/>
        <v>162.88011837476813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3.3521212121212121</v>
      </c>
      <c r="FZ25" s="13">
        <f>IF('Données projet'!$A$244&gt;35,FZ24+FY25-GH24,IF(A25&lt;'Données projet'!$A$244,$FW$205^A25,IF(A25='Données projet'!$A$244,'Données projet'!$B$244,FZ24+FY25-GH24)))</f>
        <v>23.043888724807378</v>
      </c>
      <c r="GA25" s="18">
        <f>FZ25*VLOOKUP('Données projet'!$B$17,Paramètres!$A$1:$I$89,3,0)*VLOOKUP('Données projet'!$B$17,Paramètres!$A$1:$I$89,5,0)</f>
        <v>15.457840556600788</v>
      </c>
      <c r="GB25" s="14">
        <f t="shared" si="49"/>
        <v>5.1794538192055422</v>
      </c>
      <c r="GC25" s="22">
        <f t="shared" si="25"/>
        <v>35.943287704529361</v>
      </c>
      <c r="GD25" s="62">
        <f t="shared" si="26"/>
        <v>319.49884326008493</v>
      </c>
      <c r="GE25" s="62">
        <f ca="1">AVERAGE(OFFSET($GD$3,0,0,'Données projet'!$E$17+1,1))-AVERAGE(OFFSET($H$3,0,0,'Données projet'!$E$17+1,1))</f>
        <v>218.89895999738746</v>
      </c>
      <c r="GF25" s="62">
        <f t="shared" si="50"/>
        <v>145.64042897395763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3.3521212121212121</v>
      </c>
      <c r="GU25" s="13">
        <f>IF('Données projet'!$A$270&gt;35,GU24+GT25-HC24,IF(A25&lt;'Données projet'!$A$270,$GR$205^A25,IF(A25='Données projet'!$A$270,'Données projet'!$B$270,GU24+GT25-HC24)))</f>
        <v>23.043888724807378</v>
      </c>
      <c r="GV25" s="18">
        <f>GU25*VLOOKUP('Données projet'!$B$18,Paramètres!$A$1:$I$89,3,0)*VLOOKUP('Données projet'!$B$18,Paramètres!$A$1:$I$89,5,0)</f>
        <v>24.80444182338266</v>
      </c>
      <c r="GW25" s="14">
        <f t="shared" si="51"/>
        <v>7.8660788305369751</v>
      </c>
      <c r="GX25" s="22">
        <f t="shared" si="28"/>
        <v>56.901156805576704</v>
      </c>
      <c r="GY25" s="62">
        <f t="shared" si="29"/>
        <v>340.45671236113225</v>
      </c>
      <c r="GZ25" s="62">
        <f ca="1">AVERAGE(OFFSET($GY$3,0,0,'Données projet'!$E$18+1,1))-AVERAGE(OFFSET($H$3,0,0,'Données projet'!$E$18+1,1))</f>
        <v>331.3579800635751</v>
      </c>
      <c r="HA25" s="62">
        <f t="shared" si="52"/>
        <v>209.40702003535273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6.166060606060606</v>
      </c>
      <c r="N26" s="14">
        <f>IF('Données projet'!$A$36&gt;35,N25+M26-V25,IF(A26&lt;'Données projet'!$A$36,$K$205^A26,IF(A26='Données projet'!$A$36,'Données projet'!$B$36,N25+M26-V25)))</f>
        <v>40.64149638131056</v>
      </c>
      <c r="O26" s="14">
        <f>N26*VLOOKUP('Données projet'!$B$9,Paramètres!$A$1:$I$89,3,0)*VLOOKUP('Données projet'!$B$9,Paramètres!$A$1:$I$89,5,0)</f>
        <v>36.772425925809799</v>
      </c>
      <c r="P26" s="14">
        <f t="shared" si="33"/>
        <v>11.139034602966202</v>
      </c>
      <c r="Q26" s="22">
        <f t="shared" si="2"/>
        <v>83.445793754284864</v>
      </c>
      <c r="R26" s="62">
        <f t="shared" si="0"/>
        <v>368.22357153206264</v>
      </c>
      <c r="S26" s="62">
        <f ca="1">AVERAGE(OFFSET($R$3,0,0,'Données projet'!$E$9+1,1))-AVERAGE(OFFSET($H$3,0,0,'Données projet'!$E$9+1,1))</f>
        <v>2472.5049373954762</v>
      </c>
      <c r="T26" s="62">
        <f t="shared" si="34"/>
        <v>286.98388307318311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6.166060606060606</v>
      </c>
      <c r="AI26" s="14">
        <f>IF('Données projet'!$A$62&gt;35,AI25+AH26-AQ25,IF(A26&lt;'Données projet'!$A$62,$AF$205^A26,IF(A26='Données projet'!$A$62,'Données projet'!$B$62,AI25+AH26-AQ25)))</f>
        <v>40.64149638131056</v>
      </c>
      <c r="AJ26" s="14">
        <f>AI26*VLOOKUP('Données projet'!$B$10,Paramètres!$A$1:$I$89,3,0)*VLOOKUP('Données projet'!$B$10,Paramètres!$A$1:$I$89,5,0)</f>
        <v>41.210477330648907</v>
      </c>
      <c r="AK26" s="14">
        <f t="shared" si="35"/>
        <v>12.318925247414739</v>
      </c>
      <c r="AL26" s="22">
        <f t="shared" si="4"/>
        <v>93.230376156794179</v>
      </c>
      <c r="AM26" s="62">
        <f t="shared" si="5"/>
        <v>378.00815393457196</v>
      </c>
      <c r="AN26" s="62">
        <f ca="1">AVERAGE(OFFSET($AM$3,0,0,'Données projet'!$E$10+1,1))-AVERAGE(OFFSET($H$3,0,0,'Données projet'!$E$10+1,1))</f>
        <v>2761.1400657295467</v>
      </c>
      <c r="AO26" s="62">
        <f t="shared" si="36"/>
        <v>316.41877504316409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6.166060606060606</v>
      </c>
      <c r="BD26" s="13">
        <f>IF('Données projet'!$A$88&gt;35,BD25+BC26-BL25,IF(A26&lt;'Données projet'!$A$88,$BA$205^A26,IF(A26='Données projet'!$A$88,'Données projet'!$B$88,BD25+BC26-BL25)))</f>
        <v>40.64149638131056</v>
      </c>
      <c r="BE26" s="14">
        <f>BD26*VLOOKUP('Données projet'!$B$11,Paramètres!$A$1:$I$89,3,0)*VLOOKUP('Données projet'!$B$11,Paramètres!$A$1:$I$89,5,0)</f>
        <v>42.478492017745801</v>
      </c>
      <c r="BF26" s="14">
        <f t="shared" si="37"/>
        <v>12.6532553843504</v>
      </c>
      <c r="BG26" s="22">
        <f t="shared" si="7"/>
        <v>96.021126725317558</v>
      </c>
      <c r="BH26" s="62">
        <f t="shared" si="8"/>
        <v>380.79890450309534</v>
      </c>
      <c r="BI26" s="62">
        <f ca="1">AVERAGE(OFFSET($BH$3,0,0,'Données projet'!$E$11+1,1))-AVERAGE(OFFSET($H$3,0,0,'Données projet'!$E$11+1,1))</f>
        <v>2843.5086223152098</v>
      </c>
      <c r="BJ26" s="62">
        <f t="shared" si="38"/>
        <v>324.81562437645522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6.166060606060606</v>
      </c>
      <c r="BY26" s="13">
        <f>IF('Données projet'!$A$114&gt;35,BY25+BX26-CG25,IF(A26&lt;'Données projet'!$A$114,$BV$205^A26,IF(A26='Données projet'!$A$114,'Données projet'!$B$114,BY25+BX26-CG25)))</f>
        <v>40.64149638131056</v>
      </c>
      <c r="BZ26" s="14">
        <f>BY26*VLOOKUP('Données projet'!$B$12,Paramètres!$A$1:$I$89,3,0)*VLOOKUP('Données projet'!$B$12,Paramètres!$A$1:$I$89,5,0)</f>
        <v>40.576469987100467</v>
      </c>
      <c r="CA26" s="14">
        <f t="shared" si="39"/>
        <v>12.151312864807537</v>
      </c>
      <c r="CB26" s="22">
        <f t="shared" si="10"/>
        <v>91.834221800406439</v>
      </c>
      <c r="CC26" s="62">
        <f t="shared" si="11"/>
        <v>376.61199957818422</v>
      </c>
      <c r="CD26" s="62">
        <f ca="1">AVERAGE(OFFSET($CC$3,0,0,'Données projet'!$E$12+1,1))-AVERAGE(OFFSET($H$3,0,0,'Données projet'!$E$12+1,1))</f>
        <v>2719.939926994799</v>
      </c>
      <c r="CE26" s="62">
        <f t="shared" si="40"/>
        <v>312.21824046329749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8.1527272727272742</v>
      </c>
      <c r="CT26" s="13">
        <f>IF('Données projet'!$A$140&gt;35,CT25+CS26-DB25,IF(A26&lt;'Données projet'!$A$140,$CQ$205^A26,IF(A26='Données projet'!$A$140,'Données projet'!$B$140,CT25+CS26-DB25)))</f>
        <v>49.375182814468658</v>
      </c>
      <c r="CU26" s="18">
        <f>CT26*VLOOKUP('Données projet'!$B$13,Paramètres!$A$1:$I$89,3,0)*VLOOKUP('Données projet'!$B$13,Paramètres!$A$1:$I$89,5,0)</f>
        <v>43.134159706719828</v>
      </c>
      <c r="CV26" s="14">
        <f t="shared" si="41"/>
        <v>12.825674169342497</v>
      </c>
      <c r="CW26" s="22">
        <f t="shared" si="13"/>
        <v>97.463377334141867</v>
      </c>
      <c r="CX26" s="62">
        <f t="shared" si="14"/>
        <v>382.24115511191962</v>
      </c>
      <c r="CY26" s="62">
        <f ca="1">AVERAGE(OFFSET($CX$3,0,0,'Données projet'!$E$13+1,1))-AVERAGE(OFFSET($H$3,0,0,'Données projet'!$E$13+1,1))</f>
        <v>1036.0130072090849</v>
      </c>
      <c r="CZ26" s="62">
        <f t="shared" si="42"/>
        <v>346.56593355696174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12.48</v>
      </c>
      <c r="DO26" s="13">
        <f>IF('Données projet'!$A$166&gt;35,DO25+DN26-DW25,IF(A26&lt;'Données projet'!$A$166,$DL$205^A26,IF(A26='Données projet'!$A$166,'Données projet'!$B$166,DO25+DN26-DW25)))</f>
        <v>197.07077590794233</v>
      </c>
      <c r="DP26" s="18">
        <f>DO26*VLOOKUP('Données projet'!$B$14,Paramètres!$A$1:$I$89,3,0)*VLOOKUP('Données projet'!$B$14,Paramètres!$A$1:$I$89,5,0)</f>
        <v>110.16256373253977</v>
      </c>
      <c r="DQ26" s="14">
        <f t="shared" si="43"/>
        <v>29.369282563374597</v>
      </c>
      <c r="DR26" s="22">
        <f t="shared" si="16"/>
        <v>243.01796563205082</v>
      </c>
      <c r="DS26" s="62">
        <f t="shared" si="17"/>
        <v>527.79574340982856</v>
      </c>
      <c r="DT26" s="62">
        <f ca="1">AVERAGE(OFFSET($DS$3,0,0,'Données projet'!$E$14+1,1))-AVERAGE(OFFSET($H$3,0,0,'Données projet'!$E$14+1,1))</f>
        <v>446.48069057792151</v>
      </c>
      <c r="DU26" s="62">
        <f t="shared" si="44"/>
        <v>561.75656782935948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3.3521212121212121</v>
      </c>
      <c r="EJ26" s="13">
        <f>IF('Données projet'!$A$192&gt;35,EJ25+EI26-ER25,IF(A26&lt;'Données projet'!$A$192,$EG$205^A26,IF(A26='Données projet'!$A$192,'Données projet'!$B$192,EJ25+EI26-ER25)))</f>
        <v>26.576031053904458</v>
      </c>
      <c r="EK26" s="18">
        <f>EJ26*VLOOKUP('Données projet'!$B$15,Paramètres!$A$1:$I$89,3,0)*VLOOKUP('Données projet'!$B$15,Paramètres!$A$1:$I$89,5,0)</f>
        <v>25.704337235336389</v>
      </c>
      <c r="EL26" s="14">
        <f t="shared" si="45"/>
        <v>8.1177136777860195</v>
      </c>
      <c r="EM26" s="22">
        <f t="shared" si="19"/>
        <v>58.906738673688189</v>
      </c>
      <c r="EN26" s="62">
        <f t="shared" si="20"/>
        <v>343.68451645146598</v>
      </c>
      <c r="EO26" s="62">
        <f ca="1">AVERAGE(OFFSET($EN$3,0,0,'Données projet'!$E$15+1,1))-AVERAGE(OFFSET($H$3,0,0,'Données projet'!$E$15+1,1))</f>
        <v>301.18531163828169</v>
      </c>
      <c r="EP26" s="62">
        <f t="shared" si="46"/>
        <v>192.30530273268101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3.3521212121212121</v>
      </c>
      <c r="FE26" s="13">
        <f>IF('Données projet'!$A$218&gt;35,FE25+FD26-FM25,IF(A26&lt;'Données projet'!$A$218,$FB$205^A26,IF(A26='Données projet'!$A$218,'Données projet'!$B$218,FE25+FD26-FM25)))</f>
        <v>26.576031053904458</v>
      </c>
      <c r="FF26" s="18">
        <f>FE26*VLOOKUP('Données projet'!$B$16,Paramètres!$A$1:$I$89,3,0)*VLOOKUP('Données projet'!$B$16,Paramètres!$A$1:$I$89,5,0)</f>
        <v>20.729304222045478</v>
      </c>
      <c r="FG26" s="14">
        <f t="shared" si="47"/>
        <v>6.712531366824475</v>
      </c>
      <c r="FH26" s="22">
        <f t="shared" si="22"/>
        <v>47.79453031728184</v>
      </c>
      <c r="FI26" s="62">
        <f t="shared" si="23"/>
        <v>332.57230809505961</v>
      </c>
      <c r="FJ26" s="62">
        <f ca="1">AVERAGE(OFFSET($FI$3,0,0,'Données projet'!$E$16+1,1))-AVERAGE(OFFSET($H$3,0,0,'Données projet'!$E$16+1,1))</f>
        <v>249.2899297828755</v>
      </c>
      <c r="FK26" s="62">
        <f t="shared" si="48"/>
        <v>162.88011837476813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3.3521212121212121</v>
      </c>
      <c r="FZ26" s="13">
        <f>IF('Données projet'!$A$244&gt;35,FZ25+FY26-GH25,IF(A26&lt;'Données projet'!$A$244,$FW$205^A26,IF(A26='Données projet'!$A$244,'Données projet'!$B$244,FZ25+FY26-GH25)))</f>
        <v>26.576031053904458</v>
      </c>
      <c r="GA26" s="18">
        <f>FZ26*VLOOKUP('Données projet'!$B$17,Paramètres!$A$1:$I$89,3,0)*VLOOKUP('Données projet'!$B$17,Paramètres!$A$1:$I$89,5,0)</f>
        <v>17.827201630959109</v>
      </c>
      <c r="GB26" s="14">
        <f t="shared" si="49"/>
        <v>5.8750174330418234</v>
      </c>
      <c r="GC26" s="22">
        <f t="shared" si="25"/>
        <v>41.281364869801621</v>
      </c>
      <c r="GD26" s="62">
        <f t="shared" si="26"/>
        <v>326.05914264757939</v>
      </c>
      <c r="GE26" s="62">
        <f ca="1">AVERAGE(OFFSET($GD$3,0,0,'Données projet'!$E$17+1,1))-AVERAGE(OFFSET($H$3,0,0,'Données projet'!$E$17+1,1))</f>
        <v>218.89895999738746</v>
      </c>
      <c r="GF26" s="62">
        <f t="shared" si="50"/>
        <v>145.64042897395763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3.3521212121212121</v>
      </c>
      <c r="GU26" s="13">
        <f>IF('Données projet'!$A$270&gt;35,GU25+GT26-HC25,IF(A26&lt;'Données projet'!$A$270,$GR$205^A26,IF(A26='Données projet'!$A$270,'Données projet'!$B$270,GU25+GT26-HC25)))</f>
        <v>26.576031053904458</v>
      </c>
      <c r="GV26" s="18">
        <f>GU26*VLOOKUP('Données projet'!$B$18,Paramètres!$A$1:$I$89,3,0)*VLOOKUP('Données projet'!$B$18,Paramètres!$A$1:$I$89,5,0)</f>
        <v>28.606439826422758</v>
      </c>
      <c r="GW26" s="14">
        <f t="shared" si="51"/>
        <v>8.9224369735136424</v>
      </c>
      <c r="GX26" s="22">
        <f t="shared" si="28"/>
        <v>65.362793759889215</v>
      </c>
      <c r="GY26" s="62">
        <f t="shared" si="29"/>
        <v>350.14057153766697</v>
      </c>
      <c r="GZ26" s="62">
        <f ca="1">AVERAGE(OFFSET($GY$3,0,0,'Données projet'!$E$18+1,1))-AVERAGE(OFFSET($H$3,0,0,'Données projet'!$E$18+1,1))</f>
        <v>331.3579800635751</v>
      </c>
      <c r="HA26" s="62">
        <f t="shared" si="52"/>
        <v>209.40702003535273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6.166060606060606</v>
      </c>
      <c r="N27" s="14">
        <f>IF('Données projet'!$A$36&gt;35,N26+M27-V26,IF(A27&lt;'Données projet'!$A$36,$K$205^A27,IF(A27='Données projet'!$A$36,'Données projet'!$B$36,N26+M27-V26)))</f>
        <v>47.74466976292161</v>
      </c>
      <c r="O27" s="14">
        <f>N27*VLOOKUP('Données projet'!$B$9,Paramètres!$A$1:$I$89,3,0)*VLOOKUP('Données projet'!$B$9,Paramètres!$A$1:$I$89,5,0)</f>
        <v>43.199377201491473</v>
      </c>
      <c r="P27" s="14">
        <f t="shared" si="33"/>
        <v>12.842807448194533</v>
      </c>
      <c r="Q27" s="22">
        <f t="shared" si="2"/>
        <v>97.606804931536445</v>
      </c>
      <c r="R27" s="62">
        <f t="shared" si="0"/>
        <v>383.60680493153643</v>
      </c>
      <c r="S27" s="62">
        <f ca="1">AVERAGE(OFFSET($R$3,0,0,'Données projet'!$E$9+1,1))-AVERAGE(OFFSET($H$3,0,0,'Données projet'!$E$9+1,1))</f>
        <v>2472.5049373954762</v>
      </c>
      <c r="T27" s="62">
        <f t="shared" si="34"/>
        <v>286.98388307318311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6.166060606060606</v>
      </c>
      <c r="AI27" s="14">
        <f>IF('Données projet'!$A$62&gt;35,AI26+AH27-AQ26,IF(A27&lt;'Données projet'!$A$62,$AF$205^A27,IF(A27='Données projet'!$A$62,'Données projet'!$B$62,AI26+AH27-AQ26)))</f>
        <v>47.74466976292161</v>
      </c>
      <c r="AJ27" s="14">
        <f>AI27*VLOOKUP('Données projet'!$B$10,Paramètres!$A$1:$I$89,3,0)*VLOOKUP('Données projet'!$B$10,Paramètres!$A$1:$I$89,5,0)</f>
        <v>48.413095139602518</v>
      </c>
      <c r="AK27" s="14">
        <f t="shared" si="35"/>
        <v>14.20316845762561</v>
      </c>
      <c r="AL27" s="22">
        <f t="shared" si="4"/>
        <v>109.05665909850565</v>
      </c>
      <c r="AM27" s="62">
        <f t="shared" si="5"/>
        <v>395.05665909850563</v>
      </c>
      <c r="AN27" s="62">
        <f ca="1">AVERAGE(OFFSET($AM$3,0,0,'Données projet'!$E$10+1,1))-AVERAGE(OFFSET($H$3,0,0,'Données projet'!$E$10+1,1))</f>
        <v>2761.1400657295467</v>
      </c>
      <c r="AO27" s="62">
        <f t="shared" si="36"/>
        <v>316.41877504316409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6.166060606060606</v>
      </c>
      <c r="BD27" s="13">
        <f>IF('Données projet'!$A$88&gt;35,BD26+BC27-BL26,IF(A27&lt;'Données projet'!$A$88,$BA$205^A27,IF(A27='Données projet'!$A$88,'Données projet'!$B$88,BD26+BC27-BL26)))</f>
        <v>47.74466976292161</v>
      </c>
      <c r="BE27" s="14">
        <f>BD27*VLOOKUP('Données projet'!$B$11,Paramètres!$A$1:$I$89,3,0)*VLOOKUP('Données projet'!$B$11,Paramètres!$A$1:$I$89,5,0)</f>
        <v>49.902728836205668</v>
      </c>
      <c r="BF27" s="14">
        <f t="shared" si="37"/>
        <v>14.588636114908029</v>
      </c>
      <c r="BG27" s="22">
        <f t="shared" si="7"/>
        <v>112.32246062318968</v>
      </c>
      <c r="BH27" s="62">
        <f t="shared" si="8"/>
        <v>398.32246062318967</v>
      </c>
      <c r="BI27" s="62">
        <f ca="1">AVERAGE(OFFSET($BH$3,0,0,'Données projet'!$E$11+1,1))-AVERAGE(OFFSET($H$3,0,0,'Données projet'!$E$11+1,1))</f>
        <v>2843.5086223152098</v>
      </c>
      <c r="BJ27" s="62">
        <f t="shared" si="38"/>
        <v>324.81562437645522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6.166060606060606</v>
      </c>
      <c r="BY27" s="13">
        <f>IF('Données projet'!$A$114&gt;35,BY26+BX27-CG26,IF(A27&lt;'Données projet'!$A$114,$BV$205^A27,IF(A27='Données projet'!$A$114,'Données projet'!$B$114,BY26+BX27-CG26)))</f>
        <v>47.74466976292161</v>
      </c>
      <c r="BZ27" s="14">
        <f>BY27*VLOOKUP('Données projet'!$B$12,Paramètres!$A$1:$I$89,3,0)*VLOOKUP('Données projet'!$B$12,Paramètres!$A$1:$I$89,5,0)</f>
        <v>47.668278291300936</v>
      </c>
      <c r="CA27" s="14">
        <f t="shared" si="39"/>
        <v>14.009918895838247</v>
      </c>
      <c r="CB27" s="22">
        <f t="shared" si="10"/>
        <v>107.42286010093407</v>
      </c>
      <c r="CC27" s="62">
        <f t="shared" si="11"/>
        <v>393.42286010093409</v>
      </c>
      <c r="CD27" s="62">
        <f ca="1">AVERAGE(OFFSET($CC$3,0,0,'Données projet'!$E$12+1,1))-AVERAGE(OFFSET($H$3,0,0,'Données projet'!$E$12+1,1))</f>
        <v>2719.939926994799</v>
      </c>
      <c r="CE27" s="62">
        <f t="shared" si="40"/>
        <v>312.21824046329749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8.1527272727272742</v>
      </c>
      <c r="CT27" s="13">
        <f>IF('Données projet'!$A$140&gt;35,CT26+CS27-DB26,IF(A27&lt;'Données projet'!$A$140,$CQ$205^A27,IF(A27='Données projet'!$A$140,'Données projet'!$B$140,CT26+CS27-DB26)))</f>
        <v>58.497799605578933</v>
      </c>
      <c r="CU27" s="18">
        <f>CT27*VLOOKUP('Données projet'!$B$13,Paramètres!$A$1:$I$89,3,0)*VLOOKUP('Données projet'!$B$13,Paramètres!$A$1:$I$89,5,0)</f>
        <v>51.103677735433763</v>
      </c>
      <c r="CV27" s="14">
        <f t="shared" si="41"/>
        <v>14.898426052650233</v>
      </c>
      <c r="CW27" s="22">
        <f t="shared" si="13"/>
        <v>114.95366409757962</v>
      </c>
      <c r="CX27" s="62">
        <f t="shared" si="14"/>
        <v>400.95366409757963</v>
      </c>
      <c r="CY27" s="62">
        <f ca="1">AVERAGE(OFFSET($CX$3,0,0,'Données projet'!$E$13+1,1))-AVERAGE(OFFSET($H$3,0,0,'Données projet'!$E$13+1,1))</f>
        <v>1036.0130072090849</v>
      </c>
      <c r="CZ27" s="62">
        <f t="shared" si="42"/>
        <v>346.56593355696174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12.48</v>
      </c>
      <c r="DO27" s="13">
        <f>IF('Données projet'!$A$166&gt;35,DO26+DN27-DW26,IF(A27&lt;'Données projet'!$A$166,$DL$205^A27,IF(A27='Données projet'!$A$166,'Données projet'!$B$166,DO26+DN27-DW26)))</f>
        <v>247.96387253646063</v>
      </c>
      <c r="DP27" s="18">
        <f>DO27*VLOOKUP('Données projet'!$B$14,Paramètres!$A$1:$I$89,3,0)*VLOOKUP('Données projet'!$B$14,Paramètres!$A$1:$I$89,5,0)</f>
        <v>138.61180474788148</v>
      </c>
      <c r="DQ27" s="14">
        <f t="shared" si="43"/>
        <v>35.978805250951353</v>
      </c>
      <c r="DR27" s="22">
        <f t="shared" si="16"/>
        <v>304.07864574796713</v>
      </c>
      <c r="DS27" s="62">
        <f t="shared" si="17"/>
        <v>590.07864574796713</v>
      </c>
      <c r="DT27" s="62">
        <f ca="1">AVERAGE(OFFSET($DS$3,0,0,'Données projet'!$E$14+1,1))-AVERAGE(OFFSET($H$3,0,0,'Données projet'!$E$14+1,1))</f>
        <v>446.48069057792151</v>
      </c>
      <c r="DU27" s="62">
        <f t="shared" si="44"/>
        <v>561.75656782935948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3.3521212121212121</v>
      </c>
      <c r="EJ27" s="13">
        <f>IF('Données projet'!$A$192&gt;35,EJ26+EI27-ER26,IF(A27&lt;'Données projet'!$A$192,$EG$205^A27,IF(A27='Données projet'!$A$192,'Données projet'!$B$192,EJ26+EI27-ER26)))</f>
        <v>30.649576337250686</v>
      </c>
      <c r="EK27" s="18">
        <f>EJ27*VLOOKUP('Données projet'!$B$15,Paramètres!$A$1:$I$89,3,0)*VLOOKUP('Données projet'!$B$15,Paramètres!$A$1:$I$89,5,0)</f>
        <v>29.644270233388863</v>
      </c>
      <c r="EL27" s="14">
        <f t="shared" si="45"/>
        <v>9.2078645815110658</v>
      </c>
      <c r="EM27" s="22">
        <f t="shared" si="19"/>
        <v>67.667468135950699</v>
      </c>
      <c r="EN27" s="62">
        <f t="shared" si="20"/>
        <v>353.66746813595068</v>
      </c>
      <c r="EO27" s="62">
        <f ca="1">AVERAGE(OFFSET($EN$3,0,0,'Données projet'!$E$15+1,1))-AVERAGE(OFFSET($H$3,0,0,'Données projet'!$E$15+1,1))</f>
        <v>301.18531163828169</v>
      </c>
      <c r="EP27" s="62">
        <f t="shared" si="46"/>
        <v>192.30530273268101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3.3521212121212121</v>
      </c>
      <c r="FE27" s="13">
        <f>IF('Données projet'!$A$218&gt;35,FE26+FD27-FM26,IF(A27&lt;'Données projet'!$A$218,$FB$205^A27,IF(A27='Données projet'!$A$218,'Données projet'!$B$218,FE26+FD27-FM26)))</f>
        <v>30.649576337250686</v>
      </c>
      <c r="FF27" s="18">
        <f>FE27*VLOOKUP('Données projet'!$B$16,Paramètres!$A$1:$I$89,3,0)*VLOOKUP('Données projet'!$B$16,Paramètres!$A$1:$I$89,5,0)</f>
        <v>23.906669543055536</v>
      </c>
      <c r="FG27" s="14">
        <f t="shared" si="47"/>
        <v>7.6139763335090089</v>
      </c>
      <c r="FH27" s="22">
        <f t="shared" si="22"/>
        <v>54.898458235016584</v>
      </c>
      <c r="FI27" s="62">
        <f t="shared" si="23"/>
        <v>340.89845823501656</v>
      </c>
      <c r="FJ27" s="62">
        <f ca="1">AVERAGE(OFFSET($FI$3,0,0,'Données projet'!$E$16+1,1))-AVERAGE(OFFSET($H$3,0,0,'Données projet'!$E$16+1,1))</f>
        <v>249.2899297828755</v>
      </c>
      <c r="FK27" s="62">
        <f t="shared" si="48"/>
        <v>162.88011837476813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3.3521212121212121</v>
      </c>
      <c r="FZ27" s="13">
        <f>IF('Données projet'!$A$244&gt;35,FZ26+FY27-GH26,IF(A27&lt;'Données projet'!$A$244,$FW$205^A27,IF(A27='Données projet'!$A$244,'Données projet'!$B$244,FZ26+FY27-GH26)))</f>
        <v>30.649576337250686</v>
      </c>
      <c r="GA27" s="18">
        <f>FZ27*VLOOKUP('Données projet'!$B$17,Paramètres!$A$1:$I$89,3,0)*VLOOKUP('Données projet'!$B$17,Paramètres!$A$1:$I$89,5,0)</f>
        <v>20.55973580702776</v>
      </c>
      <c r="GB27" s="14">
        <f t="shared" si="49"/>
        <v>6.6639902668037694</v>
      </c>
      <c r="GC27" s="22">
        <f t="shared" si="25"/>
        <v>47.414656245256573</v>
      </c>
      <c r="GD27" s="62">
        <f t="shared" si="26"/>
        <v>333.41465624525659</v>
      </c>
      <c r="GE27" s="62">
        <f ca="1">AVERAGE(OFFSET($GD$3,0,0,'Données projet'!$E$17+1,1))-AVERAGE(OFFSET($H$3,0,0,'Données projet'!$E$17+1,1))</f>
        <v>218.89895999738746</v>
      </c>
      <c r="GF27" s="62">
        <f t="shared" si="50"/>
        <v>145.64042897395763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3.3521212121212121</v>
      </c>
      <c r="GU27" s="13">
        <f>IF('Données projet'!$A$270&gt;35,GU26+GT27-HC26,IF(A27&lt;'Données projet'!$A$270,$GR$205^A27,IF(A27='Données projet'!$A$270,'Données projet'!$B$270,GU26+GT27-HC26)))</f>
        <v>30.649576337250686</v>
      </c>
      <c r="GV27" s="18">
        <f>GU27*VLOOKUP('Données projet'!$B$18,Paramètres!$A$1:$I$89,3,0)*VLOOKUP('Données projet'!$B$18,Paramètres!$A$1:$I$89,5,0)</f>
        <v>32.991203969416631</v>
      </c>
      <c r="GW27" s="14">
        <f t="shared" si="51"/>
        <v>10.120656461929805</v>
      </c>
      <c r="GX27" s="22">
        <f t="shared" si="28"/>
        <v>75.086490251261708</v>
      </c>
      <c r="GY27" s="62">
        <f t="shared" si="29"/>
        <v>361.08649025126169</v>
      </c>
      <c r="GZ27" s="62">
        <f ca="1">AVERAGE(OFFSET($GY$3,0,0,'Données projet'!$E$18+1,1))-AVERAGE(OFFSET($H$3,0,0,'Données projet'!$E$18+1,1))</f>
        <v>331.3579800635751</v>
      </c>
      <c r="HA27" s="62">
        <f t="shared" si="52"/>
        <v>209.40702003535273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6.166060606060606</v>
      </c>
      <c r="N28" s="14">
        <f>IF('Données projet'!$A$36&gt;35,N27+M28-V27,IF(A28&lt;'Données projet'!$A$36,$K$205^A28,IF(A28='Données projet'!$A$36,'Données projet'!$B$36,N27+M28-V27)))</f>
        <v>56.08931003383821</v>
      </c>
      <c r="O28" s="14">
        <f>N28*VLOOKUP('Données projet'!$B$9,Paramètres!$A$1:$I$89,3,0)*VLOOKUP('Données projet'!$B$9,Paramètres!$A$1:$I$89,5,0)</f>
        <v>50.749607718616808</v>
      </c>
      <c r="P28" s="14">
        <f t="shared" si="33"/>
        <v>14.807181145436065</v>
      </c>
      <c r="Q28" s="22">
        <f t="shared" si="2"/>
        <v>114.17807393822544</v>
      </c>
      <c r="R28" s="62">
        <f t="shared" si="0"/>
        <v>401.40029616044768</v>
      </c>
      <c r="S28" s="62">
        <f ca="1">AVERAGE(OFFSET($R$3,0,0,'Données projet'!$E$9+1,1))-AVERAGE(OFFSET($H$3,0,0,'Données projet'!$E$9+1,1))</f>
        <v>2472.5049373954762</v>
      </c>
      <c r="T28" s="62">
        <f t="shared" si="34"/>
        <v>286.98388307318311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6.166060606060606</v>
      </c>
      <c r="AI28" s="14">
        <f>IF('Données projet'!$A$62&gt;35,AI27+AH28-AQ27,IF(A28&lt;'Données projet'!$A$62,$AF$205^A28,IF(A28='Données projet'!$A$62,'Données projet'!$B$62,AI27+AH28-AQ27)))</f>
        <v>56.08931003383821</v>
      </c>
      <c r="AJ28" s="14">
        <f>AI28*VLOOKUP('Données projet'!$B$10,Paramètres!$A$1:$I$89,3,0)*VLOOKUP('Données projet'!$B$10,Paramètres!$A$1:$I$89,5,0)</f>
        <v>56.874560374311955</v>
      </c>
      <c r="AK28" s="14">
        <f t="shared" si="35"/>
        <v>16.375616393810521</v>
      </c>
      <c r="AL28" s="22">
        <f t="shared" si="4"/>
        <v>127.57739120447997</v>
      </c>
      <c r="AM28" s="62">
        <f t="shared" si="5"/>
        <v>414.79961342670219</v>
      </c>
      <c r="AN28" s="62">
        <f ca="1">AVERAGE(OFFSET($AM$3,0,0,'Données projet'!$E$10+1,1))-AVERAGE(OFFSET($H$3,0,0,'Données projet'!$E$10+1,1))</f>
        <v>2761.1400657295467</v>
      </c>
      <c r="AO28" s="62">
        <f t="shared" si="36"/>
        <v>316.41877504316409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6.166060606060606</v>
      </c>
      <c r="BD28" s="13">
        <f>IF('Données projet'!$A$88&gt;35,BD27+BC28-BL27,IF(A28&lt;'Données projet'!$A$88,$BA$205^A28,IF(A28='Données projet'!$A$88,'Données projet'!$B$88,BD27+BC28-BL27)))</f>
        <v>56.08931003383821</v>
      </c>
      <c r="BE28" s="14">
        <f>BD28*VLOOKUP('Données projet'!$B$11,Paramètres!$A$1:$I$89,3,0)*VLOOKUP('Données projet'!$B$11,Paramètres!$A$1:$I$89,5,0)</f>
        <v>58.624546847367704</v>
      </c>
      <c r="BF28" s="14">
        <f t="shared" si="37"/>
        <v>16.820043319162419</v>
      </c>
      <c r="BG28" s="22">
        <f t="shared" si="7"/>
        <v>131.3993278733733</v>
      </c>
      <c r="BH28" s="62">
        <f t="shared" si="8"/>
        <v>418.62155009559552</v>
      </c>
      <c r="BI28" s="62">
        <f ca="1">AVERAGE(OFFSET($BH$3,0,0,'Données projet'!$E$11+1,1))-AVERAGE(OFFSET($H$3,0,0,'Données projet'!$E$11+1,1))</f>
        <v>2843.5086223152098</v>
      </c>
      <c r="BJ28" s="62">
        <f t="shared" si="38"/>
        <v>324.81562437645522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6.166060606060606</v>
      </c>
      <c r="BY28" s="13">
        <f>IF('Données projet'!$A$114&gt;35,BY27+BX28-CG27,IF(A28&lt;'Données projet'!$A$114,$BV$205^A28,IF(A28='Données projet'!$A$114,'Données projet'!$B$114,BY27+BX28-CG27)))</f>
        <v>56.08931003383821</v>
      </c>
      <c r="BZ28" s="14">
        <f>BY28*VLOOKUP('Données projet'!$B$12,Paramètres!$A$1:$I$89,3,0)*VLOOKUP('Données projet'!$B$12,Paramètres!$A$1:$I$89,5,0)</f>
        <v>55.999567137784076</v>
      </c>
      <c r="CA28" s="14">
        <f t="shared" si="39"/>
        <v>16.152808313941364</v>
      </c>
      <c r="CB28" s="22">
        <f t="shared" si="10"/>
        <v>125.66538724508848</v>
      </c>
      <c r="CC28" s="62">
        <f t="shared" si="11"/>
        <v>412.88760946731071</v>
      </c>
      <c r="CD28" s="62">
        <f ca="1">AVERAGE(OFFSET($CC$3,0,0,'Données projet'!$E$12+1,1))-AVERAGE(OFFSET($H$3,0,0,'Données projet'!$E$12+1,1))</f>
        <v>2719.939926994799</v>
      </c>
      <c r="CE28" s="62">
        <f t="shared" si="40"/>
        <v>312.21824046329749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8.1527272727272742</v>
      </c>
      <c r="CT28" s="13">
        <f>IF('Données projet'!$A$140&gt;35,CT27+CS28-DB27,IF(A28&lt;'Données projet'!$A$140,$CQ$205^A28,IF(A28='Données projet'!$A$140,'Données projet'!$B$140,CT27+CS28-DB27)))</f>
        <v>69.305921793806633</v>
      </c>
      <c r="CU28" s="18">
        <f>CT28*VLOOKUP('Données projet'!$B$13,Paramètres!$A$1:$I$89,3,0)*VLOOKUP('Données projet'!$B$13,Paramètres!$A$1:$I$89,5,0)</f>
        <v>60.545653279069484</v>
      </c>
      <c r="CV28" s="14">
        <f t="shared" si="41"/>
        <v>17.306154508185674</v>
      </c>
      <c r="CW28" s="22">
        <f t="shared" si="13"/>
        <v>135.5918985628027</v>
      </c>
      <c r="CX28" s="62">
        <f t="shared" si="14"/>
        <v>422.8141207850249</v>
      </c>
      <c r="CY28" s="62">
        <f ca="1">AVERAGE(OFFSET($CX$3,0,0,'Données projet'!$E$13+1,1))-AVERAGE(OFFSET($H$3,0,0,'Données projet'!$E$13+1,1))</f>
        <v>1036.0130072090849</v>
      </c>
      <c r="CZ28" s="62">
        <f t="shared" si="42"/>
        <v>346.56593355696174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312</v>
      </c>
      <c r="DM28" s="13">
        <f>VLOOKUP(A28,'Données projet'!$A$165:$I$185,9,0)</f>
        <v>12.48</v>
      </c>
      <c r="DN28" s="13">
        <f t="array" ref="DN28">INDEX(DM:DM,MIN(IF(ISNUMBER(DM28:DM224),ROW(DM28:DM224),"")))</f>
        <v>12.48</v>
      </c>
      <c r="DO28" s="13">
        <f>IF('Données projet'!$A$166&gt;35,DO27+DN28-DW27,IF(A28&lt;'Données projet'!$A$166,$DL$205^A28,IF(A28='Données projet'!$A$166,'Données projet'!$B$166,DO27+DN28-DW27)))</f>
        <v>312</v>
      </c>
      <c r="DP28" s="18">
        <f>DO28*VLOOKUP('Données projet'!$B$14,Paramètres!$A$1:$I$89,3,0)*VLOOKUP('Données projet'!$B$14,Paramètres!$A$1:$I$89,5,0)</f>
        <v>174.40800000000002</v>
      </c>
      <c r="DQ28" s="14">
        <f t="shared" si="43"/>
        <v>44.075793288194824</v>
      </c>
      <c r="DR28" s="22">
        <f t="shared" si="16"/>
        <v>380.52593997693936</v>
      </c>
      <c r="DS28" s="62">
        <f t="shared" si="17"/>
        <v>667.74816219916158</v>
      </c>
      <c r="DT28" s="62">
        <f ca="1">AVERAGE(OFFSET($DS$3,0,0,'Données projet'!$E$14+1,1))-AVERAGE(OFFSET($H$3,0,0,'Données projet'!$E$14+1,1))</f>
        <v>446.48069057792151</v>
      </c>
      <c r="DU28" s="62">
        <f t="shared" si="44"/>
        <v>561.75656782935948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46.8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0.22000000000000003</v>
      </c>
      <c r="DZ28" s="17">
        <f>IF(ISNA(VLOOKUP(A28,'Données projet'!$A$165:$I$185,7,0)),0%,VLOOKUP(A28,'Données projet'!$A$165:$I$185,7,0))</f>
        <v>0.6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7.6049320865531742</v>
      </c>
      <c r="EC28" s="23">
        <f>EXP(-LN(2)/2)*EC27+(1-EXP(-LN(2)/2))/(LN(2)/2)*DW28*DZ28*VLOOKUP('Données projet'!$B$14,Paramètres!$A$1:$I$89,3,0)*0.475*44/12</f>
        <v>17.772333349229623</v>
      </c>
      <c r="ED28" s="24">
        <f t="shared" si="18"/>
        <v>25.377265435782796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3.3521212121212121</v>
      </c>
      <c r="EJ28" s="13">
        <f>IF('Données projet'!$A$192&gt;35,EJ27+EI28-ER27,IF(A28&lt;'Données projet'!$A$192,$EG$205^A28,IF(A28='Données projet'!$A$192,'Données projet'!$B$192,EJ27+EI28-ER27)))</f>
        <v>35.347510233848269</v>
      </c>
      <c r="EK28" s="18">
        <f>EJ28*VLOOKUP('Données projet'!$B$15,Paramètres!$A$1:$I$89,3,0)*VLOOKUP('Données projet'!$B$15,Paramètres!$A$1:$I$89,5,0)</f>
        <v>34.18811189817805</v>
      </c>
      <c r="EL28" s="14">
        <f t="shared" si="45"/>
        <v>10.444414956819427</v>
      </c>
      <c r="EM28" s="22">
        <f t="shared" si="19"/>
        <v>77.734984272453929</v>
      </c>
      <c r="EN28" s="62">
        <f t="shared" si="20"/>
        <v>364.95720649467614</v>
      </c>
      <c r="EO28" s="62">
        <f ca="1">AVERAGE(OFFSET($EN$3,0,0,'Données projet'!$E$15+1,1))-AVERAGE(OFFSET($H$3,0,0,'Données projet'!$E$15+1,1))</f>
        <v>301.18531163828169</v>
      </c>
      <c r="EP28" s="62">
        <f t="shared" si="46"/>
        <v>192.30530273268101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3.3521212121212121</v>
      </c>
      <c r="FE28" s="13">
        <f>IF('Données projet'!$A$218&gt;35,FE27+FD28-FM27,IF(A28&lt;'Données projet'!$A$218,$FB$205^A28,IF(A28='Données projet'!$A$218,'Données projet'!$B$218,FE27+FD28-FM27)))</f>
        <v>35.347510233848269</v>
      </c>
      <c r="FF28" s="18">
        <f>FE28*VLOOKUP('Données projet'!$B$16,Paramètres!$A$1:$I$89,3,0)*VLOOKUP('Données projet'!$B$16,Paramètres!$A$1:$I$89,5,0)</f>
        <v>27.571057982401651</v>
      </c>
      <c r="FG28" s="14">
        <f t="shared" si="47"/>
        <v>8.6364789137157736</v>
      </c>
      <c r="FH28" s="22">
        <f t="shared" si="22"/>
        <v>63.06146009407118</v>
      </c>
      <c r="FI28" s="62">
        <f t="shared" si="23"/>
        <v>350.28368231629338</v>
      </c>
      <c r="FJ28" s="62">
        <f ca="1">AVERAGE(OFFSET($FI$3,0,0,'Données projet'!$E$16+1,1))-AVERAGE(OFFSET($H$3,0,0,'Données projet'!$E$16+1,1))</f>
        <v>249.2899297828755</v>
      </c>
      <c r="FK28" s="62">
        <f t="shared" si="48"/>
        <v>162.88011837476813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3.3521212121212121</v>
      </c>
      <c r="FZ28" s="13">
        <f>IF('Données projet'!$A$244&gt;35,FZ27+FY28-GH27,IF(A28&lt;'Données projet'!$A$244,$FW$205^A28,IF(A28='Données projet'!$A$244,'Données projet'!$B$244,FZ27+FY28-GH27)))</f>
        <v>35.347510233848269</v>
      </c>
      <c r="GA28" s="18">
        <f>FZ28*VLOOKUP('Données projet'!$B$17,Paramètres!$A$1:$I$89,3,0)*VLOOKUP('Données projet'!$B$17,Paramètres!$A$1:$I$89,5,0)</f>
        <v>23.711109864865421</v>
      </c>
      <c r="GB28" s="14">
        <f t="shared" si="49"/>
        <v>7.5589165108336482</v>
      </c>
      <c r="GC28" s="22">
        <f t="shared" si="25"/>
        <v>54.461962604342546</v>
      </c>
      <c r="GD28" s="62">
        <f t="shared" si="26"/>
        <v>341.68418482656477</v>
      </c>
      <c r="GE28" s="62">
        <f ca="1">AVERAGE(OFFSET($GD$3,0,0,'Données projet'!$E$17+1,1))-AVERAGE(OFFSET($H$3,0,0,'Données projet'!$E$17+1,1))</f>
        <v>218.89895999738746</v>
      </c>
      <c r="GF28" s="62">
        <f t="shared" si="50"/>
        <v>145.64042897395763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3.3521212121212121</v>
      </c>
      <c r="GU28" s="13">
        <f>IF('Données projet'!$A$270&gt;35,GU27+GT28-HC27,IF(A28&lt;'Données projet'!$A$270,$GR$205^A28,IF(A28='Données projet'!$A$270,'Données projet'!$B$270,GU27+GT28-HC27)))</f>
        <v>35.347510233848269</v>
      </c>
      <c r="GV28" s="18">
        <f>GU28*VLOOKUP('Données projet'!$B$18,Paramètres!$A$1:$I$89,3,0)*VLOOKUP('Données projet'!$B$18,Paramètres!$A$1:$I$89,5,0)</f>
        <v>38.048060015714277</v>
      </c>
      <c r="GW28" s="14">
        <f t="shared" si="51"/>
        <v>11.479788260142309</v>
      </c>
      <c r="GX28" s="22">
        <f t="shared" si="28"/>
        <v>86.261002413783558</v>
      </c>
      <c r="GY28" s="62">
        <f t="shared" si="29"/>
        <v>373.48322463600579</v>
      </c>
      <c r="GZ28" s="62">
        <f ca="1">AVERAGE(OFFSET($GY$3,0,0,'Données projet'!$E$18+1,1))-AVERAGE(OFFSET($H$3,0,0,'Données projet'!$E$18+1,1))</f>
        <v>331.3579800635751</v>
      </c>
      <c r="HA28" s="62">
        <f t="shared" si="52"/>
        <v>209.40702003535273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6.166060606060606</v>
      </c>
      <c r="N29" s="14">
        <f>IF('Données projet'!$A$36&gt;35,N28+M29-V28,IF(A29&lt;'Données projet'!$A$36,$K$205^A29,IF(A29='Données projet'!$A$36,'Données projet'!$B$36,N28+M29-V28)))</f>
        <v>65.892396275724309</v>
      </c>
      <c r="O29" s="14">
        <f>N29*VLOOKUP('Données projet'!$B$9,Paramètres!$A$1:$I$89,3,0)*VLOOKUP('Données projet'!$B$9,Paramètres!$A$1:$I$89,5,0)</f>
        <v>59.619440150275352</v>
      </c>
      <c r="P29" s="14">
        <f t="shared" si="33"/>
        <v>17.07201594029819</v>
      </c>
      <c r="Q29" s="22">
        <f t="shared" si="2"/>
        <v>133.57095269108225</v>
      </c>
      <c r="R29" s="62">
        <f t="shared" si="0"/>
        <v>422.01539713552671</v>
      </c>
      <c r="S29" s="62">
        <f ca="1">AVERAGE(OFFSET($R$3,0,0,'Données projet'!$E$9+1,1))-AVERAGE(OFFSET($H$3,0,0,'Données projet'!$E$9+1,1))</f>
        <v>2472.5049373954762</v>
      </c>
      <c r="T29" s="62">
        <f t="shared" si="34"/>
        <v>286.98388307318311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6.166060606060606</v>
      </c>
      <c r="AI29" s="14">
        <f>IF('Données projet'!$A$62&gt;35,AI28+AH29-AQ28,IF(A29&lt;'Données projet'!$A$62,$AF$205^A29,IF(A29='Données projet'!$A$62,'Données projet'!$B$62,AI28+AH29-AQ28)))</f>
        <v>65.892396275724309</v>
      </c>
      <c r="AJ29" s="14">
        <f>AI29*VLOOKUP('Données projet'!$B$10,Paramètres!$A$1:$I$89,3,0)*VLOOKUP('Données projet'!$B$10,Paramètres!$A$1:$I$89,5,0)</f>
        <v>66.814889823584451</v>
      </c>
      <c r="AK29" s="14">
        <f t="shared" si="35"/>
        <v>18.880351456597804</v>
      </c>
      <c r="AL29" s="22">
        <f t="shared" si="4"/>
        <v>149.25254522965076</v>
      </c>
      <c r="AM29" s="62">
        <f t="shared" si="5"/>
        <v>437.69698967409522</v>
      </c>
      <c r="AN29" s="62">
        <f ca="1">AVERAGE(OFFSET($AM$3,0,0,'Données projet'!$E$10+1,1))-AVERAGE(OFFSET($H$3,0,0,'Données projet'!$E$10+1,1))</f>
        <v>2761.1400657295467</v>
      </c>
      <c r="AO29" s="62">
        <f t="shared" si="36"/>
        <v>316.41877504316409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6.166060606060606</v>
      </c>
      <c r="BD29" s="13">
        <f>IF('Données projet'!$A$88&gt;35,BD28+BC29-BL28,IF(A29&lt;'Données projet'!$A$88,$BA$205^A29,IF(A29='Données projet'!$A$88,'Données projet'!$B$88,BD28+BC29-BL28)))</f>
        <v>65.892396275724309</v>
      </c>
      <c r="BE29" s="14">
        <f>BD29*VLOOKUP('Données projet'!$B$11,Paramètres!$A$1:$I$89,3,0)*VLOOKUP('Données projet'!$B$11,Paramètres!$A$1:$I$89,5,0)</f>
        <v>68.870732587387053</v>
      </c>
      <c r="BF29" s="14">
        <f t="shared" si="37"/>
        <v>19.392755774434086</v>
      </c>
      <c r="BG29" s="22">
        <f t="shared" si="7"/>
        <v>153.72557556350515</v>
      </c>
      <c r="BH29" s="62">
        <f t="shared" si="8"/>
        <v>442.17002000794957</v>
      </c>
      <c r="BI29" s="62">
        <f ca="1">AVERAGE(OFFSET($BH$3,0,0,'Données projet'!$E$11+1,1))-AVERAGE(OFFSET($H$3,0,0,'Données projet'!$E$11+1,1))</f>
        <v>2843.5086223152098</v>
      </c>
      <c r="BJ29" s="62">
        <f t="shared" si="38"/>
        <v>324.81562437645522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6.166060606060606</v>
      </c>
      <c r="BY29" s="13">
        <f>IF('Données projet'!$A$114&gt;35,BY28+BX29-CG28,IF(A29&lt;'Données projet'!$A$114,$BV$205^A29,IF(A29='Données projet'!$A$114,'Données projet'!$B$114,BY28+BX29-CG28)))</f>
        <v>65.892396275724309</v>
      </c>
      <c r="BZ29" s="14">
        <f>BY29*VLOOKUP('Données projet'!$B$12,Paramètres!$A$1:$I$89,3,0)*VLOOKUP('Données projet'!$B$12,Paramètres!$A$1:$I$89,5,0)</f>
        <v>65.786968441683157</v>
      </c>
      <c r="CA29" s="14">
        <f t="shared" si="39"/>
        <v>18.623463730717173</v>
      </c>
      <c r="CB29" s="22">
        <f t="shared" si="10"/>
        <v>147.01483603359725</v>
      </c>
      <c r="CC29" s="62">
        <f t="shared" si="11"/>
        <v>435.45928047804171</v>
      </c>
      <c r="CD29" s="62">
        <f ca="1">AVERAGE(OFFSET($CC$3,0,0,'Données projet'!$E$12+1,1))-AVERAGE(OFFSET($H$3,0,0,'Données projet'!$E$12+1,1))</f>
        <v>2719.939926994799</v>
      </c>
      <c r="CE29" s="62">
        <f t="shared" si="40"/>
        <v>312.21824046329749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8.1527272727272742</v>
      </c>
      <c r="CT29" s="13">
        <f>IF('Données projet'!$A$140&gt;35,CT28+CS29-DB28,IF(A29&lt;'Données projet'!$A$140,$CQ$205^A29,IF(A29='Données projet'!$A$140,'Données projet'!$B$140,CT28+CS29-DB28)))</f>
        <v>82.110965336739781</v>
      </c>
      <c r="CU29" s="18">
        <f>CT29*VLOOKUP('Données projet'!$B$13,Paramètres!$A$1:$I$89,3,0)*VLOOKUP('Données projet'!$B$13,Paramètres!$A$1:$I$89,5,0)</f>
        <v>71.732139318175882</v>
      </c>
      <c r="CV29" s="14">
        <f t="shared" si="41"/>
        <v>20.102994960861501</v>
      </c>
      <c r="CW29" s="22">
        <f t="shared" si="13"/>
        <v>159.94619220265679</v>
      </c>
      <c r="CX29" s="62">
        <f t="shared" si="14"/>
        <v>448.39063664710125</v>
      </c>
      <c r="CY29" s="62">
        <f ca="1">AVERAGE(OFFSET($CX$3,0,0,'Données projet'!$E$13+1,1))-AVERAGE(OFFSET($H$3,0,0,'Données projet'!$E$13+1,1))</f>
        <v>1036.0130072090849</v>
      </c>
      <c r="CZ29" s="62">
        <f t="shared" si="42"/>
        <v>346.56593355696174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33.725000000000001</v>
      </c>
      <c r="DO29" s="13">
        <f>IF('Données projet'!$A$166&gt;35,DO28+DN29-DW28,IF(A29&lt;'Données projet'!$A$166,$DL$205^A29,IF(A29='Données projet'!$A$166,'Données projet'!$B$166,DO28+DN29-DW28)))</f>
        <v>298.92500000000001</v>
      </c>
      <c r="DP29" s="18">
        <f>DO29*VLOOKUP('Données projet'!$B$14,Paramètres!$A$1:$I$89,3,0)*VLOOKUP('Données projet'!$B$14,Paramètres!$A$1:$I$89,5,0)</f>
        <v>167.09907500000003</v>
      </c>
      <c r="DQ29" s="14">
        <f t="shared" si="43"/>
        <v>42.439663497770368</v>
      </c>
      <c r="DR29" s="22">
        <f t="shared" si="16"/>
        <v>364.94663621695008</v>
      </c>
      <c r="DS29" s="62">
        <f t="shared" si="17"/>
        <v>653.39108066139454</v>
      </c>
      <c r="DT29" s="62">
        <f ca="1">AVERAGE(OFFSET($DS$3,0,0,'Données projet'!$E$14+1,1))-AVERAGE(OFFSET($H$3,0,0,'Données projet'!$E$14+1,1))</f>
        <v>446.48069057792151</v>
      </c>
      <c r="DU29" s="62">
        <f t="shared" si="44"/>
        <v>561.75656782935948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7.3969748187203805</v>
      </c>
      <c r="EC29" s="23">
        <f>EXP(-LN(2)/2)*EC28+(1-EXP(-LN(2)/2))/(LN(2)/2)*DW29*DZ29*VLOOKUP('Données projet'!$B$14,Paramètres!$A$1:$I$89,3,0)*0.475*44/12</f>
        <v>12.566937428748092</v>
      </c>
      <c r="ED29" s="24">
        <f t="shared" si="18"/>
        <v>19.963912247468471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3.3521212121212121</v>
      </c>
      <c r="EJ29" s="13">
        <f>IF('Données projet'!$A$192&gt;35,EJ28+EI29-ER28,IF(A29&lt;'Données projet'!$A$192,$EG$205^A29,IF(A29='Données projet'!$A$192,'Données projet'!$B$192,EJ28+EI29-ER28)))</f>
        <v>40.765538354716625</v>
      </c>
      <c r="EK29" s="18">
        <f>EJ29*VLOOKUP('Données projet'!$B$15,Paramètres!$A$1:$I$89,3,0)*VLOOKUP('Données projet'!$B$15,Paramètres!$A$1:$I$89,5,0)</f>
        <v>39.42842869668192</v>
      </c>
      <c r="EL29" s="14">
        <f t="shared" si="45"/>
        <v>11.847025205960591</v>
      </c>
      <c r="EM29" s="22">
        <f t="shared" si="19"/>
        <v>89.304748880435696</v>
      </c>
      <c r="EN29" s="62">
        <f t="shared" si="20"/>
        <v>377.74919332488014</v>
      </c>
      <c r="EO29" s="62">
        <f ca="1">AVERAGE(OFFSET($EN$3,0,0,'Données projet'!$E$15+1,1))-AVERAGE(OFFSET($H$3,0,0,'Données projet'!$E$15+1,1))</f>
        <v>301.18531163828169</v>
      </c>
      <c r="EP29" s="62">
        <f t="shared" si="46"/>
        <v>192.30530273268101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3.3521212121212121</v>
      </c>
      <c r="FE29" s="13">
        <f>IF('Données projet'!$A$218&gt;35,FE28+FD29-FM28,IF(A29&lt;'Données projet'!$A$218,$FB$205^A29,IF(A29='Données projet'!$A$218,'Données projet'!$B$218,FE28+FD29-FM28)))</f>
        <v>40.765538354716625</v>
      </c>
      <c r="FF29" s="18">
        <f>FE29*VLOOKUP('Données projet'!$B$16,Paramètres!$A$1:$I$89,3,0)*VLOOKUP('Données projet'!$B$16,Paramètres!$A$1:$I$89,5,0)</f>
        <v>31.79711991667897</v>
      </c>
      <c r="FG29" s="14">
        <f t="shared" si="47"/>
        <v>9.7962962793557704</v>
      </c>
      <c r="FH29" s="22">
        <f t="shared" si="22"/>
        <v>72.44186654142716</v>
      </c>
      <c r="FI29" s="62">
        <f t="shared" si="23"/>
        <v>360.8863109858716</v>
      </c>
      <c r="FJ29" s="62">
        <f ca="1">AVERAGE(OFFSET($FI$3,0,0,'Données projet'!$E$16+1,1))-AVERAGE(OFFSET($H$3,0,0,'Données projet'!$E$16+1,1))</f>
        <v>249.2899297828755</v>
      </c>
      <c r="FK29" s="62">
        <f t="shared" si="48"/>
        <v>162.88011837476813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3.3521212121212121</v>
      </c>
      <c r="FZ29" s="13">
        <f>IF('Données projet'!$A$244&gt;35,FZ28+FY29-GH28,IF(A29&lt;'Données projet'!$A$244,$FW$205^A29,IF(A29='Données projet'!$A$244,'Données projet'!$B$244,FZ28+FY29-GH28)))</f>
        <v>40.765538354716625</v>
      </c>
      <c r="GA29" s="18">
        <f>FZ29*VLOOKUP('Données projet'!$B$17,Paramètres!$A$1:$I$89,3,0)*VLOOKUP('Données projet'!$B$17,Paramètres!$A$1:$I$89,5,0)</f>
        <v>27.345523128343913</v>
      </c>
      <c r="GB29" s="14">
        <f t="shared" si="49"/>
        <v>8.5740249505433503</v>
      </c>
      <c r="GC29" s="22">
        <f t="shared" si="25"/>
        <v>62.55987957072864</v>
      </c>
      <c r="GD29" s="62">
        <f t="shared" si="26"/>
        <v>351.0043240151731</v>
      </c>
      <c r="GE29" s="62">
        <f ca="1">AVERAGE(OFFSET($GD$3,0,0,'Données projet'!$E$17+1,1))-AVERAGE(OFFSET($H$3,0,0,'Données projet'!$E$17+1,1))</f>
        <v>218.89895999738746</v>
      </c>
      <c r="GF29" s="62">
        <f t="shared" si="50"/>
        <v>145.64042897395763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3.3521212121212121</v>
      </c>
      <c r="GU29" s="13">
        <f>IF('Données projet'!$A$270&gt;35,GU28+GT29-HC28,IF(A29&lt;'Données projet'!$A$270,$GR$205^A29,IF(A29='Données projet'!$A$270,'Données projet'!$B$270,GU28+GT29-HC28)))</f>
        <v>40.765538354716625</v>
      </c>
      <c r="GV29" s="18">
        <f>GU29*VLOOKUP('Données projet'!$B$18,Paramètres!$A$1:$I$89,3,0)*VLOOKUP('Données projet'!$B$18,Paramètres!$A$1:$I$89,5,0)</f>
        <v>43.880025485016972</v>
      </c>
      <c r="GW29" s="14">
        <f t="shared" si="51"/>
        <v>13.021441740803072</v>
      </c>
      <c r="GX29" s="22">
        <f t="shared" si="28"/>
        <v>99.103388751636558</v>
      </c>
      <c r="GY29" s="62">
        <f t="shared" si="29"/>
        <v>387.547833196081</v>
      </c>
      <c r="GZ29" s="62">
        <f ca="1">AVERAGE(OFFSET($GY$3,0,0,'Données projet'!$E$18+1,1))-AVERAGE(OFFSET($H$3,0,0,'Données projet'!$E$18+1,1))</f>
        <v>331.3579800635751</v>
      </c>
      <c r="HA29" s="62">
        <f t="shared" si="52"/>
        <v>209.40702003535273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6.166060606060606</v>
      </c>
      <c r="N30" s="14">
        <f>IF('Données projet'!$A$36&gt;35,N29+M30-V29,IF(A30&lt;'Données projet'!$A$36,$K$205^A30,IF(A30='Données projet'!$A$36,'Données projet'!$B$36,N29+M30-V29)))</f>
        <v>77.408830387425169</v>
      </c>
      <c r="O30" s="14">
        <f>N30*VLOOKUP('Données projet'!$B$9,Paramètres!$A$1:$I$89,3,0)*VLOOKUP('Données projet'!$B$9,Paramètres!$A$1:$I$89,5,0)</f>
        <v>70.039509734542293</v>
      </c>
      <c r="P30" s="14">
        <f t="shared" si="33"/>
        <v>19.683268908723285</v>
      </c>
      <c r="Q30" s="22">
        <f t="shared" si="2"/>
        <v>156.26717280368752</v>
      </c>
      <c r="R30" s="62">
        <f t="shared" si="0"/>
        <v>445.9338394703542</v>
      </c>
      <c r="S30" s="62">
        <f ca="1">AVERAGE(OFFSET($R$3,0,0,'Données projet'!$E$9+1,1))-AVERAGE(OFFSET($H$3,0,0,'Données projet'!$E$9+1,1))</f>
        <v>2472.5049373954762</v>
      </c>
      <c r="T30" s="62">
        <f t="shared" si="34"/>
        <v>286.98388307318311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6.166060606060606</v>
      </c>
      <c r="AI30" s="14">
        <f>IF('Données projet'!$A$62&gt;35,AI29+AH30-AQ29,IF(A30&lt;'Données projet'!$A$62,$AF$205^A30,IF(A30='Données projet'!$A$62,'Données projet'!$B$62,AI29+AH30-AQ29)))</f>
        <v>77.408830387425169</v>
      </c>
      <c r="AJ30" s="14">
        <f>AI30*VLOOKUP('Données projet'!$B$10,Paramètres!$A$1:$I$89,3,0)*VLOOKUP('Données projet'!$B$10,Paramètres!$A$1:$I$89,5,0)</f>
        <v>78.492554012849126</v>
      </c>
      <c r="AK30" s="14">
        <f t="shared" si="35"/>
        <v>21.768198677357191</v>
      </c>
      <c r="AL30" s="22">
        <f t="shared" si="4"/>
        <v>174.62081093544268</v>
      </c>
      <c r="AM30" s="62">
        <f t="shared" si="5"/>
        <v>464.28747760210933</v>
      </c>
      <c r="AN30" s="62">
        <f ca="1">AVERAGE(OFFSET($AM$3,0,0,'Données projet'!$E$10+1,1))-AVERAGE(OFFSET($H$3,0,0,'Données projet'!$E$10+1,1))</f>
        <v>2761.1400657295467</v>
      </c>
      <c r="AO30" s="62">
        <f t="shared" si="36"/>
        <v>316.41877504316409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6.166060606060606</v>
      </c>
      <c r="BD30" s="13">
        <f>IF('Données projet'!$A$88&gt;35,BD29+BC30-BL29,IF(A30&lt;'Données projet'!$A$88,$BA$205^A30,IF(A30='Données projet'!$A$88,'Données projet'!$B$88,BD29+BC30-BL29)))</f>
        <v>77.408830387425169</v>
      </c>
      <c r="BE30" s="14">
        <f>BD30*VLOOKUP('Données projet'!$B$11,Paramètres!$A$1:$I$89,3,0)*VLOOKUP('Données projet'!$B$11,Paramètres!$A$1:$I$89,5,0)</f>
        <v>80.907709520936791</v>
      </c>
      <c r="BF30" s="14">
        <f t="shared" si="37"/>
        <v>22.358977880776006</v>
      </c>
      <c r="BG30" s="22">
        <f t="shared" si="7"/>
        <v>179.85614722464979</v>
      </c>
      <c r="BH30" s="62">
        <f t="shared" si="8"/>
        <v>469.52281389131645</v>
      </c>
      <c r="BI30" s="62">
        <f ca="1">AVERAGE(OFFSET($BH$3,0,0,'Données projet'!$E$11+1,1))-AVERAGE(OFFSET($H$3,0,0,'Données projet'!$E$11+1,1))</f>
        <v>2843.5086223152098</v>
      </c>
      <c r="BJ30" s="62">
        <f t="shared" si="38"/>
        <v>324.81562437645522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6.166060606060606</v>
      </c>
      <c r="BY30" s="13">
        <f>IF('Données projet'!$A$114&gt;35,BY29+BX30-CG29,IF(A30&lt;'Données projet'!$A$114,$BV$205^A30,IF(A30='Données projet'!$A$114,'Données projet'!$B$114,BY29+BX30-CG29)))</f>
        <v>77.408830387425169</v>
      </c>
      <c r="BZ30" s="14">
        <f>BY30*VLOOKUP('Données projet'!$B$12,Paramètres!$A$1:$I$89,3,0)*VLOOKUP('Données projet'!$B$12,Paramètres!$A$1:$I$89,5,0)</f>
        <v>77.284976258805301</v>
      </c>
      <c r="CA30" s="14">
        <f t="shared" si="39"/>
        <v>21.472018647679317</v>
      </c>
      <c r="CB30" s="22">
        <f t="shared" si="10"/>
        <v>172.00176612879406</v>
      </c>
      <c r="CC30" s="62">
        <f t="shared" si="11"/>
        <v>461.66843279546072</v>
      </c>
      <c r="CD30" s="62">
        <f ca="1">AVERAGE(OFFSET($CC$3,0,0,'Données projet'!$E$12+1,1))-AVERAGE(OFFSET($H$3,0,0,'Données projet'!$E$12+1,1))</f>
        <v>2719.939926994799</v>
      </c>
      <c r="CE30" s="62">
        <f t="shared" si="40"/>
        <v>312.21824046329749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8.1527272727272742</v>
      </c>
      <c r="CT30" s="13">
        <f>IF('Données projet'!$A$140&gt;35,CT29+CS30-DB29,IF(A30&lt;'Données projet'!$A$140,$CQ$205^A30,IF(A30='Données projet'!$A$140,'Données projet'!$B$140,CT29+CS30-DB29)))</f>
        <v>97.28188377019444</v>
      </c>
      <c r="CU30" s="18">
        <f>CT30*VLOOKUP('Données projet'!$B$13,Paramètres!$A$1:$I$89,3,0)*VLOOKUP('Données projet'!$B$13,Paramètres!$A$1:$I$89,5,0)</f>
        <v>84.98545366164187</v>
      </c>
      <c r="CV30" s="14">
        <f t="shared" si="41"/>
        <v>23.351831639158924</v>
      </c>
      <c r="CW30" s="22">
        <f t="shared" si="13"/>
        <v>188.68743856556137</v>
      </c>
      <c r="CX30" s="62">
        <f t="shared" si="14"/>
        <v>478.35410523222805</v>
      </c>
      <c r="CY30" s="62">
        <f ca="1">AVERAGE(OFFSET($CX$3,0,0,'Données projet'!$E$13+1,1))-AVERAGE(OFFSET($H$3,0,0,'Données projet'!$E$13+1,1))</f>
        <v>1036.0130072090849</v>
      </c>
      <c r="CZ30" s="62">
        <f t="shared" si="42"/>
        <v>346.56593355696174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33.725000000000001</v>
      </c>
      <c r="DO30" s="13">
        <f>IF('Données projet'!$A$166&gt;35,DO29+DN30-DW29,IF(A30&lt;'Données projet'!$A$166,$DL$205^A30,IF(A30='Données projet'!$A$166,'Données projet'!$B$166,DO29+DN30-DW29)))</f>
        <v>332.65000000000003</v>
      </c>
      <c r="DP30" s="18">
        <f>DO30*VLOOKUP('Données projet'!$B$14,Paramètres!$A$1:$I$89,3,0)*VLOOKUP('Données projet'!$B$14,Paramètres!$A$1:$I$89,5,0)</f>
        <v>185.95135000000002</v>
      </c>
      <c r="DQ30" s="14">
        <f t="shared" si="43"/>
        <v>46.643734845881603</v>
      </c>
      <c r="DR30" s="22">
        <f t="shared" si="16"/>
        <v>405.10310610657712</v>
      </c>
      <c r="DS30" s="62">
        <f t="shared" si="17"/>
        <v>694.76977277324386</v>
      </c>
      <c r="DT30" s="62">
        <f ca="1">AVERAGE(OFFSET($DS$3,0,0,'Données projet'!$E$14+1,1))-AVERAGE(OFFSET($H$3,0,0,'Données projet'!$E$14+1,1))</f>
        <v>446.48069057792151</v>
      </c>
      <c r="DU30" s="62">
        <f t="shared" si="44"/>
        <v>561.75656782935948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7.1947041533124718</v>
      </c>
      <c r="EC30" s="23">
        <f>EXP(-LN(2)/2)*EC29+(1-EXP(-LN(2)/2))/(LN(2)/2)*DW30*DZ30*VLOOKUP('Données projet'!$B$14,Paramètres!$A$1:$I$89,3,0)*0.475*44/12</f>
        <v>8.8861666746148114</v>
      </c>
      <c r="ED30" s="24">
        <f t="shared" si="18"/>
        <v>16.080870827927285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3.3521212121212121</v>
      </c>
      <c r="EJ30" s="13">
        <f>IF('Données projet'!$A$192&gt;35,EJ29+EI30-ER29,IF(A30&lt;'Données projet'!$A$192,$EG$205^A30,IF(A30='Données projet'!$A$192,'Données projet'!$B$192,EJ29+EI30-ER29)))</f>
        <v>47.014035963373985</v>
      </c>
      <c r="EK30" s="18">
        <f>EJ30*VLOOKUP('Données projet'!$B$15,Paramètres!$A$1:$I$89,3,0)*VLOOKUP('Données projet'!$B$15,Paramètres!$A$1:$I$89,5,0)</f>
        <v>45.471975583775318</v>
      </c>
      <c r="EL30" s="14">
        <f t="shared" si="45"/>
        <v>13.43799598263052</v>
      </c>
      <c r="EM30" s="22">
        <f t="shared" si="19"/>
        <v>102.60153381149014</v>
      </c>
      <c r="EN30" s="62">
        <f t="shared" si="20"/>
        <v>392.26820047815681</v>
      </c>
      <c r="EO30" s="62">
        <f ca="1">AVERAGE(OFFSET($EN$3,0,0,'Données projet'!$E$15+1,1))-AVERAGE(OFFSET($H$3,0,0,'Données projet'!$E$15+1,1))</f>
        <v>301.18531163828169</v>
      </c>
      <c r="EP30" s="62">
        <f t="shared" si="46"/>
        <v>192.30530273268101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3.3521212121212121</v>
      </c>
      <c r="FE30" s="13">
        <f>IF('Données projet'!$A$218&gt;35,FE29+FD30-FM29,IF(A30&lt;'Données projet'!$A$218,$FB$205^A30,IF(A30='Données projet'!$A$218,'Données projet'!$B$218,FE29+FD30-FM29)))</f>
        <v>47.014035963373985</v>
      </c>
      <c r="FF30" s="18">
        <f>FE30*VLOOKUP('Données projet'!$B$16,Paramètres!$A$1:$I$89,3,0)*VLOOKUP('Données projet'!$B$16,Paramètres!$A$1:$I$89,5,0)</f>
        <v>36.670948051431708</v>
      </c>
      <c r="FG30" s="14">
        <f t="shared" si="47"/>
        <v>11.111868824285771</v>
      </c>
      <c r="FH30" s="22">
        <f t="shared" si="22"/>
        <v>83.221739391874607</v>
      </c>
      <c r="FI30" s="62">
        <f t="shared" si="23"/>
        <v>372.88840605854131</v>
      </c>
      <c r="FJ30" s="62">
        <f ca="1">AVERAGE(OFFSET($FI$3,0,0,'Données projet'!$E$16+1,1))-AVERAGE(OFFSET($H$3,0,0,'Données projet'!$E$16+1,1))</f>
        <v>249.2899297828755</v>
      </c>
      <c r="FK30" s="62">
        <f t="shared" si="48"/>
        <v>162.88011837476813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3.3521212121212121</v>
      </c>
      <c r="FZ30" s="13">
        <f>IF('Données projet'!$A$244&gt;35,FZ29+FY30-GH29,IF(A30&lt;'Données projet'!$A$244,$FW$205^A30,IF(A30='Données projet'!$A$244,'Données projet'!$B$244,FZ29+FY30-GH29)))</f>
        <v>47.014035963373985</v>
      </c>
      <c r="GA30" s="18">
        <f>FZ30*VLOOKUP('Données projet'!$B$17,Paramètres!$A$1:$I$89,3,0)*VLOOKUP('Données projet'!$B$17,Paramètres!$A$1:$I$89,5,0)</f>
        <v>31.537015324231266</v>
      </c>
      <c r="GB30" s="14">
        <f t="shared" si="49"/>
        <v>9.7254551954870418</v>
      </c>
      <c r="GC30" s="22">
        <f t="shared" si="25"/>
        <v>71.86546948850939</v>
      </c>
      <c r="GD30" s="62">
        <f t="shared" si="26"/>
        <v>361.53213615517609</v>
      </c>
      <c r="GE30" s="62">
        <f ca="1">AVERAGE(OFFSET($GD$3,0,0,'Données projet'!$E$17+1,1))-AVERAGE(OFFSET($H$3,0,0,'Données projet'!$E$17+1,1))</f>
        <v>218.89895999738746</v>
      </c>
      <c r="GF30" s="62">
        <f t="shared" si="50"/>
        <v>145.64042897395763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3.3521212121212121</v>
      </c>
      <c r="GU30" s="13">
        <f>IF('Données projet'!$A$270&gt;35,GU29+GT30-HC29,IF(A30&lt;'Données projet'!$A$270,$GR$205^A30,IF(A30='Données projet'!$A$270,'Données projet'!$B$270,GU29+GT30-HC29)))</f>
        <v>47.014035963373985</v>
      </c>
      <c r="GV30" s="18">
        <f>GU30*VLOOKUP('Données projet'!$B$18,Paramètres!$A$1:$I$89,3,0)*VLOOKUP('Données projet'!$B$18,Paramètres!$A$1:$I$89,5,0)</f>
        <v>50.605908310975757</v>
      </c>
      <c r="GW30" s="14">
        <f t="shared" si="51"/>
        <v>14.770128260800048</v>
      </c>
      <c r="GX30" s="22">
        <f t="shared" si="28"/>
        <v>113.86326369584283</v>
      </c>
      <c r="GY30" s="62">
        <f t="shared" si="29"/>
        <v>403.5299303625095</v>
      </c>
      <c r="GZ30" s="62">
        <f ca="1">AVERAGE(OFFSET($GY$3,0,0,'Données projet'!$E$18+1,1))-AVERAGE(OFFSET($H$3,0,0,'Données projet'!$E$18+1,1))</f>
        <v>331.3579800635751</v>
      </c>
      <c r="HA30" s="62">
        <f t="shared" si="52"/>
        <v>209.40702003535273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6.166060606060606</v>
      </c>
      <c r="N31" s="14">
        <f>IF('Données projet'!$A$36&gt;35,N30+M31-V30,IF(A31&lt;'Données projet'!$A$36,$K$205^A31,IF(A31='Données projet'!$A$36,'Données projet'!$B$36,N30+M31-V30)))</f>
        <v>90.938065097455606</v>
      </c>
      <c r="O31" s="14">
        <f>N31*VLOOKUP('Données projet'!$B$9,Paramètres!$A$1:$I$89,3,0)*VLOOKUP('Données projet'!$B$9,Paramètres!$A$1:$I$89,5,0)</f>
        <v>82.280761300177829</v>
      </c>
      <c r="P31" s="14">
        <f t="shared" si="33"/>
        <v>22.69392649866198</v>
      </c>
      <c r="Q31" s="22">
        <f t="shared" si="2"/>
        <v>182.83091458297932</v>
      </c>
      <c r="R31" s="62">
        <f t="shared" si="0"/>
        <v>473.7198034718682</v>
      </c>
      <c r="S31" s="62">
        <f ca="1">AVERAGE(OFFSET($R$3,0,0,'Données projet'!$E$9+1,1))-AVERAGE(OFFSET($H$3,0,0,'Données projet'!$E$9+1,1))</f>
        <v>2472.5049373954762</v>
      </c>
      <c r="T31" s="62">
        <f t="shared" si="34"/>
        <v>286.98388307318311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6.166060606060606</v>
      </c>
      <c r="AI31" s="14">
        <f>IF('Données projet'!$A$62&gt;35,AI30+AH31-AQ30,IF(A31&lt;'Données projet'!$A$62,$AF$205^A31,IF(A31='Données projet'!$A$62,'Données projet'!$B$62,AI30+AH31-AQ30)))</f>
        <v>90.938065097455606</v>
      </c>
      <c r="AJ31" s="14">
        <f>AI31*VLOOKUP('Données projet'!$B$10,Paramètres!$A$1:$I$89,3,0)*VLOOKUP('Données projet'!$B$10,Paramètres!$A$1:$I$89,5,0)</f>
        <v>92.211198008819991</v>
      </c>
      <c r="AK31" s="14">
        <f t="shared" si="35"/>
        <v>25.09775703837893</v>
      </c>
      <c r="AL31" s="22">
        <f t="shared" si="4"/>
        <v>204.31309670720478</v>
      </c>
      <c r="AM31" s="62">
        <f t="shared" si="5"/>
        <v>495.20198559609366</v>
      </c>
      <c r="AN31" s="62">
        <f ca="1">AVERAGE(OFFSET($AM$3,0,0,'Données projet'!$E$10+1,1))-AVERAGE(OFFSET($H$3,0,0,'Données projet'!$E$10+1,1))</f>
        <v>2761.1400657295467</v>
      </c>
      <c r="AO31" s="62">
        <f t="shared" si="36"/>
        <v>316.41877504316409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6.166060606060606</v>
      </c>
      <c r="BD31" s="13">
        <f>IF('Données projet'!$A$88&gt;35,BD30+BC31-BL30,IF(A31&lt;'Données projet'!$A$88,$BA$205^A31,IF(A31='Données projet'!$A$88,'Données projet'!$B$88,BD30+BC31-BL30)))</f>
        <v>90.938065097455606</v>
      </c>
      <c r="BE31" s="14">
        <f>BD31*VLOOKUP('Données projet'!$B$11,Paramètres!$A$1:$I$89,3,0)*VLOOKUP('Données projet'!$B$11,Paramètres!$A$1:$I$89,5,0)</f>
        <v>95.048465639860609</v>
      </c>
      <c r="BF31" s="14">
        <f t="shared" si="37"/>
        <v>25.778898970722423</v>
      </c>
      <c r="BG31" s="22">
        <f t="shared" si="7"/>
        <v>210.44099336343209</v>
      </c>
      <c r="BH31" s="62">
        <f t="shared" si="8"/>
        <v>501.32988225232094</v>
      </c>
      <c r="BI31" s="62">
        <f ca="1">AVERAGE(OFFSET($BH$3,0,0,'Données projet'!$E$11+1,1))-AVERAGE(OFFSET($H$3,0,0,'Données projet'!$E$11+1,1))</f>
        <v>2843.5086223152098</v>
      </c>
      <c r="BJ31" s="62">
        <f t="shared" si="38"/>
        <v>324.81562437645522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6.166060606060606</v>
      </c>
      <c r="BY31" s="13">
        <f>IF('Données projet'!$A$114&gt;35,BY30+BX31-CG30,IF(A31&lt;'Données projet'!$A$114,$BV$205^A31,IF(A31='Données projet'!$A$114,'Données projet'!$B$114,BY30+BX31-CG30)))</f>
        <v>90.938065097455606</v>
      </c>
      <c r="BZ31" s="14">
        <f>BY31*VLOOKUP('Données projet'!$B$12,Paramètres!$A$1:$I$89,3,0)*VLOOKUP('Données projet'!$B$12,Paramètres!$A$1:$I$89,5,0)</f>
        <v>90.792564193299683</v>
      </c>
      <c r="CA31" s="14">
        <f t="shared" si="39"/>
        <v>24.756274744200528</v>
      </c>
      <c r="CB31" s="22">
        <f t="shared" si="10"/>
        <v>201.24756114947954</v>
      </c>
      <c r="CC31" s="62">
        <f t="shared" si="11"/>
        <v>492.13645003836837</v>
      </c>
      <c r="CD31" s="62">
        <f ca="1">AVERAGE(OFFSET($CC$3,0,0,'Données projet'!$E$12+1,1))-AVERAGE(OFFSET($H$3,0,0,'Données projet'!$E$12+1,1))</f>
        <v>2719.939926994799</v>
      </c>
      <c r="CE31" s="62">
        <f t="shared" si="40"/>
        <v>312.21824046329749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8.1527272727272742</v>
      </c>
      <c r="CT31" s="13">
        <f>IF('Données projet'!$A$140&gt;35,CT30+CS31-DB30,IF(A31&lt;'Données projet'!$A$140,$CQ$205^A31,IF(A31='Données projet'!$A$140,'Données projet'!$B$140,CT30+CS31-DB30)))</f>
        <v>115.255798918773</v>
      </c>
      <c r="CU31" s="18">
        <f>CT31*VLOOKUP('Données projet'!$B$13,Paramètres!$A$1:$I$89,3,0)*VLOOKUP('Données projet'!$B$13,Paramètres!$A$1:$I$89,5,0)</f>
        <v>100.68746593544012</v>
      </c>
      <c r="CV31" s="14">
        <f t="shared" si="41"/>
        <v>27.125711465643956</v>
      </c>
      <c r="CW31" s="22">
        <f t="shared" si="13"/>
        <v>222.60795064022145</v>
      </c>
      <c r="CX31" s="62">
        <f t="shared" si="14"/>
        <v>513.49683952911028</v>
      </c>
      <c r="CY31" s="62">
        <f ca="1">AVERAGE(OFFSET($CX$3,0,0,'Données projet'!$E$13+1,1))-AVERAGE(OFFSET($H$3,0,0,'Données projet'!$E$13+1,1))</f>
        <v>1036.0130072090849</v>
      </c>
      <c r="CZ31" s="62">
        <f t="shared" si="42"/>
        <v>346.56593355696174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33.725000000000001</v>
      </c>
      <c r="DO31" s="13">
        <f>IF('Données projet'!$A$166&gt;35,DO30+DN31-DW30,IF(A31&lt;'Données projet'!$A$166,$DL$205^A31,IF(A31='Données projet'!$A$166,'Données projet'!$B$166,DO30+DN31-DW30)))</f>
        <v>366.37500000000006</v>
      </c>
      <c r="DP31" s="18">
        <f>DO31*VLOOKUP('Données projet'!$B$14,Paramètres!$A$1:$I$89,3,0)*VLOOKUP('Données projet'!$B$14,Paramètres!$A$1:$I$89,5,0)</f>
        <v>204.80362500000004</v>
      </c>
      <c r="DQ31" s="14">
        <f t="shared" si="43"/>
        <v>50.798396430378162</v>
      </c>
      <c r="DR31" s="22">
        <f t="shared" si="16"/>
        <v>445.17352065790874</v>
      </c>
      <c r="DS31" s="62">
        <f t="shared" si="17"/>
        <v>736.06240954679765</v>
      </c>
      <c r="DT31" s="62">
        <f ca="1">AVERAGE(OFFSET($DS$3,0,0,'Données projet'!$E$14+1,1))-AVERAGE(OFFSET($H$3,0,0,'Données projet'!$E$14+1,1))</f>
        <v>446.48069057792151</v>
      </c>
      <c r="DU31" s="62">
        <f t="shared" si="44"/>
        <v>561.75656782935948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6.9979645898870944</v>
      </c>
      <c r="EC31" s="23">
        <f>EXP(-LN(2)/2)*EC30+(1-EXP(-LN(2)/2))/(LN(2)/2)*DW31*DZ31*VLOOKUP('Données projet'!$B$14,Paramètres!$A$1:$I$89,3,0)*0.475*44/12</f>
        <v>6.2834687143740462</v>
      </c>
      <c r="ED31" s="24">
        <f t="shared" si="18"/>
        <v>13.281433304261141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3.3521212121212121</v>
      </c>
      <c r="EJ31" s="13">
        <f>IF('Données projet'!$A$192&gt;35,EJ30+EI31-ER30,IF(A31&lt;'Données projet'!$A$192,$EG$205^A31,IF(A31='Données projet'!$A$192,'Données projet'!$B$192,EJ30+EI31-ER30)))</f>
        <v>54.220296524299073</v>
      </c>
      <c r="EK31" s="18">
        <f>EJ31*VLOOKUP('Données projet'!$B$15,Paramètres!$A$1:$I$89,3,0)*VLOOKUP('Données projet'!$B$15,Paramètres!$A$1:$I$89,5,0)</f>
        <v>52.44187079830207</v>
      </c>
      <c r="EL31" s="14">
        <f t="shared" si="45"/>
        <v>15.242622758862623</v>
      </c>
      <c r="EM31" s="22">
        <f t="shared" si="19"/>
        <v>117.88382627872851</v>
      </c>
      <c r="EN31" s="62">
        <f t="shared" si="20"/>
        <v>408.77271516761738</v>
      </c>
      <c r="EO31" s="62">
        <f ca="1">AVERAGE(OFFSET($EN$3,0,0,'Données projet'!$E$15+1,1))-AVERAGE(OFFSET($H$3,0,0,'Données projet'!$E$15+1,1))</f>
        <v>301.18531163828169</v>
      </c>
      <c r="EP31" s="62">
        <f t="shared" si="46"/>
        <v>192.30530273268101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3.3521212121212121</v>
      </c>
      <c r="FE31" s="13">
        <f>IF('Données projet'!$A$218&gt;35,FE30+FD31-FM30,IF(A31&lt;'Données projet'!$A$218,$FB$205^A31,IF(A31='Données projet'!$A$218,'Données projet'!$B$218,FE30+FD31-FM30)))</f>
        <v>54.220296524299073</v>
      </c>
      <c r="FF31" s="18">
        <f>FE31*VLOOKUP('Données projet'!$B$16,Paramètres!$A$1:$I$89,3,0)*VLOOKUP('Données projet'!$B$16,Paramètres!$A$1:$I$89,5,0)</f>
        <v>42.291831288953276</v>
      </c>
      <c r="FG31" s="14">
        <f t="shared" si="47"/>
        <v>12.604113355405165</v>
      </c>
      <c r="FH31" s="22">
        <f t="shared" si="22"/>
        <v>95.610436922257591</v>
      </c>
      <c r="FI31" s="62">
        <f t="shared" si="23"/>
        <v>386.49932581114643</v>
      </c>
      <c r="FJ31" s="62">
        <f ca="1">AVERAGE(OFFSET($FI$3,0,0,'Données projet'!$E$16+1,1))-AVERAGE(OFFSET($H$3,0,0,'Données projet'!$E$16+1,1))</f>
        <v>249.2899297828755</v>
      </c>
      <c r="FK31" s="62">
        <f t="shared" si="48"/>
        <v>162.88011837476813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3.3521212121212121</v>
      </c>
      <c r="FZ31" s="13">
        <f>IF('Données projet'!$A$244&gt;35,FZ30+FY31-GH30,IF(A31&lt;'Données projet'!$A$244,$FW$205^A31,IF(A31='Données projet'!$A$244,'Données projet'!$B$244,FZ30+FY31-GH30)))</f>
        <v>54.220296524299073</v>
      </c>
      <c r="GA31" s="18">
        <f>FZ31*VLOOKUP('Données projet'!$B$17,Paramètres!$A$1:$I$89,3,0)*VLOOKUP('Données projet'!$B$17,Paramètres!$A$1:$I$89,5,0)</f>
        <v>36.370974908499818</v>
      </c>
      <c r="GB31" s="14">
        <f t="shared" si="49"/>
        <v>11.031514289380739</v>
      </c>
      <c r="GC31" s="22">
        <f t="shared" si="25"/>
        <v>82.559335352975296</v>
      </c>
      <c r="GD31" s="62">
        <f t="shared" si="26"/>
        <v>373.44822424186418</v>
      </c>
      <c r="GE31" s="62">
        <f ca="1">AVERAGE(OFFSET($GD$3,0,0,'Données projet'!$E$17+1,1))-AVERAGE(OFFSET($H$3,0,0,'Données projet'!$E$17+1,1))</f>
        <v>218.89895999738746</v>
      </c>
      <c r="GF31" s="62">
        <f t="shared" si="50"/>
        <v>145.64042897395763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3.3521212121212121</v>
      </c>
      <c r="GU31" s="13">
        <f>IF('Données projet'!$A$270&gt;35,GU30+GT31-HC30,IF(A31&lt;'Données projet'!$A$270,$GR$205^A31,IF(A31='Données projet'!$A$270,'Données projet'!$B$270,GU30+GT31-HC30)))</f>
        <v>54.220296524299073</v>
      </c>
      <c r="GV31" s="18">
        <f>GU31*VLOOKUP('Données projet'!$B$18,Paramètres!$A$1:$I$89,3,0)*VLOOKUP('Données projet'!$B$18,Paramètres!$A$1:$I$89,5,0)</f>
        <v>58.362727178755513</v>
      </c>
      <c r="GW31" s="14">
        <f t="shared" si="51"/>
        <v>16.753650876990367</v>
      </c>
      <c r="GX31" s="22">
        <f t="shared" si="28"/>
        <v>130.82769178042409</v>
      </c>
      <c r="GY31" s="62">
        <f t="shared" si="29"/>
        <v>421.71658066931298</v>
      </c>
      <c r="GZ31" s="62">
        <f ca="1">AVERAGE(OFFSET($GY$3,0,0,'Données projet'!$E$18+1,1))-AVERAGE(OFFSET($H$3,0,0,'Données projet'!$E$18+1,1))</f>
        <v>331.3579800635751</v>
      </c>
      <c r="HA31" s="62">
        <f t="shared" si="52"/>
        <v>209.40702003535273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6.166060606060606</v>
      </c>
      <c r="N32" s="14">
        <f>IF('Données projet'!$A$36&gt;35,N31+M32-V31,IF(A32&lt;'Données projet'!$A$36,$K$205^A32,IF(A32='Données projet'!$A$36,'Données projet'!$B$36,N31+M32-V31)))</f>
        <v>106.83189039647945</v>
      </c>
      <c r="O32" s="14">
        <f>N32*VLOOKUP('Données projet'!$B$9,Paramètres!$A$1:$I$89,3,0)*VLOOKUP('Données projet'!$B$9,Paramètres!$A$1:$I$89,5,0)</f>
        <v>96.661494430734606</v>
      </c>
      <c r="P32" s="14">
        <f t="shared" si="33"/>
        <v>26.165079708809298</v>
      </c>
      <c r="Q32" s="22">
        <f t="shared" si="2"/>
        <v>213.92294995970562</v>
      </c>
      <c r="R32" s="62">
        <f t="shared" si="0"/>
        <v>506.03406107081673</v>
      </c>
      <c r="S32" s="62">
        <f ca="1">AVERAGE(OFFSET($R$3,0,0,'Données projet'!$E$9+1,1))-AVERAGE(OFFSET($H$3,0,0,'Données projet'!$E$9+1,1))</f>
        <v>2472.5049373954762</v>
      </c>
      <c r="T32" s="62">
        <f t="shared" si="34"/>
        <v>286.98388307318311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6.166060606060606</v>
      </c>
      <c r="AI32" s="14">
        <f>IF('Données projet'!$A$62&gt;35,AI31+AH32-AQ31,IF(A32&lt;'Données projet'!$A$62,$AF$205^A32,IF(A32='Données projet'!$A$62,'Données projet'!$B$62,AI31+AH32-AQ31)))</f>
        <v>106.83189039647945</v>
      </c>
      <c r="AJ32" s="14">
        <f>AI32*VLOOKUP('Données projet'!$B$10,Paramètres!$A$1:$I$89,3,0)*VLOOKUP('Données projet'!$B$10,Paramètres!$A$1:$I$89,5,0)</f>
        <v>108.32753686203016</v>
      </c>
      <c r="AK32" s="14">
        <f t="shared" si="35"/>
        <v>28.936588538798343</v>
      </c>
      <c r="AL32" s="22">
        <f t="shared" si="4"/>
        <v>239.06835173977629</v>
      </c>
      <c r="AM32" s="62">
        <f t="shared" si="5"/>
        <v>531.17946285088738</v>
      </c>
      <c r="AN32" s="62">
        <f ca="1">AVERAGE(OFFSET($AM$3,0,0,'Données projet'!$E$10+1,1))-AVERAGE(OFFSET($H$3,0,0,'Données projet'!$E$10+1,1))</f>
        <v>2761.1400657295467</v>
      </c>
      <c r="AO32" s="62">
        <f t="shared" si="36"/>
        <v>316.41877504316409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6.166060606060606</v>
      </c>
      <c r="BD32" s="13">
        <f>IF('Données projet'!$A$88&gt;35,BD31+BC32-BL31,IF(A32&lt;'Données projet'!$A$88,$BA$205^A32,IF(A32='Données projet'!$A$88,'Données projet'!$B$88,BD31+BC32-BL31)))</f>
        <v>106.83189039647945</v>
      </c>
      <c r="BE32" s="14">
        <f>BD32*VLOOKUP('Données projet'!$B$11,Paramètres!$A$1:$I$89,3,0)*VLOOKUP('Données projet'!$B$11,Paramètres!$A$1:$I$89,5,0)</f>
        <v>111.66069184240034</v>
      </c>
      <c r="BF32" s="14">
        <f t="shared" si="37"/>
        <v>29.721914645932369</v>
      </c>
      <c r="BG32" s="22">
        <f t="shared" si="7"/>
        <v>246.24137296717944</v>
      </c>
      <c r="BH32" s="62">
        <f t="shared" si="8"/>
        <v>538.35248407829056</v>
      </c>
      <c r="BI32" s="62">
        <f ca="1">AVERAGE(OFFSET($BH$3,0,0,'Données projet'!$E$11+1,1))-AVERAGE(OFFSET($H$3,0,0,'Données projet'!$E$11+1,1))</f>
        <v>2843.5086223152098</v>
      </c>
      <c r="BJ32" s="62">
        <f t="shared" si="38"/>
        <v>324.81562437645522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6.166060606060606</v>
      </c>
      <c r="BY32" s="13">
        <f>IF('Données projet'!$A$114&gt;35,BY31+BX32-CG31,IF(A32&lt;'Données projet'!$A$114,$BV$205^A32,IF(A32='Données projet'!$A$114,'Données projet'!$B$114,BY31+BX32-CG31)))</f>
        <v>106.83189039647945</v>
      </c>
      <c r="BZ32" s="14">
        <f>BY32*VLOOKUP('Données projet'!$B$12,Paramètres!$A$1:$I$89,3,0)*VLOOKUP('Données projet'!$B$12,Paramètres!$A$1:$I$89,5,0)</f>
        <v>106.66095937184508</v>
      </c>
      <c r="CA32" s="14">
        <f t="shared" si="39"/>
        <v>28.542874764901526</v>
      </c>
      <c r="CB32" s="22">
        <f t="shared" si="10"/>
        <v>235.4800111215003</v>
      </c>
      <c r="CC32" s="62">
        <f t="shared" si="11"/>
        <v>527.5911222326115</v>
      </c>
      <c r="CD32" s="62">
        <f ca="1">AVERAGE(OFFSET($CC$3,0,0,'Données projet'!$E$12+1,1))-AVERAGE(OFFSET($H$3,0,0,'Données projet'!$E$12+1,1))</f>
        <v>2719.939926994799</v>
      </c>
      <c r="CE32" s="62">
        <f t="shared" si="40"/>
        <v>312.21824046329749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8.1527272727272742</v>
      </c>
      <c r="CT32" s="13">
        <f>IF('Données projet'!$A$140&gt;35,CT31+CS32-DB31,IF(A32&lt;'Données projet'!$A$140,$CQ$205^A32,IF(A32='Données projet'!$A$140,'Données projet'!$B$140,CT31+CS32-DB31)))</f>
        <v>136.55059574899596</v>
      </c>
      <c r="CU32" s="18">
        <f>CT32*VLOOKUP('Données projet'!$B$13,Paramètres!$A$1:$I$89,3,0)*VLOOKUP('Données projet'!$B$13,Paramètres!$A$1:$I$89,5,0)</f>
        <v>119.29060044632288</v>
      </c>
      <c r="CV32" s="14">
        <f t="shared" si="41"/>
        <v>31.509486445743718</v>
      </c>
      <c r="CW32" s="22">
        <f t="shared" si="13"/>
        <v>262.64348467034927</v>
      </c>
      <c r="CX32" s="62">
        <f t="shared" si="14"/>
        <v>554.75459578146047</v>
      </c>
      <c r="CY32" s="62">
        <f ca="1">AVERAGE(OFFSET($CX$3,0,0,'Données projet'!$E$13+1,1))-AVERAGE(OFFSET($H$3,0,0,'Données projet'!$E$13+1,1))</f>
        <v>1036.0130072090849</v>
      </c>
      <c r="CZ32" s="62">
        <f t="shared" si="42"/>
        <v>346.56593355696174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33.725000000000001</v>
      </c>
      <c r="DO32" s="13">
        <f>IF('Données projet'!$A$166&gt;35,DO31+DN32-DW31,IF(A32&lt;'Données projet'!$A$166,$DL$205^A32,IF(A32='Données projet'!$A$166,'Données projet'!$B$166,DO31+DN32-DW31)))</f>
        <v>400.10000000000008</v>
      </c>
      <c r="DP32" s="18">
        <f>DO32*VLOOKUP('Données projet'!$B$14,Paramètres!$A$1:$I$89,3,0)*VLOOKUP('Données projet'!$B$14,Paramètres!$A$1:$I$89,5,0)</f>
        <v>223.65590000000006</v>
      </c>
      <c r="DQ32" s="14">
        <f t="shared" si="43"/>
        <v>54.90871374266861</v>
      </c>
      <c r="DR32" s="22">
        <f t="shared" si="16"/>
        <v>485.16670226848117</v>
      </c>
      <c r="DS32" s="62">
        <f t="shared" si="17"/>
        <v>777.27781337959232</v>
      </c>
      <c r="DT32" s="62">
        <f ca="1">AVERAGE(OFFSET($DS$3,0,0,'Données projet'!$E$14+1,1))-AVERAGE(OFFSET($H$3,0,0,'Données projet'!$E$14+1,1))</f>
        <v>446.48069057792151</v>
      </c>
      <c r="DU32" s="62">
        <f t="shared" si="44"/>
        <v>561.75656782935948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6.8066048801696679</v>
      </c>
      <c r="EC32" s="23">
        <f>EXP(-LN(2)/2)*EC31+(1-EXP(-LN(2)/2))/(LN(2)/2)*DW32*DZ32*VLOOKUP('Données projet'!$B$14,Paramètres!$A$1:$I$89,3,0)*0.475*44/12</f>
        <v>4.4430833373074057</v>
      </c>
      <c r="ED32" s="24">
        <f t="shared" si="18"/>
        <v>11.249688217477074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3.3521212121212121</v>
      </c>
      <c r="EJ32" s="13">
        <f>IF('Données projet'!$A$192&gt;35,EJ31+EI32-ER31,IF(A32&lt;'Données projet'!$A$192,$EG$205^A32,IF(A32='Données projet'!$A$192,'Données projet'!$B$192,EJ31+EI32-ER31)))</f>
        <v>62.531124906468008</v>
      </c>
      <c r="EK32" s="18">
        <f>EJ32*VLOOKUP('Données projet'!$B$15,Paramètres!$A$1:$I$89,3,0)*VLOOKUP('Données projet'!$B$15,Paramètres!$A$1:$I$89,5,0)</f>
        <v>60.480104009535857</v>
      </c>
      <c r="EL32" s="14">
        <f t="shared" si="45"/>
        <v>17.289598007716922</v>
      </c>
      <c r="EM32" s="22">
        <f t="shared" si="19"/>
        <v>135.44889768004859</v>
      </c>
      <c r="EN32" s="62">
        <f t="shared" si="20"/>
        <v>427.5600087911597</v>
      </c>
      <c r="EO32" s="62">
        <f ca="1">AVERAGE(OFFSET($EN$3,0,0,'Données projet'!$E$15+1,1))-AVERAGE(OFFSET($H$3,0,0,'Données projet'!$E$15+1,1))</f>
        <v>301.18531163828169</v>
      </c>
      <c r="EP32" s="62">
        <f t="shared" si="46"/>
        <v>192.30530273268101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3.3521212121212121</v>
      </c>
      <c r="FE32" s="13">
        <f>IF('Données projet'!$A$218&gt;35,FE31+FD32-FM31,IF(A32&lt;'Données projet'!$A$218,$FB$205^A32,IF(A32='Données projet'!$A$218,'Données projet'!$B$218,FE31+FD32-FM31)))</f>
        <v>62.531124906468008</v>
      </c>
      <c r="FF32" s="18">
        <f>FE32*VLOOKUP('Données projet'!$B$16,Paramètres!$A$1:$I$89,3,0)*VLOOKUP('Données projet'!$B$16,Paramètres!$A$1:$I$89,5,0)</f>
        <v>48.77427742704505</v>
      </c>
      <c r="FG32" s="14">
        <f t="shared" si="47"/>
        <v>14.296755657220784</v>
      </c>
      <c r="FH32" s="22">
        <f t="shared" si="22"/>
        <v>109.84871595509632</v>
      </c>
      <c r="FI32" s="62">
        <f t="shared" si="23"/>
        <v>401.95982706620748</v>
      </c>
      <c r="FJ32" s="62">
        <f ca="1">AVERAGE(OFFSET($FI$3,0,0,'Données projet'!$E$16+1,1))-AVERAGE(OFFSET($H$3,0,0,'Données projet'!$E$16+1,1))</f>
        <v>249.2899297828755</v>
      </c>
      <c r="FK32" s="62">
        <f t="shared" si="48"/>
        <v>162.88011837476813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3.3521212121212121</v>
      </c>
      <c r="FZ32" s="13">
        <f>IF('Données projet'!$A$244&gt;35,FZ31+FY32-GH31,IF(A32&lt;'Données projet'!$A$244,$FW$205^A32,IF(A32='Données projet'!$A$244,'Données projet'!$B$244,FZ31+FY32-GH31)))</f>
        <v>62.531124906468008</v>
      </c>
      <c r="GA32" s="18">
        <f>FZ32*VLOOKUP('Données projet'!$B$17,Paramètres!$A$1:$I$89,3,0)*VLOOKUP('Données projet'!$B$17,Paramètres!$A$1:$I$89,5,0)</f>
        <v>41.94587858725874</v>
      </c>
      <c r="GB32" s="14">
        <f t="shared" si="49"/>
        <v>12.512967781012643</v>
      </c>
      <c r="GC32" s="22">
        <f t="shared" si="25"/>
        <v>94.849157424739317</v>
      </c>
      <c r="GD32" s="62">
        <f t="shared" si="26"/>
        <v>386.96026853585045</v>
      </c>
      <c r="GE32" s="62">
        <f ca="1">AVERAGE(OFFSET($GD$3,0,0,'Données projet'!$E$17+1,1))-AVERAGE(OFFSET($H$3,0,0,'Données projet'!$E$17+1,1))</f>
        <v>218.89895999738746</v>
      </c>
      <c r="GF32" s="62">
        <f t="shared" si="50"/>
        <v>145.64042897395763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3.3521212121212121</v>
      </c>
      <c r="GU32" s="13">
        <f>IF('Données projet'!$A$270&gt;35,GU31+GT32-HC31,IF(A32&lt;'Données projet'!$A$270,$GR$205^A32,IF(A32='Données projet'!$A$270,'Données projet'!$B$270,GU31+GT32-HC31)))</f>
        <v>62.531124906468008</v>
      </c>
      <c r="GV32" s="18">
        <f>GU32*VLOOKUP('Données projet'!$B$18,Paramètres!$A$1:$I$89,3,0)*VLOOKUP('Données projet'!$B$18,Paramètres!$A$1:$I$89,5,0)</f>
        <v>67.308502849322167</v>
      </c>
      <c r="GW32" s="14">
        <f t="shared" si="51"/>
        <v>19.003546397969878</v>
      </c>
      <c r="GX32" s="22">
        <f t="shared" si="28"/>
        <v>150.32681910570028</v>
      </c>
      <c r="GY32" s="62">
        <f t="shared" si="29"/>
        <v>442.43793021681142</v>
      </c>
      <c r="GZ32" s="62">
        <f ca="1">AVERAGE(OFFSET($GY$3,0,0,'Données projet'!$E$18+1,1))-AVERAGE(OFFSET($H$3,0,0,'Données projet'!$E$18+1,1))</f>
        <v>331.3579800635751</v>
      </c>
      <c r="HA32" s="62">
        <f t="shared" si="52"/>
        <v>209.40702003535273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6.166060606060606</v>
      </c>
      <c r="N33" s="14">
        <f>IF('Données projet'!$A$36&gt;35,N32+M33-V32,IF(A33&lt;'Données projet'!$A$36,$K$205^A33,IF(A33='Données projet'!$A$36,'Données projet'!$B$36,N32+M33-V32)))</f>
        <v>125.50358085422612</v>
      </c>
      <c r="O33" s="14">
        <f>N33*VLOOKUP('Données projet'!$B$9,Paramètres!$A$1:$I$89,3,0)*VLOOKUP('Données projet'!$B$9,Paramètres!$A$1:$I$89,5,0)</f>
        <v>113.55563995690379</v>
      </c>
      <c r="P33" s="14">
        <f t="shared" si="33"/>
        <v>30.167163721478861</v>
      </c>
      <c r="Q33" s="22">
        <f t="shared" si="2"/>
        <v>250.31721640651642</v>
      </c>
      <c r="R33" s="62">
        <f t="shared" si="0"/>
        <v>543.65054973984979</v>
      </c>
      <c r="S33" s="62">
        <f ca="1">AVERAGE(OFFSET($R$3,0,0,'Données projet'!$E$9+1,1))-AVERAGE(OFFSET($H$3,0,0,'Données projet'!$E$9+1,1))</f>
        <v>2472.5049373954762</v>
      </c>
      <c r="T33" s="62">
        <f t="shared" si="34"/>
        <v>286.98388307318311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6.166060606060606</v>
      </c>
      <c r="AI33" s="14">
        <f>IF('Données projet'!$A$62&gt;35,AI32+AH33-AQ32,IF(A33&lt;'Données projet'!$A$62,$AF$205^A33,IF(A33='Données projet'!$A$62,'Données projet'!$B$62,AI32+AH33-AQ32)))</f>
        <v>125.50358085422612</v>
      </c>
      <c r="AJ33" s="14">
        <f>AI33*VLOOKUP('Données projet'!$B$10,Paramètres!$A$1:$I$89,3,0)*VLOOKUP('Données projet'!$B$10,Paramètres!$A$1:$I$89,5,0)</f>
        <v>127.26063098618529</v>
      </c>
      <c r="AK33" s="14">
        <f t="shared" si="35"/>
        <v>33.362589134291738</v>
      </c>
      <c r="AL33" s="22">
        <f t="shared" si="4"/>
        <v>279.75210837649746</v>
      </c>
      <c r="AM33" s="62">
        <f t="shared" si="5"/>
        <v>573.08544170983077</v>
      </c>
      <c r="AN33" s="62">
        <f ca="1">AVERAGE(OFFSET($AM$3,0,0,'Données projet'!$E$10+1,1))-AVERAGE(OFFSET($H$3,0,0,'Données projet'!$E$10+1,1))</f>
        <v>2761.1400657295467</v>
      </c>
      <c r="AO33" s="62">
        <f t="shared" si="36"/>
        <v>316.41877504316409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6.166060606060606</v>
      </c>
      <c r="BD33" s="13">
        <f>IF('Données projet'!$A$88&gt;35,BD32+BC33-BL32,IF(A33&lt;'Données projet'!$A$88,$BA$205^A33,IF(A33='Données projet'!$A$88,'Données projet'!$B$88,BD32+BC33-BL32)))</f>
        <v>125.50358085422612</v>
      </c>
      <c r="BE33" s="14">
        <f>BD33*VLOOKUP('Données projet'!$B$11,Paramètres!$A$1:$I$89,3,0)*VLOOKUP('Données projet'!$B$11,Paramètres!$A$1:$I$89,5,0)</f>
        <v>131.17634270883715</v>
      </c>
      <c r="BF33" s="14">
        <f t="shared" si="37"/>
        <v>34.268034923577382</v>
      </c>
      <c r="BG33" s="22">
        <f t="shared" si="7"/>
        <v>288.14895770978859</v>
      </c>
      <c r="BH33" s="62">
        <f t="shared" si="8"/>
        <v>581.4822910431219</v>
      </c>
      <c r="BI33" s="62">
        <f ca="1">AVERAGE(OFFSET($BH$3,0,0,'Données projet'!$E$11+1,1))-AVERAGE(OFFSET($H$3,0,0,'Données projet'!$E$11+1,1))</f>
        <v>2843.5086223152098</v>
      </c>
      <c r="BJ33" s="62">
        <f t="shared" si="38"/>
        <v>324.81562437645522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6.166060606060606</v>
      </c>
      <c r="BY33" s="13">
        <f>IF('Données projet'!$A$114&gt;35,BY32+BX33-CG32,IF(A33&lt;'Données projet'!$A$114,$BV$205^A33,IF(A33='Données projet'!$A$114,'Données projet'!$B$114,BY32+BX33-CG32)))</f>
        <v>125.50358085422612</v>
      </c>
      <c r="BZ33" s="14">
        <f>BY33*VLOOKUP('Données projet'!$B$12,Paramètres!$A$1:$I$89,3,0)*VLOOKUP('Données projet'!$B$12,Paramètres!$A$1:$I$89,5,0)</f>
        <v>125.30277512485937</v>
      </c>
      <c r="CA33" s="14">
        <f t="shared" si="39"/>
        <v>32.908654806220611</v>
      </c>
      <c r="CB33" s="22">
        <f t="shared" si="10"/>
        <v>275.55157379663092</v>
      </c>
      <c r="CC33" s="62">
        <f t="shared" si="11"/>
        <v>568.88490712996418</v>
      </c>
      <c r="CD33" s="62">
        <f ca="1">AVERAGE(OFFSET($CC$3,0,0,'Données projet'!$E$12+1,1))-AVERAGE(OFFSET($H$3,0,0,'Données projet'!$E$12+1,1))</f>
        <v>2719.939926994799</v>
      </c>
      <c r="CE33" s="62">
        <f t="shared" si="40"/>
        <v>312.21824046329749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8.1527272727272742</v>
      </c>
      <c r="CT33" s="13">
        <f>IF('Données projet'!$A$140&gt;35,CT32+CS33-DB32,IF(A33&lt;'Données projet'!$A$140,$CQ$205^A33,IF(A33='Données projet'!$A$140,'Données projet'!$B$140,CT32+CS33-DB32)))</f>
        <v>161.77984426229705</v>
      </c>
      <c r="CU33" s="18">
        <f>CT33*VLOOKUP('Données projet'!$B$13,Paramètres!$A$1:$I$89,3,0)*VLOOKUP('Données projet'!$B$13,Paramètres!$A$1:$I$89,5,0)</f>
        <v>141.33087194754273</v>
      </c>
      <c r="CV33" s="14">
        <f t="shared" si="41"/>
        <v>36.601721482291779</v>
      </c>
      <c r="CW33" s="22">
        <f t="shared" si="13"/>
        <v>309.89926689029511</v>
      </c>
      <c r="CX33" s="62">
        <f t="shared" si="14"/>
        <v>603.23260022362842</v>
      </c>
      <c r="CY33" s="62">
        <f ca="1">AVERAGE(OFFSET($CX$3,0,0,'Données projet'!$E$13+1,1))-AVERAGE(OFFSET($H$3,0,0,'Données projet'!$E$13+1,1))</f>
        <v>1036.0130072090849</v>
      </c>
      <c r="CZ33" s="62">
        <f t="shared" si="42"/>
        <v>346.56593355696174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33.725000000000001</v>
      </c>
      <c r="DO33" s="13">
        <f>IF('Données projet'!$A$166&gt;35,DO32+DN33-DW32,IF(A33&lt;'Données projet'!$A$166,$DL$205^A33,IF(A33='Données projet'!$A$166,'Données projet'!$B$166,DO32+DN33-DW32)))</f>
        <v>433.8250000000001</v>
      </c>
      <c r="DP33" s="18">
        <f>DO33*VLOOKUP('Données projet'!$B$14,Paramètres!$A$1:$I$89,3,0)*VLOOKUP('Données projet'!$B$14,Paramètres!$A$1:$I$89,5,0)</f>
        <v>242.50817500000008</v>
      </c>
      <c r="DQ33" s="14">
        <f t="shared" si="43"/>
        <v>58.978849591019781</v>
      </c>
      <c r="DR33" s="22">
        <f t="shared" si="16"/>
        <v>525.08990116269297</v>
      </c>
      <c r="DS33" s="62">
        <f t="shared" si="17"/>
        <v>818.42323449602623</v>
      </c>
      <c r="DT33" s="62">
        <f ca="1">AVERAGE(OFFSET($DS$3,0,0,'Données projet'!$E$14+1,1))-AVERAGE(OFFSET($H$3,0,0,'Données projet'!$E$14+1,1))</f>
        <v>446.48069057792151</v>
      </c>
      <c r="DU33" s="62">
        <f t="shared" si="44"/>
        <v>561.75656782935948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6.620477911777634</v>
      </c>
      <c r="EC33" s="23">
        <f>EXP(-LN(2)/2)*EC32+(1-EXP(-LN(2)/2))/(LN(2)/2)*DW33*DZ33*VLOOKUP('Données projet'!$B$14,Paramètres!$A$1:$I$89,3,0)*0.475*44/12</f>
        <v>3.1417343571870231</v>
      </c>
      <c r="ED33" s="24">
        <f t="shared" si="18"/>
        <v>9.7622122689646567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3.3521212121212121</v>
      </c>
      <c r="EJ33" s="13">
        <f>IF('Données projet'!$A$192&gt;35,EJ32+EI33-ER32,IF(A33&lt;'Données projet'!$A$192,$EG$205^A33,IF(A33='Données projet'!$A$192,'Données projet'!$B$192,EJ32+EI33-ER32)))</f>
        <v>72.115828070323374</v>
      </c>
      <c r="EK33" s="18">
        <f>EJ33*VLOOKUP('Données projet'!$B$15,Paramètres!$A$1:$I$89,3,0)*VLOOKUP('Données projet'!$B$15,Paramètres!$A$1:$I$89,5,0)</f>
        <v>69.750428909616772</v>
      </c>
      <c r="EL33" s="14">
        <f t="shared" si="45"/>
        <v>19.611467396228782</v>
      </c>
      <c r="EM33" s="22">
        <f t="shared" si="19"/>
        <v>155.63863606601436</v>
      </c>
      <c r="EN33" s="62">
        <f t="shared" si="20"/>
        <v>448.9719693993477</v>
      </c>
      <c r="EO33" s="62">
        <f ca="1">AVERAGE(OFFSET($EN$3,0,0,'Données projet'!$E$15+1,1))-AVERAGE(OFFSET($H$3,0,0,'Données projet'!$E$15+1,1))</f>
        <v>301.18531163828169</v>
      </c>
      <c r="EP33" s="62">
        <f t="shared" si="46"/>
        <v>192.30530273268101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3.3521212121212121</v>
      </c>
      <c r="FE33" s="13">
        <f>IF('Données projet'!$A$218&gt;35,FE32+FD33-FM32,IF(A33&lt;'Données projet'!$A$218,$FB$205^A33,IF(A33='Données projet'!$A$218,'Données projet'!$B$218,FE32+FD33-FM32)))</f>
        <v>72.115828070323374</v>
      </c>
      <c r="FF33" s="18">
        <f>FE33*VLOOKUP('Données projet'!$B$16,Paramètres!$A$1:$I$89,3,0)*VLOOKUP('Données projet'!$B$16,Paramètres!$A$1:$I$89,5,0)</f>
        <v>56.250345894852231</v>
      </c>
      <c r="FG33" s="14">
        <f t="shared" si="47"/>
        <v>16.216707717454838</v>
      </c>
      <c r="FH33" s="22">
        <f t="shared" si="22"/>
        <v>126.21345170810149</v>
      </c>
      <c r="FI33" s="62">
        <f t="shared" si="23"/>
        <v>419.54678504143482</v>
      </c>
      <c r="FJ33" s="62">
        <f ca="1">AVERAGE(OFFSET($FI$3,0,0,'Données projet'!$E$16+1,1))-AVERAGE(OFFSET($H$3,0,0,'Données projet'!$E$16+1,1))</f>
        <v>249.2899297828755</v>
      </c>
      <c r="FK33" s="62">
        <f t="shared" si="48"/>
        <v>162.88011837476813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3.3521212121212121</v>
      </c>
      <c r="FZ33" s="13">
        <f>IF('Données projet'!$A$244&gt;35,FZ32+FY33-GH32,IF(A33&lt;'Données projet'!$A$244,$FW$205^A33,IF(A33='Données projet'!$A$244,'Données projet'!$B$244,FZ32+FY33-GH32)))</f>
        <v>72.115828070323374</v>
      </c>
      <c r="GA33" s="18">
        <f>FZ33*VLOOKUP('Données projet'!$B$17,Paramètres!$A$1:$I$89,3,0)*VLOOKUP('Données projet'!$B$17,Paramètres!$A$1:$I$89,5,0)</f>
        <v>48.375297469572921</v>
      </c>
      <c r="GB33" s="14">
        <f t="shared" si="49"/>
        <v>14.193369883895599</v>
      </c>
      <c r="GC33" s="22">
        <f t="shared" si="25"/>
        <v>108.973762307291</v>
      </c>
      <c r="GD33" s="62">
        <f t="shared" si="26"/>
        <v>402.30709564062431</v>
      </c>
      <c r="GE33" s="62">
        <f ca="1">AVERAGE(OFFSET($GD$3,0,0,'Données projet'!$E$17+1,1))-AVERAGE(OFFSET($H$3,0,0,'Données projet'!$E$17+1,1))</f>
        <v>218.89895999738746</v>
      </c>
      <c r="GF33" s="62">
        <f t="shared" si="50"/>
        <v>145.64042897395763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3.3521212121212121</v>
      </c>
      <c r="GU33" s="13">
        <f>IF('Données projet'!$A$270&gt;35,GU32+GT33-HC32,IF(A33&lt;'Données projet'!$A$270,$GR$205^A33,IF(A33='Données projet'!$A$270,'Données projet'!$B$270,GU32+GT33-HC32)))</f>
        <v>72.115828070323374</v>
      </c>
      <c r="GV33" s="18">
        <f>GU33*VLOOKUP('Données projet'!$B$18,Paramètres!$A$1:$I$89,3,0)*VLOOKUP('Données projet'!$B$18,Paramètres!$A$1:$I$89,5,0)</f>
        <v>77.625477334896075</v>
      </c>
      <c r="GW33" s="14">
        <f t="shared" si="51"/>
        <v>21.55558680023471</v>
      </c>
      <c r="GX33" s="22">
        <f t="shared" si="28"/>
        <v>172.7403533686861</v>
      </c>
      <c r="GY33" s="62">
        <f t="shared" si="29"/>
        <v>466.07368670201942</v>
      </c>
      <c r="GZ33" s="62">
        <f ca="1">AVERAGE(OFFSET($GY$3,0,0,'Données projet'!$E$18+1,1))-AVERAGE(OFFSET($H$3,0,0,'Données projet'!$E$18+1,1))</f>
        <v>331.3579800635751</v>
      </c>
      <c r="HA33" s="62">
        <f t="shared" si="52"/>
        <v>209.40702003535273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6.166060606060606</v>
      </c>
      <c r="N34" s="14">
        <f>IF('Données projet'!$A$36&gt;35,N33+M34-V33,IF(A34&lt;'Données projet'!$A$36,$K$205^A34,IF(A34='Données projet'!$A$36,'Données projet'!$B$36,N33+M34-V33)))</f>
        <v>147.43864167129198</v>
      </c>
      <c r="O34" s="14">
        <f>N34*VLOOKUP('Données projet'!$B$9,Paramètres!$A$1:$I$89,3,0)*VLOOKUP('Données projet'!$B$9,Paramètres!$A$1:$I$89,5,0)</f>
        <v>133.40248298418499</v>
      </c>
      <c r="P34" s="14">
        <f t="shared" si="33"/>
        <v>34.781387143724679</v>
      </c>
      <c r="Q34" s="22">
        <f t="shared" si="2"/>
        <v>292.92024047277602</v>
      </c>
      <c r="R34" s="62">
        <f t="shared" si="0"/>
        <v>586.25357380610933</v>
      </c>
      <c r="S34" s="62">
        <f ca="1">AVERAGE(OFFSET($R$3,0,0,'Données projet'!$E$9+1,1))-AVERAGE(OFFSET($H$3,0,0,'Données projet'!$E$9+1,1))</f>
        <v>2472.5049373954762</v>
      </c>
      <c r="T34" s="62">
        <f t="shared" si="34"/>
        <v>286.98388307318311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6.166060606060606</v>
      </c>
      <c r="AI34" s="14">
        <f>IF('Données projet'!$A$62&gt;35,AI33+AH34-AQ33,IF(A34&lt;'Données projet'!$A$62,$AF$205^A34,IF(A34='Données projet'!$A$62,'Données projet'!$B$62,AI33+AH34-AQ33)))</f>
        <v>147.43864167129198</v>
      </c>
      <c r="AJ34" s="14">
        <f>AI34*VLOOKUP('Données projet'!$B$10,Paramètres!$A$1:$I$89,3,0)*VLOOKUP('Données projet'!$B$10,Paramètres!$A$1:$I$89,5,0)</f>
        <v>149.50278265469009</v>
      </c>
      <c r="AK34" s="14">
        <f t="shared" si="35"/>
        <v>38.465569369076178</v>
      </c>
      <c r="AL34" s="22">
        <f t="shared" si="4"/>
        <v>327.37821310805958</v>
      </c>
      <c r="AM34" s="62">
        <f t="shared" si="5"/>
        <v>620.7115464413929</v>
      </c>
      <c r="AN34" s="62">
        <f ca="1">AVERAGE(OFFSET($AM$3,0,0,'Données projet'!$E$10+1,1))-AVERAGE(OFFSET($H$3,0,0,'Données projet'!$E$10+1,1))</f>
        <v>2761.1400657295467</v>
      </c>
      <c r="AO34" s="62">
        <f t="shared" si="36"/>
        <v>316.41877504316409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6.166060606060606</v>
      </c>
      <c r="BD34" s="13">
        <f>IF('Données projet'!$A$88&gt;35,BD33+BC34-BL33,IF(A34&lt;'Données projet'!$A$88,$BA$205^A34,IF(A34='Données projet'!$A$88,'Données projet'!$B$88,BD33+BC34-BL33)))</f>
        <v>147.43864167129198</v>
      </c>
      <c r="BE34" s="14">
        <f>BD34*VLOOKUP('Données projet'!$B$11,Paramètres!$A$1:$I$89,3,0)*VLOOKUP('Données projet'!$B$11,Paramètres!$A$1:$I$89,5,0)</f>
        <v>154.10286827483438</v>
      </c>
      <c r="BF34" s="14">
        <f t="shared" si="37"/>
        <v>39.509507765988701</v>
      </c>
      <c r="BG34" s="22">
        <f t="shared" si="7"/>
        <v>337.2082216044335</v>
      </c>
      <c r="BH34" s="62">
        <f t="shared" si="8"/>
        <v>630.54155493776682</v>
      </c>
      <c r="BI34" s="62">
        <f ca="1">AVERAGE(OFFSET($BH$3,0,0,'Données projet'!$E$11+1,1))-AVERAGE(OFFSET($H$3,0,0,'Données projet'!$E$11+1,1))</f>
        <v>2843.5086223152098</v>
      </c>
      <c r="BJ34" s="62">
        <f t="shared" si="38"/>
        <v>324.81562437645522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6.166060606060606</v>
      </c>
      <c r="BY34" s="13">
        <f>IF('Données projet'!$A$114&gt;35,BY33+BX34-CG33,IF(A34&lt;'Données projet'!$A$114,$BV$205^A34,IF(A34='Données projet'!$A$114,'Données projet'!$B$114,BY33+BX34-CG33)))</f>
        <v>147.43864167129198</v>
      </c>
      <c r="BZ34" s="14">
        <f>BY34*VLOOKUP('Données projet'!$B$12,Paramètres!$A$1:$I$89,3,0)*VLOOKUP('Données projet'!$B$12,Paramètres!$A$1:$I$89,5,0)</f>
        <v>147.20273984461789</v>
      </c>
      <c r="CA34" s="14">
        <f t="shared" si="39"/>
        <v>37.942203442194916</v>
      </c>
      <c r="CB34" s="22">
        <f t="shared" si="10"/>
        <v>322.46077622453231</v>
      </c>
      <c r="CC34" s="62">
        <f t="shared" si="11"/>
        <v>615.79410955786557</v>
      </c>
      <c r="CD34" s="62">
        <f ca="1">AVERAGE(OFFSET($CC$3,0,0,'Données projet'!$E$12+1,1))-AVERAGE(OFFSET($H$3,0,0,'Données projet'!$E$12+1,1))</f>
        <v>2719.939926994799</v>
      </c>
      <c r="CE34" s="62">
        <f t="shared" si="40"/>
        <v>312.21824046329749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8.1527272727272742</v>
      </c>
      <c r="CT34" s="13">
        <f>IF('Données projet'!$A$140&gt;35,CT33+CS34-DB33,IF(A34&lt;'Données projet'!$A$140,$CQ$205^A34,IF(A34='Données projet'!$A$140,'Données projet'!$B$140,CT33+CS34-DB33)))</f>
        <v>191.67047837450042</v>
      </c>
      <c r="CU34" s="18">
        <f>CT34*VLOOKUP('Données projet'!$B$13,Paramètres!$A$1:$I$89,3,0)*VLOOKUP('Données projet'!$B$13,Paramètres!$A$1:$I$89,5,0)</f>
        <v>167.4433299079636</v>
      </c>
      <c r="CV34" s="14">
        <f t="shared" si="41"/>
        <v>42.516910511190581</v>
      </c>
      <c r="CW34" s="22">
        <f t="shared" si="13"/>
        <v>365.68075206336016</v>
      </c>
      <c r="CX34" s="62">
        <f t="shared" si="14"/>
        <v>659.01408539669342</v>
      </c>
      <c r="CY34" s="62">
        <f ca="1">AVERAGE(OFFSET($CX$3,0,0,'Données projet'!$E$13+1,1))-AVERAGE(OFFSET($H$3,0,0,'Données projet'!$E$13+1,1))</f>
        <v>1036.0130072090849</v>
      </c>
      <c r="CZ34" s="62">
        <f t="shared" si="42"/>
        <v>346.56593355696174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33.725000000000001</v>
      </c>
      <c r="DO34" s="13">
        <f>IF('Données projet'!$A$166&gt;35,DO33+DN34-DW33,IF(A34&lt;'Données projet'!$A$166,$DL$205^A34,IF(A34='Données projet'!$A$166,'Données projet'!$B$166,DO33+DN34-DW33)))</f>
        <v>467.55000000000013</v>
      </c>
      <c r="DP34" s="18">
        <f>DO34*VLOOKUP('Données projet'!$B$14,Paramètres!$A$1:$I$89,3,0)*VLOOKUP('Données projet'!$B$14,Paramètres!$A$1:$I$89,5,0)</f>
        <v>261.36045000000007</v>
      </c>
      <c r="DQ34" s="14">
        <f t="shared" si="43"/>
        <v>63.012282778626698</v>
      </c>
      <c r="DR34" s="22">
        <f t="shared" si="16"/>
        <v>564.94917625610822</v>
      </c>
      <c r="DS34" s="62">
        <f t="shared" si="17"/>
        <v>858.28250958944159</v>
      </c>
      <c r="DT34" s="62">
        <f ca="1">AVERAGE(OFFSET($DS$3,0,0,'Données projet'!$E$14+1,1))-AVERAGE(OFFSET($H$3,0,0,'Données projet'!$E$14+1,1))</f>
        <v>446.48069057792151</v>
      </c>
      <c r="DU34" s="62">
        <f t="shared" si="44"/>
        <v>561.75656782935948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6.4394405951242728</v>
      </c>
      <c r="EC34" s="23">
        <f>EXP(-LN(2)/2)*EC33+(1-EXP(-LN(2)/2))/(LN(2)/2)*DW34*DZ34*VLOOKUP('Données projet'!$B$14,Paramètres!$A$1:$I$89,3,0)*0.475*44/12</f>
        <v>2.2215416686537028</v>
      </c>
      <c r="ED34" s="24">
        <f t="shared" si="18"/>
        <v>8.6609822637779761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3.3521212121212121</v>
      </c>
      <c r="EJ34" s="13">
        <f>IF('Données projet'!$A$192&gt;35,EJ33+EI34-ER33,IF(A34&lt;'Données projet'!$A$192,$EG$205^A34,IF(A34='Données projet'!$A$192,'Données projet'!$B$192,EJ33+EI34-ER33)))</f>
        <v>83.169664164005766</v>
      </c>
      <c r="EK34" s="18">
        <f>EJ34*VLOOKUP('Données projet'!$B$15,Paramètres!$A$1:$I$89,3,0)*VLOOKUP('Données projet'!$B$15,Paramètres!$A$1:$I$89,5,0)</f>
        <v>80.441699179426379</v>
      </c>
      <c r="EL34" s="14">
        <f t="shared" si="45"/>
        <v>22.245147241808663</v>
      </c>
      <c r="EM34" s="22">
        <f t="shared" si="19"/>
        <v>178.84625751698437</v>
      </c>
      <c r="EN34" s="62">
        <f t="shared" si="20"/>
        <v>472.17959085031771</v>
      </c>
      <c r="EO34" s="62">
        <f ca="1">AVERAGE(OFFSET($EN$3,0,0,'Données projet'!$E$15+1,1))-AVERAGE(OFFSET($H$3,0,0,'Données projet'!$E$15+1,1))</f>
        <v>301.18531163828169</v>
      </c>
      <c r="EP34" s="62">
        <f t="shared" si="46"/>
        <v>192.30530273268101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3.3521212121212121</v>
      </c>
      <c r="FE34" s="13">
        <f>IF('Données projet'!$A$218&gt;35,FE33+FD34-FM33,IF(A34&lt;'Données projet'!$A$218,$FB$205^A34,IF(A34='Données projet'!$A$218,'Données projet'!$B$218,FE33+FD34-FM33)))</f>
        <v>83.169664164005766</v>
      </c>
      <c r="FF34" s="18">
        <f>FE34*VLOOKUP('Données projet'!$B$16,Paramètres!$A$1:$I$89,3,0)*VLOOKUP('Données projet'!$B$16,Paramètres!$A$1:$I$89,5,0)</f>
        <v>64.872338047924501</v>
      </c>
      <c r="FG34" s="14">
        <f t="shared" si="47"/>
        <v>18.394495611354767</v>
      </c>
      <c r="FH34" s="22">
        <f t="shared" si="22"/>
        <v>145.02306862324471</v>
      </c>
      <c r="FI34" s="62">
        <f t="shared" si="23"/>
        <v>438.356401956578</v>
      </c>
      <c r="FJ34" s="62">
        <f ca="1">AVERAGE(OFFSET($FI$3,0,0,'Données projet'!$E$16+1,1))-AVERAGE(OFFSET($H$3,0,0,'Données projet'!$E$16+1,1))</f>
        <v>249.2899297828755</v>
      </c>
      <c r="FK34" s="62">
        <f t="shared" si="48"/>
        <v>162.88011837476813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3.3521212121212121</v>
      </c>
      <c r="FZ34" s="13">
        <f>IF('Données projet'!$A$244&gt;35,FZ33+FY34-GH33,IF(A34&lt;'Données projet'!$A$244,$FW$205^A34,IF(A34='Données projet'!$A$244,'Données projet'!$B$244,FZ33+FY34-GH33)))</f>
        <v>83.169664164005766</v>
      </c>
      <c r="GA34" s="18">
        <f>FZ34*VLOOKUP('Données projet'!$B$17,Paramètres!$A$1:$I$89,3,0)*VLOOKUP('Données projet'!$B$17,Paramètres!$A$1:$I$89,5,0)</f>
        <v>55.790210721215068</v>
      </c>
      <c r="GB34" s="14">
        <f t="shared" si="49"/>
        <v>16.099437974000072</v>
      </c>
      <c r="GC34" s="22">
        <f t="shared" si="25"/>
        <v>125.20780481083303</v>
      </c>
      <c r="GD34" s="62">
        <f t="shared" si="26"/>
        <v>418.54113814416633</v>
      </c>
      <c r="GE34" s="62">
        <f ca="1">AVERAGE(OFFSET($GD$3,0,0,'Données projet'!$E$17+1,1))-AVERAGE(OFFSET($H$3,0,0,'Données projet'!$E$17+1,1))</f>
        <v>218.89895999738746</v>
      </c>
      <c r="GF34" s="62">
        <f t="shared" si="50"/>
        <v>145.64042897395763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3.3521212121212121</v>
      </c>
      <c r="GU34" s="13">
        <f>IF('Données projet'!$A$270&gt;35,GU33+GT34-HC33,IF(A34&lt;'Données projet'!$A$270,$GR$205^A34,IF(A34='Données projet'!$A$270,'Données projet'!$B$270,GU33+GT34-HC33)))</f>
        <v>83.169664164005766</v>
      </c>
      <c r="GV34" s="18">
        <f>GU34*VLOOKUP('Données projet'!$B$18,Paramètres!$A$1:$I$89,3,0)*VLOOKUP('Données projet'!$B$18,Paramètres!$A$1:$I$89,5,0)</f>
        <v>89.523826506135805</v>
      </c>
      <c r="GW34" s="14">
        <f t="shared" si="51"/>
        <v>24.450347980947896</v>
      </c>
      <c r="GX34" s="22">
        <f t="shared" si="28"/>
        <v>198.50502056500409</v>
      </c>
      <c r="GY34" s="62">
        <f t="shared" si="29"/>
        <v>491.8383538983374</v>
      </c>
      <c r="GZ34" s="62">
        <f ca="1">AVERAGE(OFFSET($GY$3,0,0,'Données projet'!$E$18+1,1))-AVERAGE(OFFSET($H$3,0,0,'Données projet'!$E$18+1,1))</f>
        <v>331.3579800635751</v>
      </c>
      <c r="HA34" s="62">
        <f t="shared" si="52"/>
        <v>209.40702003535273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6.166060606060606</v>
      </c>
      <c r="N35" s="14">
        <f>IF('Données projet'!$A$36&gt;35,N34+M35-V34,IF(A35&lt;'Données projet'!$A$36,$K$205^A35,IF(A35='Données projet'!$A$36,'Données projet'!$B$36,N34+M35-V34)))</f>
        <v>173.20743288691307</v>
      </c>
      <c r="O35" s="14">
        <f>N35*VLOOKUP('Données projet'!$B$9,Paramètres!$A$1:$I$89,3,0)*VLOOKUP('Données projet'!$B$9,Paramètres!$A$1:$I$89,5,0)</f>
        <v>156.71808527607894</v>
      </c>
      <c r="P35" s="14">
        <f t="shared" si="33"/>
        <v>40.101379858270306</v>
      </c>
      <c r="Q35" s="22">
        <f t="shared" ref="Q35:Q66" si="53">(O35+P35)*0.475*44/12</f>
        <v>342.79390177565824</v>
      </c>
      <c r="R35" s="62">
        <f t="shared" si="0"/>
        <v>636.1272351089915</v>
      </c>
      <c r="S35" s="62">
        <f ca="1">AVERAGE(OFFSET($R$3,0,0,'Données projet'!$E$9+1,1))-AVERAGE(OFFSET($H$3,0,0,'Données projet'!$E$9+1,1))</f>
        <v>2472.5049373954762</v>
      </c>
      <c r="T35" s="62">
        <f t="shared" si="34"/>
        <v>286.98388307318311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6.166060606060606</v>
      </c>
      <c r="AI35" s="14">
        <f>IF('Données projet'!$A$62&gt;35,AI34+AH35-AQ34,IF(A35&lt;'Données projet'!$A$62,$AF$205^A35,IF(A35='Données projet'!$A$62,'Données projet'!$B$62,AI34+AH35-AQ34)))</f>
        <v>173.20743288691307</v>
      </c>
      <c r="AJ35" s="14">
        <f>AI35*VLOOKUP('Données projet'!$B$10,Paramètres!$A$1:$I$89,3,0)*VLOOKUP('Données projet'!$B$10,Paramètres!$A$1:$I$89,5,0)</f>
        <v>175.63233694732986</v>
      </c>
      <c r="AK35" s="14">
        <f t="shared" si="35"/>
        <v>44.349076773732897</v>
      </c>
      <c r="AL35" s="22">
        <f t="shared" si="4"/>
        <v>383.13429556418424</v>
      </c>
      <c r="AM35" s="62">
        <f t="shared" si="5"/>
        <v>676.46762889751756</v>
      </c>
      <c r="AN35" s="62">
        <f ca="1">AVERAGE(OFFSET($AM$3,0,0,'Données projet'!$E$10+1,1))-AVERAGE(OFFSET($H$3,0,0,'Données projet'!$E$10+1,1))</f>
        <v>2761.1400657295467</v>
      </c>
      <c r="AO35" s="62">
        <f t="shared" si="36"/>
        <v>316.41877504316409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6.166060606060606</v>
      </c>
      <c r="BD35" s="13">
        <f>IF('Données projet'!$A$88&gt;35,BD34+BC35-BL34,IF(A35&lt;'Données projet'!$A$88,$BA$205^A35,IF(A35='Données projet'!$A$88,'Données projet'!$B$88,BD34+BC35-BL34)))</f>
        <v>173.20743288691307</v>
      </c>
      <c r="BE35" s="14">
        <f>BD35*VLOOKUP('Données projet'!$B$11,Paramètres!$A$1:$I$89,3,0)*VLOOKUP('Données projet'!$B$11,Paramètres!$A$1:$I$89,5,0)</f>
        <v>181.03640885340155</v>
      </c>
      <c r="BF35" s="14">
        <f t="shared" si="37"/>
        <v>45.552690937545108</v>
      </c>
      <c r="BG35" s="22">
        <f t="shared" si="7"/>
        <v>394.64268213589872</v>
      </c>
      <c r="BH35" s="62">
        <f t="shared" si="8"/>
        <v>687.97601546923204</v>
      </c>
      <c r="BI35" s="62">
        <f ca="1">AVERAGE(OFFSET($BH$3,0,0,'Données projet'!$E$11+1,1))-AVERAGE(OFFSET($H$3,0,0,'Données projet'!$E$11+1,1))</f>
        <v>2843.5086223152098</v>
      </c>
      <c r="BJ35" s="62">
        <f t="shared" si="38"/>
        <v>324.81562437645522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6.166060606060606</v>
      </c>
      <c r="BY35" s="13">
        <f>IF('Données projet'!$A$114&gt;35,BY34+BX35-CG34,IF(A35&lt;'Données projet'!$A$114,$BV$205^A35,IF(A35='Données projet'!$A$114,'Données projet'!$B$114,BY34+BX35-CG34)))</f>
        <v>173.20743288691307</v>
      </c>
      <c r="BZ35" s="14">
        <f>BY35*VLOOKUP('Données projet'!$B$12,Paramètres!$A$1:$I$89,3,0)*VLOOKUP('Données projet'!$B$12,Paramètres!$A$1:$I$89,5,0)</f>
        <v>172.93030099429402</v>
      </c>
      <c r="CA35" s="14">
        <f t="shared" si="39"/>
        <v>43.745659326578945</v>
      </c>
      <c r="CB35" s="22">
        <f t="shared" si="10"/>
        <v>377.37729755885374</v>
      </c>
      <c r="CC35" s="62">
        <f t="shared" si="11"/>
        <v>670.71063089218705</v>
      </c>
      <c r="CD35" s="62">
        <f ca="1">AVERAGE(OFFSET($CC$3,0,0,'Données projet'!$E$12+1,1))-AVERAGE(OFFSET($H$3,0,0,'Données projet'!$E$12+1,1))</f>
        <v>2719.939926994799</v>
      </c>
      <c r="CE35" s="62">
        <f t="shared" si="40"/>
        <v>312.21824046329749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8.1527272727272742</v>
      </c>
      <c r="CT35" s="13">
        <f>IF('Données projet'!$A$140&gt;35,CT34+CS35-DB34,IF(A35&lt;'Données projet'!$A$140,$CQ$205^A35,IF(A35='Données projet'!$A$140,'Données projet'!$B$140,CT34+CS35-DB34)))</f>
        <v>227.08374116584295</v>
      </c>
      <c r="CU35" s="18">
        <f>CT35*VLOOKUP('Données projet'!$B$13,Paramètres!$A$1:$I$89,3,0)*VLOOKUP('Données projet'!$B$13,Paramètres!$A$1:$I$89,5,0)</f>
        <v>198.38035628248042</v>
      </c>
      <c r="CV35" s="14">
        <f t="shared" si="41"/>
        <v>49.388050785839752</v>
      </c>
      <c r="CW35" s="22">
        <f t="shared" si="13"/>
        <v>431.52997564399101</v>
      </c>
      <c r="CX35" s="62">
        <f t="shared" si="14"/>
        <v>724.86330897732432</v>
      </c>
      <c r="CY35" s="62">
        <f ca="1">AVERAGE(OFFSET($CX$3,0,0,'Données projet'!$E$13+1,1))-AVERAGE(OFFSET($H$3,0,0,'Données projet'!$E$13+1,1))</f>
        <v>1036.0130072090849</v>
      </c>
      <c r="CZ35" s="62">
        <f t="shared" si="42"/>
        <v>346.56593355696174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33.725000000000001</v>
      </c>
      <c r="DO35" s="13">
        <f>IF('Données projet'!$A$166&gt;35,DO34+DN35-DW34,IF(A35&lt;'Données projet'!$A$166,$DL$205^A35,IF(A35='Données projet'!$A$166,'Données projet'!$B$166,DO34+DN35-DW34)))</f>
        <v>501.27500000000015</v>
      </c>
      <c r="DP35" s="18">
        <f>DO35*VLOOKUP('Données projet'!$B$14,Paramètres!$A$1:$I$89,3,0)*VLOOKUP('Données projet'!$B$14,Paramètres!$A$1:$I$89,5,0)</f>
        <v>280.21272500000009</v>
      </c>
      <c r="DQ35" s="14">
        <f t="shared" si="43"/>
        <v>67.01196180154507</v>
      </c>
      <c r="DR35" s="22">
        <f t="shared" si="16"/>
        <v>604.74966284602442</v>
      </c>
      <c r="DS35" s="62">
        <f t="shared" si="17"/>
        <v>898.08299617935768</v>
      </c>
      <c r="DT35" s="62">
        <f ca="1">AVERAGE(OFFSET($DS$3,0,0,'Données projet'!$E$14+1,1))-AVERAGE(OFFSET($H$3,0,0,'Données projet'!$E$14+1,1))</f>
        <v>446.48069057792151</v>
      </c>
      <c r="DU35" s="62">
        <f t="shared" si="44"/>
        <v>561.75656782935948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6.263353753415136</v>
      </c>
      <c r="EC35" s="23">
        <f>EXP(-LN(2)/2)*EC34+(1-EXP(-LN(2)/2))/(LN(2)/2)*DW35*DZ35*VLOOKUP('Données projet'!$B$14,Paramètres!$A$1:$I$89,3,0)*0.475*44/12</f>
        <v>1.5708671785935115</v>
      </c>
      <c r="ED35" s="24">
        <f t="shared" si="18"/>
        <v>7.8342209320086473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3.3521212121212121</v>
      </c>
      <c r="EJ35" s="13">
        <f>IF('Données projet'!$A$192&gt;35,EJ34+EI35-ER34,IF(A35&lt;'Données projet'!$A$192,$EG$205^A35,IF(A35='Données projet'!$A$192,'Données projet'!$B$192,EJ34+EI35-ER34)))</f>
        <v>95.9178202933237</v>
      </c>
      <c r="EK35" s="18">
        <f>EJ35*VLOOKUP('Données projet'!$B$15,Paramètres!$A$1:$I$89,3,0)*VLOOKUP('Données projet'!$B$15,Paramètres!$A$1:$I$89,5,0)</f>
        <v>92.771715787702675</v>
      </c>
      <c r="EL35" s="14">
        <f t="shared" si="45"/>
        <v>25.232511459336507</v>
      </c>
      <c r="EM35" s="22">
        <f t="shared" si="19"/>
        <v>205.52402912192656</v>
      </c>
      <c r="EN35" s="62">
        <f t="shared" si="20"/>
        <v>498.85736245525987</v>
      </c>
      <c r="EO35" s="62">
        <f ca="1">AVERAGE(OFFSET($EN$3,0,0,'Données projet'!$E$15+1,1))-AVERAGE(OFFSET($H$3,0,0,'Données projet'!$E$15+1,1))</f>
        <v>301.18531163828169</v>
      </c>
      <c r="EP35" s="62">
        <f t="shared" si="46"/>
        <v>192.30530273268101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3.3521212121212121</v>
      </c>
      <c r="FE35" s="13">
        <f>IF('Données projet'!$A$218&gt;35,FE34+FD35-FM34,IF(A35&lt;'Données projet'!$A$218,$FB$205^A35,IF(A35='Données projet'!$A$218,'Données projet'!$B$218,FE34+FD35-FM34)))</f>
        <v>95.9178202933237</v>
      </c>
      <c r="FF35" s="18">
        <f>FE35*VLOOKUP('Données projet'!$B$16,Paramètres!$A$1:$I$89,3,0)*VLOOKUP('Données projet'!$B$16,Paramètres!$A$1:$I$89,5,0)</f>
        <v>74.815899828792482</v>
      </c>
      <c r="FG35" s="14">
        <f t="shared" si="47"/>
        <v>20.864744847806517</v>
      </c>
      <c r="FH35" s="22">
        <f t="shared" si="22"/>
        <v>166.64378947840993</v>
      </c>
      <c r="FI35" s="62">
        <f t="shared" si="23"/>
        <v>459.97712281174324</v>
      </c>
      <c r="FJ35" s="62">
        <f ca="1">AVERAGE(OFFSET($FI$3,0,0,'Données projet'!$E$16+1,1))-AVERAGE(OFFSET($H$3,0,0,'Données projet'!$E$16+1,1))</f>
        <v>249.2899297828755</v>
      </c>
      <c r="FK35" s="62">
        <f t="shared" si="48"/>
        <v>162.88011837476813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3.3521212121212121</v>
      </c>
      <c r="FZ35" s="13">
        <f>IF('Données projet'!$A$244&gt;35,FZ34+FY35-GH34,IF(A35&lt;'Données projet'!$A$244,$FW$205^A35,IF(A35='Données projet'!$A$244,'Données projet'!$B$244,FZ34+FY35-GH34)))</f>
        <v>95.9178202933237</v>
      </c>
      <c r="GA35" s="18">
        <f>FZ35*VLOOKUP('Données projet'!$B$17,Paramètres!$A$1:$I$89,3,0)*VLOOKUP('Données projet'!$B$17,Paramètres!$A$1:$I$89,5,0)</f>
        <v>64.341673852761545</v>
      </c>
      <c r="GB35" s="14">
        <f t="shared" si="49"/>
        <v>18.26147737985508</v>
      </c>
      <c r="GC35" s="22">
        <f t="shared" si="25"/>
        <v>143.86715506347394</v>
      </c>
      <c r="GD35" s="62">
        <f t="shared" si="26"/>
        <v>437.20048839680726</v>
      </c>
      <c r="GE35" s="62">
        <f ca="1">AVERAGE(OFFSET($GD$3,0,0,'Données projet'!$E$17+1,1))-AVERAGE(OFFSET($H$3,0,0,'Données projet'!$E$17+1,1))</f>
        <v>218.89895999738746</v>
      </c>
      <c r="GF35" s="62">
        <f t="shared" si="50"/>
        <v>145.64042897395763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3.3521212121212121</v>
      </c>
      <c r="GU35" s="13">
        <f>IF('Données projet'!$A$270&gt;35,GU34+GT35-HC34,IF(A35&lt;'Données projet'!$A$270,$GR$205^A35,IF(A35='Données projet'!$A$270,'Données projet'!$B$270,GU34+GT35-HC34)))</f>
        <v>95.9178202933237</v>
      </c>
      <c r="GV35" s="18">
        <f>GU35*VLOOKUP('Données projet'!$B$18,Paramètres!$A$1:$I$89,3,0)*VLOOKUP('Données projet'!$B$18,Paramètres!$A$1:$I$89,5,0)</f>
        <v>103.24594176373363</v>
      </c>
      <c r="GW35" s="14">
        <f t="shared" si="51"/>
        <v>27.733854890136151</v>
      </c>
      <c r="GX35" s="22">
        <f t="shared" si="28"/>
        <v>228.12314583882321</v>
      </c>
      <c r="GY35" s="62">
        <f t="shared" si="29"/>
        <v>521.45647917215649</v>
      </c>
      <c r="GZ35" s="62">
        <f ca="1">AVERAGE(OFFSET($GY$3,0,0,'Données projet'!$E$18+1,1))-AVERAGE(OFFSET($H$3,0,0,'Données projet'!$E$18+1,1))</f>
        <v>331.3579800635751</v>
      </c>
      <c r="HA35" s="62">
        <f t="shared" si="52"/>
        <v>209.40702003535273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>
        <f>VLOOKUP(A36,'Données projet'!$A$35:$I$55,2,0)</f>
        <v>203.48</v>
      </c>
      <c r="L36" s="13">
        <f>VLOOKUP(A36,'Données projet'!$A$35:$I$55,9,0)</f>
        <v>6.166060606060606</v>
      </c>
      <c r="M36" s="13">
        <f t="array" ref="M36">INDEX(L:L,MIN(IF(ISNUMBER(L36:L232),ROW(L36:L232),"")))</f>
        <v>6.166060606060606</v>
      </c>
      <c r="N36" s="14">
        <f>IF('Données projet'!$A$36&gt;35,N35+M36-V35,IF(A36&lt;'Données projet'!$A$36,$K$205^A36,IF(A36='Données projet'!$A$36,'Données projet'!$B$36,N35+M36-V35)))</f>
        <v>203.48</v>
      </c>
      <c r="O36" s="14">
        <f>N36*VLOOKUP('Données projet'!$B$9,Paramètres!$A$1:$I$89,3,0)*VLOOKUP('Données projet'!$B$9,Paramètres!$A$1:$I$89,5,0)</f>
        <v>184.10870399999999</v>
      </c>
      <c r="P36" s="14">
        <f t="shared" si="33"/>
        <v>46.235092921744716</v>
      </c>
      <c r="Q36" s="22">
        <f t="shared" si="53"/>
        <v>401.18211297203874</v>
      </c>
      <c r="R36" s="62">
        <f t="shared" si="0"/>
        <v>694.51544630537205</v>
      </c>
      <c r="S36" s="62">
        <f ca="1">AVERAGE(OFFSET($R$3,0,0,'Données projet'!$E$9+1,1))-AVERAGE(OFFSET($H$3,0,0,'Données projet'!$E$9+1,1))</f>
        <v>2472.5049373954762</v>
      </c>
      <c r="T36" s="62">
        <f t="shared" si="34"/>
        <v>286.98388307318311</v>
      </c>
      <c r="U36" s="16">
        <f>IF(ISNA(VLOOKUP(A36,'Données projet'!$A$35:$I$55,3,0)),0,VLOOKUP(A36,'Données projet'!$A$35:$I$55,3,0))</f>
        <v>1</v>
      </c>
      <c r="V36" s="16">
        <f>IF(ISNA(VLOOKUP(A36,'Données projet'!$A$35:$I$55,4,0)),0,VLOOKUP(A36,'Données projet'!$A$35:$I$55,4,0))</f>
        <v>30.52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>
        <f>VLOOKUP(A36,'Données projet'!$A$61:$I$81,2,0)</f>
        <v>203.48</v>
      </c>
      <c r="AG36" s="13">
        <f>VLOOKUP(A36,'Données projet'!$A$61:$I$81,9,0)</f>
        <v>6.166060606060606</v>
      </c>
      <c r="AH36" s="13">
        <f t="array" ref="AH36">INDEX(AG:AG,MIN(IF(ISNUMBER(AG36:AG232),ROW(AG36:AG232),"")))</f>
        <v>6.166060606060606</v>
      </c>
      <c r="AI36" s="14">
        <f>IF('Données projet'!$A$62&gt;35,AI35+AH36-AQ35,IF(A36&lt;'Données projet'!$A$62,$AF$205^A36,IF(A36='Données projet'!$A$62,'Données projet'!$B$62,AI35+AH36-AQ35)))</f>
        <v>203.48</v>
      </c>
      <c r="AJ36" s="14">
        <f>AI36*VLOOKUP('Données projet'!$B$10,Paramètres!$A$1:$I$89,3,0)*VLOOKUP('Données projet'!$B$10,Paramètres!$A$1:$I$89,5,0)</f>
        <v>206.32872</v>
      </c>
      <c r="AK36" s="14">
        <f t="shared" si="35"/>
        <v>51.132497008185808</v>
      </c>
      <c r="AL36" s="22">
        <f t="shared" si="4"/>
        <v>448.41161962259031</v>
      </c>
      <c r="AM36" s="62">
        <f t="shared" si="5"/>
        <v>741.74495295592362</v>
      </c>
      <c r="AN36" s="62">
        <f ca="1">AVERAGE(OFFSET($AM$3,0,0,'Données projet'!$E$10+1,1))-AVERAGE(OFFSET($H$3,0,0,'Données projet'!$E$10+1,1))</f>
        <v>2761.1400657295467</v>
      </c>
      <c r="AO36" s="62">
        <f t="shared" si="36"/>
        <v>316.41877504316409</v>
      </c>
      <c r="AP36" s="16">
        <f>IF(ISNA(VLOOKUP(A36,'Données projet'!$A$61:$I$81,3,0)),0,VLOOKUP(A36,'Données projet'!$A$61:$I$81,3,0))</f>
        <v>1</v>
      </c>
      <c r="AQ36" s="16">
        <f>IF(ISNA(VLOOKUP(A36,'Données projet'!$A$61:$I$81,4,0)),0,VLOOKUP(A36,'Données projet'!$A$61:$I$81,4,0))</f>
        <v>30.52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>
        <f>VLOOKUP(A36,'Données projet'!$A$87:$I$107,2,0)</f>
        <v>203.48</v>
      </c>
      <c r="BB36" s="13">
        <f>VLOOKUP(A36,'Données projet'!$A$87:$I$107,9,0)</f>
        <v>6.166060606060606</v>
      </c>
      <c r="BC36" s="13">
        <f t="array" ref="BC36">INDEX(BB:BB,MIN(IF(ISNUMBER(BB36:BB232),ROW(BB36:BB232),"")))</f>
        <v>6.166060606060606</v>
      </c>
      <c r="BD36" s="13">
        <f>IF('Données projet'!$A$88&gt;35,BD35+BC36-BL35,IF(A36&lt;'Données projet'!$A$88,$BA$205^A36,IF(A36='Données projet'!$A$88,'Données projet'!$B$88,BD35+BC36-BL35)))</f>
        <v>203.48</v>
      </c>
      <c r="BE36" s="14">
        <f>BD36*VLOOKUP('Données projet'!$B$11,Paramètres!$A$1:$I$89,3,0)*VLOOKUP('Données projet'!$B$11,Paramètres!$A$1:$I$89,5,0)</f>
        <v>212.67729600000001</v>
      </c>
      <c r="BF36" s="14">
        <f t="shared" si="37"/>
        <v>52.520210171734526</v>
      </c>
      <c r="BG36" s="22">
        <f t="shared" si="7"/>
        <v>461.8856565824376</v>
      </c>
      <c r="BH36" s="62">
        <f t="shared" si="8"/>
        <v>755.21898991577086</v>
      </c>
      <c r="BI36" s="62">
        <f ca="1">AVERAGE(OFFSET($BH$3,0,0,'Données projet'!$E$11+1,1))-AVERAGE(OFFSET($H$3,0,0,'Données projet'!$E$11+1,1))</f>
        <v>2843.5086223152098</v>
      </c>
      <c r="BJ36" s="62">
        <f t="shared" si="38"/>
        <v>324.81562437645522</v>
      </c>
      <c r="BK36" s="16">
        <f>IF(ISNA(VLOOKUP(A36,'Données projet'!$A$87:$I$107,3,0)),0,VLOOKUP(A36,'Données projet'!$A$87:$I$107,3,0))</f>
        <v>1</v>
      </c>
      <c r="BL36" s="16">
        <f>IF(ISNA(VLOOKUP(A36,'Données projet'!$A$87:$I$107,4,0)),0,VLOOKUP(A36,'Données projet'!$A$87:$I$107,4,0))</f>
        <v>30.52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>
        <f>VLOOKUP(A36,'Données projet'!$A$113:$I$133,2,0)</f>
        <v>203.48</v>
      </c>
      <c r="BW36" s="13">
        <f>VLOOKUP(A36,'Données projet'!$A$113:$I$133,9,0)</f>
        <v>6.166060606060606</v>
      </c>
      <c r="BX36" s="13">
        <f t="array" ref="BX36">INDEX(BW:BW,MIN(IF(ISNUMBER(BW36:BW232),ROW(BW36:BW232),"")))</f>
        <v>6.166060606060606</v>
      </c>
      <c r="BY36" s="13">
        <f>IF('Données projet'!$A$114&gt;35,BY35+BX36-CG35,IF(A36&lt;'Données projet'!$A$114,$BV$205^A36,IF(A36='Données projet'!$A$114,'Données projet'!$B$114,BY35+BX36-CG35)))</f>
        <v>203.48</v>
      </c>
      <c r="BZ36" s="14">
        <f>BY36*VLOOKUP('Données projet'!$B$12,Paramètres!$A$1:$I$89,3,0)*VLOOKUP('Données projet'!$B$12,Paramètres!$A$1:$I$89,5,0)</f>
        <v>203.15443199999999</v>
      </c>
      <c r="CA36" s="14">
        <f t="shared" si="39"/>
        <v>50.43678374748589</v>
      </c>
      <c r="CB36" s="22">
        <f t="shared" si="10"/>
        <v>441.67136742687126</v>
      </c>
      <c r="CC36" s="62">
        <f t="shared" si="11"/>
        <v>735.00470076020451</v>
      </c>
      <c r="CD36" s="62">
        <f ca="1">AVERAGE(OFFSET($CC$3,0,0,'Données projet'!$E$12+1,1))-AVERAGE(OFFSET($H$3,0,0,'Données projet'!$E$12+1,1))</f>
        <v>2719.939926994799</v>
      </c>
      <c r="CE36" s="62">
        <f t="shared" si="40"/>
        <v>312.21824046329749</v>
      </c>
      <c r="CF36" s="16">
        <f>IF(ISNA(VLOOKUP(A36,'Données projet'!$A$113:$I$133,3,0)),0,VLOOKUP(A36,'Données projet'!$A$113:$I$133,3,0))</f>
        <v>1</v>
      </c>
      <c r="CG36" s="16">
        <f>IF(ISNA(VLOOKUP(A36,'Données projet'!$A$113:$I$133,4,0)),0,VLOOKUP(A36,'Données projet'!$A$113:$I$133,4,0))</f>
        <v>30.52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>
        <f>VLOOKUP(A36,'Données projet'!$A$139:$I$159,2,0)</f>
        <v>269.04000000000002</v>
      </c>
      <c r="CR36" s="13">
        <f>VLOOKUP(A36,'Données projet'!$A$139:$I$159,9,0)</f>
        <v>8.1527272727272742</v>
      </c>
      <c r="CS36" s="13">
        <f t="array" ref="CS36">INDEX(CR:CR,MIN(IF(ISNUMBER(CR36:CR232),ROW(CR36:CR232),"")))</f>
        <v>8.1527272727272742</v>
      </c>
      <c r="CT36" s="13">
        <f>IF('Données projet'!$A$140&gt;35,CT35+CS36-DB35,IF(A36&lt;'Données projet'!$A$140,$CQ$205^A36,IF(A36='Données projet'!$A$140,'Données projet'!$B$140,CT35+CS36-DB35)))</f>
        <v>269.04000000000002</v>
      </c>
      <c r="CU36" s="18">
        <f>CT36*VLOOKUP('Données projet'!$B$13,Paramètres!$A$1:$I$89,3,0)*VLOOKUP('Données projet'!$B$13,Paramètres!$A$1:$I$89,5,0)</f>
        <v>235.03334400000003</v>
      </c>
      <c r="CV36" s="14">
        <f t="shared" si="41"/>
        <v>57.369633190602755</v>
      </c>
      <c r="CW36" s="22">
        <f t="shared" si="13"/>
        <v>509.26851860696644</v>
      </c>
      <c r="CX36" s="62">
        <f t="shared" si="14"/>
        <v>802.60185194029975</v>
      </c>
      <c r="CY36" s="62">
        <f ca="1">AVERAGE(OFFSET($CX$3,0,0,'Données projet'!$E$13+1,1))-AVERAGE(OFFSET($H$3,0,0,'Données projet'!$E$13+1,1))</f>
        <v>1036.0130072090849</v>
      </c>
      <c r="CZ36" s="62">
        <f t="shared" si="42"/>
        <v>346.56593355696174</v>
      </c>
      <c r="DA36" s="16">
        <f>IF(ISNA(VLOOKUP(A36,'Données projet'!$A$139:$I$159,3,0)),0,VLOOKUP(A36,'Données projet'!$A$139:$I$159,3,0))</f>
        <v>1</v>
      </c>
      <c r="DB36" s="16">
        <f>IF(ISNA(VLOOKUP(A36,'Données projet'!$A$139:$I$159,4,0)),0,VLOOKUP(A36,'Données projet'!$A$139:$I$159,4,0))</f>
        <v>40.36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>
        <f>VLOOKUP(A36,'Données projet'!$A$165:$I$185,2,0)</f>
        <v>535</v>
      </c>
      <c r="DM36" s="13">
        <f>VLOOKUP(A36,'Données projet'!$A$165:$I$185,9,0)</f>
        <v>33.725000000000001</v>
      </c>
      <c r="DN36" s="13">
        <f t="array" ref="DN36">INDEX(DM:DM,MIN(IF(ISNUMBER(DM36:DM232),ROW(DM36:DM232),"")))</f>
        <v>33.725000000000001</v>
      </c>
      <c r="DO36" s="13">
        <f>IF('Données projet'!$A$166&gt;35,DO35+DN36-DW35,IF(A36&lt;'Données projet'!$A$166,$DL$205^A36,IF(A36='Données projet'!$A$166,'Données projet'!$B$166,DO35+DN36-DW35)))</f>
        <v>535.00000000000011</v>
      </c>
      <c r="DP36" s="18">
        <f>DO36*VLOOKUP('Données projet'!$B$14,Paramètres!$A$1:$I$89,3,0)*VLOOKUP('Données projet'!$B$14,Paramètres!$A$1:$I$89,5,0)</f>
        <v>299.06500000000005</v>
      </c>
      <c r="DQ36" s="14">
        <f t="shared" si="43"/>
        <v>70.980415966036134</v>
      </c>
      <c r="DR36" s="22">
        <f t="shared" si="16"/>
        <v>644.4957661408464</v>
      </c>
      <c r="DS36" s="62">
        <f t="shared" si="17"/>
        <v>937.82909947417966</v>
      </c>
      <c r="DT36" s="62">
        <f ca="1">AVERAGE(OFFSET($DS$3,0,0,'Données projet'!$E$14+1,1))-AVERAGE(OFFSET($H$3,0,0,'Données projet'!$E$14+1,1))</f>
        <v>446.48069057792151</v>
      </c>
      <c r="DU36" s="62">
        <f t="shared" si="44"/>
        <v>561.75656782935948</v>
      </c>
      <c r="DV36" s="16">
        <f>IF(ISNA(VLOOKUP(A36,'Données projet'!$A$165:$I$185,3,0)),0,VLOOKUP(A36,'Données projet'!$A$165:$I$185,3,0))</f>
        <v>2</v>
      </c>
      <c r="DW36" s="16">
        <f>IF(ISNA(VLOOKUP(A36,'Données projet'!$A$165:$I$185,4,0)),0,VLOOKUP(A36,'Données projet'!$A$165:$I$185,4,0))</f>
        <v>80.25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0.22000000000000003</v>
      </c>
      <c r="DZ36" s="17">
        <f>IF(ISNA(VLOOKUP(A36,'Données projet'!$A$165:$I$185,7,0)),0%,VLOOKUP(A36,'Données projet'!$A$165:$I$185,7,0))</f>
        <v>0.6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19.132590561504941</v>
      </c>
      <c r="EC36" s="23">
        <f>EXP(-LN(2)/2)*EC35+(1-EXP(-LN(2)/2))/(LN(2)/2)*DW36*DZ36*VLOOKUP('Données projet'!$B$14,Paramètres!$A$1:$I$89,3,0)*0.475*44/12</f>
        <v>31.585765519704573</v>
      </c>
      <c r="ED36" s="24">
        <f t="shared" si="18"/>
        <v>50.718356081209514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>
        <f>VLOOKUP(A36,'Données projet'!$A$191:$I$211,2,0)</f>
        <v>110.62</v>
      </c>
      <c r="EH36" s="13">
        <f>VLOOKUP(A36,'Données projet'!$A$191:$I$211,9,0)</f>
        <v>3.3521212121212121</v>
      </c>
      <c r="EI36" s="13">
        <f t="array" ref="EI36">INDEX(EH:EH,MIN(IF(ISNUMBER(EH36:EH232),ROW(EH36:EH232),"")))</f>
        <v>3.3521212121212121</v>
      </c>
      <c r="EJ36" s="13">
        <f>IF('Données projet'!$A$192&gt;35,EJ35+EI36-ER35,IF(A36&lt;'Données projet'!$A$192,$EG$205^A36,IF(A36='Données projet'!$A$192,'Données projet'!$B$192,EJ35+EI36-ER35)))</f>
        <v>110.62</v>
      </c>
      <c r="EK36" s="18">
        <f>EJ36*VLOOKUP('Données projet'!$B$15,Paramètres!$A$1:$I$89,3,0)*VLOOKUP('Données projet'!$B$15,Paramètres!$A$1:$I$89,5,0)</f>
        <v>106.991664</v>
      </c>
      <c r="EL36" s="14">
        <f t="shared" si="45"/>
        <v>28.6210573310542</v>
      </c>
      <c r="EM36" s="22">
        <f t="shared" si="19"/>
        <v>236.1921563182527</v>
      </c>
      <c r="EN36" s="62">
        <f t="shared" si="20"/>
        <v>529.52548965158599</v>
      </c>
      <c r="EO36" s="62">
        <f ca="1">AVERAGE(OFFSET($EN$3,0,0,'Données projet'!$E$15+1,1))-AVERAGE(OFFSET($H$3,0,0,'Données projet'!$E$15+1,1))</f>
        <v>301.18531163828169</v>
      </c>
      <c r="EP36" s="62">
        <f t="shared" si="46"/>
        <v>192.30530273268101</v>
      </c>
      <c r="EQ36" s="16">
        <f>IF(ISNA(VLOOKUP(A36,'Données projet'!$A$191:$I$211,3,0)),0,VLOOKUP(A36,'Données projet'!$A$191:$I$211,3,0))</f>
        <v>1</v>
      </c>
      <c r="ER36" s="16">
        <f>IF(ISNA(VLOOKUP(A36,'Données projet'!$A$191:$I$211,4,0)),0,VLOOKUP(A36,'Données projet'!$A$191:$I$211,4,0))</f>
        <v>16.59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>
        <f>VLOOKUP(A36,'Données projet'!$A$217:$I$237,2,0)</f>
        <v>110.62</v>
      </c>
      <c r="FC36" s="13">
        <f>VLOOKUP(A36,'Données projet'!$A$217:$I$237,9,0)</f>
        <v>3.3521212121212121</v>
      </c>
      <c r="FD36" s="13">
        <f t="array" ref="FD36">INDEX(FC:FC,MIN(IF(ISNUMBER(FC36:FC232),ROW(FC36:FC232),"")))</f>
        <v>3.3521212121212121</v>
      </c>
      <c r="FE36" s="13">
        <f>IF('Données projet'!$A$218&gt;35,FE35+FD36-FM35,IF(A36&lt;'Données projet'!$A$218,$FB$205^A36,IF(A36='Données projet'!$A$218,'Données projet'!$B$218,FE35+FD36-FM35)))</f>
        <v>110.62</v>
      </c>
      <c r="FF36" s="18">
        <f>FE36*VLOOKUP('Données projet'!$B$16,Paramètres!$A$1:$I$89,3,0)*VLOOKUP('Données projet'!$B$16,Paramètres!$A$1:$I$89,5,0)</f>
        <v>86.283600000000007</v>
      </c>
      <c r="FG36" s="14">
        <f t="shared" si="47"/>
        <v>23.666730893960334</v>
      </c>
      <c r="FH36" s="22">
        <f t="shared" si="22"/>
        <v>191.49682630698092</v>
      </c>
      <c r="FI36" s="62">
        <f t="shared" si="23"/>
        <v>484.83015964031426</v>
      </c>
      <c r="FJ36" s="62">
        <f ca="1">AVERAGE(OFFSET($FI$3,0,0,'Données projet'!$E$16+1,1))-AVERAGE(OFFSET($H$3,0,0,'Données projet'!$E$16+1,1))</f>
        <v>249.2899297828755</v>
      </c>
      <c r="FK36" s="62">
        <f t="shared" si="48"/>
        <v>162.88011837476813</v>
      </c>
      <c r="FL36" s="16">
        <f>IF(ISNA(VLOOKUP(A36,'Données projet'!$A$217:$I$237,3,0)),0,VLOOKUP(A36,'Données projet'!$A$217:$I$237,3,0))</f>
        <v>1</v>
      </c>
      <c r="FM36" s="16">
        <f>IF(ISNA(VLOOKUP(A36,'Données projet'!$A$217:$I$237,4,0)),0,VLOOKUP(A36,'Données projet'!$A$217:$I$237,4,0))</f>
        <v>16.59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>
        <f>VLOOKUP(A36,'Données projet'!$A$243:$I$263,2,0)</f>
        <v>110.62</v>
      </c>
      <c r="FX36" s="13">
        <f>VLOOKUP(A36,'Données projet'!$A$243:$I$263,9,0)</f>
        <v>3.3521212121212121</v>
      </c>
      <c r="FY36" s="13">
        <f t="array" ref="FY36">INDEX(FX:FX,MIN(IF(ISNUMBER(FX36:FX232),ROW(FX36:FX232),"")))</f>
        <v>3.3521212121212121</v>
      </c>
      <c r="FZ36" s="13">
        <f>IF('Données projet'!$A$244&gt;35,FZ35+FY36-GH35,IF(A36&lt;'Données projet'!$A$244,$FW$205^A36,IF(A36='Données projet'!$A$244,'Données projet'!$B$244,FZ35+FY36-GH35)))</f>
        <v>110.62</v>
      </c>
      <c r="GA36" s="18">
        <f>FZ36*VLOOKUP('Données projet'!$B$17,Paramètres!$A$1:$I$89,3,0)*VLOOKUP('Données projet'!$B$17,Paramètres!$A$1:$I$89,5,0)</f>
        <v>74.203896</v>
      </c>
      <c r="GB36" s="14">
        <f t="shared" si="49"/>
        <v>20.713863218922114</v>
      </c>
      <c r="GC36" s="22">
        <f t="shared" si="25"/>
        <v>165.31509730628935</v>
      </c>
      <c r="GD36" s="62">
        <f t="shared" si="26"/>
        <v>458.64843063962269</v>
      </c>
      <c r="GE36" s="62">
        <f ca="1">AVERAGE(OFFSET($GD$3,0,0,'Données projet'!$E$17+1,1))-AVERAGE(OFFSET($H$3,0,0,'Données projet'!$E$17+1,1))</f>
        <v>218.89895999738746</v>
      </c>
      <c r="GF36" s="62">
        <f t="shared" si="50"/>
        <v>145.64042897395763</v>
      </c>
      <c r="GG36" s="16">
        <f>IF(ISNA(VLOOKUP(A36,'Données projet'!$A$243:$I$263,3,0)),0,VLOOKUP(A36,'Données projet'!$A$243:$I$263,3,0))</f>
        <v>1</v>
      </c>
      <c r="GH36" s="16">
        <f>IF(ISNA(VLOOKUP(A36,'Données projet'!$A$243:$I$263,4,0)),0,VLOOKUP(A36,'Données projet'!$A$243:$I$263,4,0))</f>
        <v>16.59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>
        <f>VLOOKUP(A36,'Données projet'!$A$269:$I$289,2,0)</f>
        <v>110.62</v>
      </c>
      <c r="GS36" s="13">
        <f>VLOOKUP(A36,'Données projet'!$A$269:$I$289,9,0)</f>
        <v>3.3521212121212121</v>
      </c>
      <c r="GT36" s="13">
        <f t="array" ref="GT36">INDEX(GS:GS,MIN(IF(ISNUMBER(GS36:GS232),ROW(GS36:GS232),"")))</f>
        <v>3.3521212121212121</v>
      </c>
      <c r="GU36" s="13">
        <f>IF('Données projet'!$A$270&gt;35,GU35+GT36-HC35,IF(A36&lt;'Données projet'!$A$270,$GR$205^A36,IF(A36='Données projet'!$A$270,'Données projet'!$B$270,GU35+GT36-HC35)))</f>
        <v>110.62</v>
      </c>
      <c r="GV36" s="18">
        <f>GU36*VLOOKUP('Données projet'!$B$18,Paramètres!$A$1:$I$89,3,0)*VLOOKUP('Données projet'!$B$18,Paramètres!$A$1:$I$89,5,0)</f>
        <v>119.07136799999999</v>
      </c>
      <c r="GW36" s="14">
        <f t="shared" si="51"/>
        <v>31.458313299527401</v>
      </c>
      <c r="GX36" s="22">
        <f t="shared" si="28"/>
        <v>262.17252826334351</v>
      </c>
      <c r="GY36" s="62">
        <f t="shared" si="29"/>
        <v>555.50586159667682</v>
      </c>
      <c r="GZ36" s="62">
        <f ca="1">AVERAGE(OFFSET($GY$3,0,0,'Données projet'!$E$18+1,1))-AVERAGE(OFFSET($H$3,0,0,'Données projet'!$E$18+1,1))</f>
        <v>331.3579800635751</v>
      </c>
      <c r="HA36" s="62">
        <f t="shared" si="52"/>
        <v>209.40702003535273</v>
      </c>
      <c r="HB36" s="16">
        <f>IF(ISNA(VLOOKUP(A36,'Données projet'!$A$269:$I$289,3,0)),0,VLOOKUP(A36,'Données projet'!$A$269:$I$289,3,0))</f>
        <v>1</v>
      </c>
      <c r="HC36" s="16">
        <f>IF(ISNA(VLOOKUP(A36,'Données projet'!$A$269:$I$289,4,0)),0,VLOOKUP(A36,'Données projet'!$A$269:$I$289,4,0))</f>
        <v>16.59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21.518750000000004</v>
      </c>
      <c r="N37" s="14">
        <f>IF('Données projet'!$A$36&gt;35,N36+M37-V36,IF(A37&lt;'Données projet'!$A$36,$K$205^A37,IF(A37='Données projet'!$A$36,'Données projet'!$B$36,N36+M37-V36)))</f>
        <v>194.47874999999999</v>
      </c>
      <c r="O37" s="14">
        <f>N37*VLOOKUP('Données projet'!$B$9,Paramètres!$A$1:$I$89,3,0)*VLOOKUP('Données projet'!$B$9,Paramètres!$A$1:$I$89,5,0)</f>
        <v>175.96437299999999</v>
      </c>
      <c r="P37" s="14">
        <f t="shared" si="33"/>
        <v>44.423152053288071</v>
      </c>
      <c r="Q37" s="22">
        <f t="shared" si="53"/>
        <v>383.84160613447671</v>
      </c>
      <c r="R37" s="62">
        <f t="shared" si="0"/>
        <v>677.17493946780996</v>
      </c>
      <c r="S37" s="62">
        <f ca="1">AVERAGE(OFFSET($R$3,0,0,'Données projet'!$E$9+1,1))-AVERAGE(OFFSET($H$3,0,0,'Données projet'!$E$9+1,1))</f>
        <v>2472.5049373954762</v>
      </c>
      <c r="T37" s="62">
        <f t="shared" si="34"/>
        <v>286.98388307318311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21.518750000000004</v>
      </c>
      <c r="AI37" s="14">
        <f>IF('Données projet'!$A$62&gt;35,AI36+AH37-AQ36,IF(A37&lt;'Données projet'!$A$62,$AF$205^A37,IF(A37='Données projet'!$A$62,'Données projet'!$B$62,AI36+AH37-AQ36)))</f>
        <v>194.47874999999999</v>
      </c>
      <c r="AJ37" s="14">
        <f>AI37*VLOOKUP('Données projet'!$B$10,Paramètres!$A$1:$I$89,3,0)*VLOOKUP('Données projet'!$B$10,Paramètres!$A$1:$I$89,5,0)</f>
        <v>197.20145249999999</v>
      </c>
      <c r="AK37" s="14">
        <f t="shared" si="35"/>
        <v>49.128628189490399</v>
      </c>
      <c r="AL37" s="22">
        <f t="shared" si="4"/>
        <v>429.02489053419578</v>
      </c>
      <c r="AM37" s="62">
        <f t="shared" si="5"/>
        <v>722.35822386752909</v>
      </c>
      <c r="AN37" s="62">
        <f ca="1">AVERAGE(OFFSET($AM$3,0,0,'Données projet'!$E$10+1,1))-AVERAGE(OFFSET($H$3,0,0,'Données projet'!$E$10+1,1))</f>
        <v>2761.1400657295467</v>
      </c>
      <c r="AO37" s="62">
        <f t="shared" si="36"/>
        <v>316.41877504316409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21.518750000000004</v>
      </c>
      <c r="BD37" s="13">
        <f>IF('Données projet'!$A$88&gt;35,BD36+BC37-BL36,IF(A37&lt;'Données projet'!$A$88,$BA$205^A37,IF(A37='Données projet'!$A$88,'Données projet'!$B$88,BD36+BC37-BL36)))</f>
        <v>194.47874999999999</v>
      </c>
      <c r="BE37" s="14">
        <f>BD37*VLOOKUP('Données projet'!$B$11,Paramètres!$A$1:$I$89,3,0)*VLOOKUP('Données projet'!$B$11,Paramètres!$A$1:$I$89,5,0)</f>
        <v>203.26918949999998</v>
      </c>
      <c r="BF37" s="14">
        <f t="shared" si="37"/>
        <v>50.461957247031393</v>
      </c>
      <c r="BG37" s="22">
        <f t="shared" si="7"/>
        <v>441.91508058441292</v>
      </c>
      <c r="BH37" s="62">
        <f t="shared" si="8"/>
        <v>735.24841391774623</v>
      </c>
      <c r="BI37" s="62">
        <f ca="1">AVERAGE(OFFSET($BH$3,0,0,'Données projet'!$E$11+1,1))-AVERAGE(OFFSET($H$3,0,0,'Données projet'!$E$11+1,1))</f>
        <v>2843.5086223152098</v>
      </c>
      <c r="BJ37" s="62">
        <f t="shared" si="38"/>
        <v>324.81562437645522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21.518750000000004</v>
      </c>
      <c r="BY37" s="13">
        <f>IF('Données projet'!$A$114&gt;35,BY36+BX37-CG36,IF(A37&lt;'Données projet'!$A$114,$BV$205^A37,IF(A37='Données projet'!$A$114,'Données projet'!$B$114,BY36+BX37-CG36)))</f>
        <v>194.47874999999999</v>
      </c>
      <c r="BZ37" s="14">
        <f>BY37*VLOOKUP('Données projet'!$B$12,Paramètres!$A$1:$I$89,3,0)*VLOOKUP('Données projet'!$B$12,Paramètres!$A$1:$I$89,5,0)</f>
        <v>194.16758400000001</v>
      </c>
      <c r="CA37" s="14">
        <f t="shared" si="39"/>
        <v>48.460179744542472</v>
      </c>
      <c r="CB37" s="22">
        <f t="shared" si="10"/>
        <v>422.57668852174476</v>
      </c>
      <c r="CC37" s="62">
        <f t="shared" si="11"/>
        <v>715.91002185507807</v>
      </c>
      <c r="CD37" s="62">
        <f ca="1">AVERAGE(OFFSET($CC$3,0,0,'Données projet'!$E$12+1,1))-AVERAGE(OFFSET($H$3,0,0,'Données projet'!$E$12+1,1))</f>
        <v>2719.939926994799</v>
      </c>
      <c r="CE37" s="62">
        <f t="shared" si="40"/>
        <v>312.21824046329749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24.994999999999997</v>
      </c>
      <c r="CT37" s="13">
        <f>IF('Données projet'!$A$140&gt;35,CT36+CS37-DB36,IF(A37&lt;'Données projet'!$A$140,$CQ$205^A37,IF(A37='Données projet'!$A$140,'Données projet'!$B$140,CT36+CS37-DB36)))</f>
        <v>253.67500000000001</v>
      </c>
      <c r="CU37" s="18">
        <f>CT37*VLOOKUP('Données projet'!$B$13,Paramètres!$A$1:$I$89,3,0)*VLOOKUP('Données projet'!$B$13,Paramètres!$A$1:$I$89,5,0)</f>
        <v>221.61048000000005</v>
      </c>
      <c r="CV37" s="14">
        <f t="shared" si="41"/>
        <v>54.464766867675749</v>
      </c>
      <c r="CW37" s="22">
        <f t="shared" si="13"/>
        <v>480.83105496120197</v>
      </c>
      <c r="CX37" s="62">
        <f t="shared" si="14"/>
        <v>774.16438829453523</v>
      </c>
      <c r="CY37" s="62">
        <f ca="1">AVERAGE(OFFSET($CX$3,0,0,'Données projet'!$E$13+1,1))-AVERAGE(OFFSET($H$3,0,0,'Données projet'!$E$13+1,1))</f>
        <v>1036.0130072090849</v>
      </c>
      <c r="CZ37" s="62">
        <f t="shared" si="42"/>
        <v>346.56593355696174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22.125</v>
      </c>
      <c r="DO37" s="13">
        <f>IF('Données projet'!$A$166&gt;35,DO36+DN37-DW36,IF(A37&lt;'Données projet'!$A$166,$DL$205^A37,IF(A37='Données projet'!$A$166,'Données projet'!$B$166,DO36+DN37-DW36)))</f>
        <v>476.87500000000011</v>
      </c>
      <c r="DP37" s="18">
        <f>DO37*VLOOKUP('Données projet'!$B$14,Paramètres!$A$1:$I$89,3,0)*VLOOKUP('Données projet'!$B$14,Paramètres!$A$1:$I$89,5,0)</f>
        <v>266.57312500000006</v>
      </c>
      <c r="DQ37" s="14">
        <f t="shared" si="43"/>
        <v>64.121460149012279</v>
      </c>
      <c r="DR37" s="22">
        <f t="shared" si="16"/>
        <v>575.95973580119653</v>
      </c>
      <c r="DS37" s="62">
        <f t="shared" si="17"/>
        <v>869.29306913452979</v>
      </c>
      <c r="DT37" s="62">
        <f ca="1">AVERAGE(OFFSET($DS$3,0,0,'Données projet'!$E$14+1,1))-AVERAGE(OFFSET($H$3,0,0,'Données projet'!$E$14+1,1))</f>
        <v>446.48069057792151</v>
      </c>
      <c r="DU37" s="62">
        <f t="shared" si="44"/>
        <v>561.75656782935948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18.609408866461379</v>
      </c>
      <c r="EC37" s="23">
        <f>EXP(-LN(2)/2)*EC36+(1-EXP(-LN(2)/2))/(LN(2)/2)*DW37*DZ37*VLOOKUP('Données projet'!$B$14,Paramètres!$A$1:$I$89,3,0)*0.475*44/12</f>
        <v>22.334508987951342</v>
      </c>
      <c r="ED37" s="24">
        <f t="shared" si="18"/>
        <v>40.943917854412717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12.1525</v>
      </c>
      <c r="EJ37" s="13">
        <f>IF('Données projet'!$A$192&gt;35,EJ36+EI37-ER36,IF(A37&lt;'Données projet'!$A$192,$EG$205^A37,IF(A37='Données projet'!$A$192,'Données projet'!$B$192,EJ36+EI37-ER36)))</f>
        <v>106.1825</v>
      </c>
      <c r="EK37" s="18">
        <f>EJ37*VLOOKUP('Données projet'!$B$15,Paramètres!$A$1:$I$89,3,0)*VLOOKUP('Données projet'!$B$15,Paramètres!$A$1:$I$89,5,0)</f>
        <v>102.69971400000001</v>
      </c>
      <c r="EL37" s="14">
        <f t="shared" si="45"/>
        <v>27.604166621099075</v>
      </c>
      <c r="EM37" s="22">
        <f t="shared" si="19"/>
        <v>226.94592541508089</v>
      </c>
      <c r="EN37" s="62">
        <f t="shared" si="20"/>
        <v>520.27925874841424</v>
      </c>
      <c r="EO37" s="62">
        <f ca="1">AVERAGE(OFFSET($EN$3,0,0,'Données projet'!$E$15+1,1))-AVERAGE(OFFSET($H$3,0,0,'Données projet'!$E$15+1,1))</f>
        <v>301.18531163828169</v>
      </c>
      <c r="EP37" s="62">
        <f t="shared" si="46"/>
        <v>192.30530273268101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12.1525</v>
      </c>
      <c r="FE37" s="13">
        <f>IF('Données projet'!$A$218&gt;35,FE36+FD37-FM36,IF(A37&lt;'Données projet'!$A$218,$FB$205^A37,IF(A37='Données projet'!$A$218,'Données projet'!$B$218,FE36+FD37-FM36)))</f>
        <v>106.1825</v>
      </c>
      <c r="FF37" s="18">
        <f>FE37*VLOOKUP('Données projet'!$B$16,Paramètres!$A$1:$I$89,3,0)*VLOOKUP('Données projet'!$B$16,Paramètres!$A$1:$I$89,5,0)</f>
        <v>82.82235</v>
      </c>
      <c r="FG37" s="14">
        <f t="shared" si="47"/>
        <v>22.825864726693929</v>
      </c>
      <c r="FH37" s="22">
        <f t="shared" si="22"/>
        <v>184.00397398232528</v>
      </c>
      <c r="FI37" s="62">
        <f t="shared" si="23"/>
        <v>477.33730731565856</v>
      </c>
      <c r="FJ37" s="62">
        <f ca="1">AVERAGE(OFFSET($FI$3,0,0,'Données projet'!$E$16+1,1))-AVERAGE(OFFSET($H$3,0,0,'Données projet'!$E$16+1,1))</f>
        <v>249.2899297828755</v>
      </c>
      <c r="FK37" s="62">
        <f t="shared" si="48"/>
        <v>162.88011837476813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12.1525</v>
      </c>
      <c r="FZ37" s="13">
        <f>IF('Données projet'!$A$244&gt;35,FZ36+FY37-GH36,IF(A37&lt;'Données projet'!$A$244,$FW$205^A37,IF(A37='Données projet'!$A$244,'Données projet'!$B$244,FZ36+FY37-GH36)))</f>
        <v>106.1825</v>
      </c>
      <c r="GA37" s="18">
        <f>FZ37*VLOOKUP('Données projet'!$B$17,Paramètres!$A$1:$I$89,3,0)*VLOOKUP('Données projet'!$B$17,Paramètres!$A$1:$I$89,5,0)</f>
        <v>71.227221</v>
      </c>
      <c r="GB37" s="14">
        <f t="shared" si="49"/>
        <v>19.97791084543142</v>
      </c>
      <c r="GC37" s="22">
        <f t="shared" si="25"/>
        <v>158.84893796412641</v>
      </c>
      <c r="GD37" s="62">
        <f t="shared" si="26"/>
        <v>452.18227129745969</v>
      </c>
      <c r="GE37" s="62">
        <f ca="1">AVERAGE(OFFSET($GD$3,0,0,'Données projet'!$E$17+1,1))-AVERAGE(OFFSET($H$3,0,0,'Données projet'!$E$17+1,1))</f>
        <v>218.89895999738746</v>
      </c>
      <c r="GF37" s="62">
        <f t="shared" si="50"/>
        <v>145.64042897395763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12.1525</v>
      </c>
      <c r="GU37" s="13">
        <f>IF('Données projet'!$A$270&gt;35,GU36+GT37-HC36,IF(A37&lt;'Données projet'!$A$270,$GR$205^A37,IF(A37='Données projet'!$A$270,'Données projet'!$B$270,GU36+GT37-HC36)))</f>
        <v>106.1825</v>
      </c>
      <c r="GV37" s="18">
        <f>GU37*VLOOKUP('Données projet'!$B$18,Paramètres!$A$1:$I$89,3,0)*VLOOKUP('Données projet'!$B$18,Paramètres!$A$1:$I$89,5,0)</f>
        <v>114.294843</v>
      </c>
      <c r="GW37" s="14">
        <f t="shared" si="51"/>
        <v>30.340616417293898</v>
      </c>
      <c r="GX37" s="22">
        <f t="shared" si="28"/>
        <v>251.90675848512021</v>
      </c>
      <c r="GY37" s="62">
        <f t="shared" si="29"/>
        <v>545.24009181845349</v>
      </c>
      <c r="GZ37" s="62">
        <f ca="1">AVERAGE(OFFSET($GY$3,0,0,'Données projet'!$E$18+1,1))-AVERAGE(OFFSET($H$3,0,0,'Données projet'!$E$18+1,1))</f>
        <v>331.3579800635751</v>
      </c>
      <c r="HA37" s="62">
        <f t="shared" si="52"/>
        <v>209.40702003535273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21.518750000000004</v>
      </c>
      <c r="N38" s="14">
        <f>IF('Données projet'!$A$36&gt;35,N37+M38-V37,IF(A38&lt;'Données projet'!$A$36,$K$205^A38,IF(A38='Données projet'!$A$36,'Données projet'!$B$36,N37+M38-V37)))</f>
        <v>215.9975</v>
      </c>
      <c r="O38" s="14">
        <f>N38*VLOOKUP('Données projet'!$B$9,Paramètres!$A$1:$I$89,3,0)*VLOOKUP('Données projet'!$B$9,Paramètres!$A$1:$I$89,5,0)</f>
        <v>195.434538</v>
      </c>
      <c r="P38" s="14">
        <f t="shared" si="33"/>
        <v>48.739472897685779</v>
      </c>
      <c r="Q38" s="22">
        <f t="shared" si="53"/>
        <v>425.2697356468027</v>
      </c>
      <c r="R38" s="62">
        <f t="shared" si="0"/>
        <v>718.60306898013596</v>
      </c>
      <c r="S38" s="62">
        <f ca="1">AVERAGE(OFFSET($R$3,0,0,'Données projet'!$E$9+1,1))-AVERAGE(OFFSET($H$3,0,0,'Données projet'!$E$9+1,1))</f>
        <v>2472.5049373954762</v>
      </c>
      <c r="T38" s="62">
        <f t="shared" si="34"/>
        <v>286.98388307318311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21.518750000000004</v>
      </c>
      <c r="AI38" s="14">
        <f>IF('Données projet'!$A$62&gt;35,AI37+AH38-AQ37,IF(A38&lt;'Données projet'!$A$62,$AF$205^A38,IF(A38='Données projet'!$A$62,'Données projet'!$B$62,AI37+AH38-AQ37)))</f>
        <v>215.9975</v>
      </c>
      <c r="AJ38" s="14">
        <f>AI38*VLOOKUP('Données projet'!$B$10,Paramètres!$A$1:$I$89,3,0)*VLOOKUP('Données projet'!$B$10,Paramètres!$A$1:$I$89,5,0)</f>
        <v>219.02146500000003</v>
      </c>
      <c r="AK38" s="14">
        <f t="shared" si="35"/>
        <v>53.902150825988379</v>
      </c>
      <c r="AL38" s="22">
        <f t="shared" si="4"/>
        <v>475.3419642302631</v>
      </c>
      <c r="AM38" s="62">
        <f t="shared" si="5"/>
        <v>768.67529756359636</v>
      </c>
      <c r="AN38" s="62">
        <f ca="1">AVERAGE(OFFSET($AM$3,0,0,'Données projet'!$E$10+1,1))-AVERAGE(OFFSET($H$3,0,0,'Données projet'!$E$10+1,1))</f>
        <v>2761.1400657295467</v>
      </c>
      <c r="AO38" s="62">
        <f t="shared" si="36"/>
        <v>316.41877504316409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21.518750000000004</v>
      </c>
      <c r="BD38" s="13">
        <f>IF('Données projet'!$A$88&gt;35,BD37+BC38-BL37,IF(A38&lt;'Données projet'!$A$88,$BA$205^A38,IF(A38='Données projet'!$A$88,'Données projet'!$B$88,BD37+BC38-BL37)))</f>
        <v>215.9975</v>
      </c>
      <c r="BE38" s="14">
        <f>BD38*VLOOKUP('Données projet'!$B$11,Paramètres!$A$1:$I$89,3,0)*VLOOKUP('Données projet'!$B$11,Paramètres!$A$1:$I$89,5,0)</f>
        <v>225.76058700000004</v>
      </c>
      <c r="BF38" s="14">
        <f t="shared" si="37"/>
        <v>55.365031158877905</v>
      </c>
      <c r="BG38" s="22">
        <f t="shared" si="7"/>
        <v>489.62711829337906</v>
      </c>
      <c r="BH38" s="62">
        <f t="shared" si="8"/>
        <v>782.96045162671237</v>
      </c>
      <c r="BI38" s="62">
        <f ca="1">AVERAGE(OFFSET($BH$3,0,0,'Données projet'!$E$11+1,1))-AVERAGE(OFFSET($H$3,0,0,'Données projet'!$E$11+1,1))</f>
        <v>2843.5086223152098</v>
      </c>
      <c r="BJ38" s="62">
        <f t="shared" si="38"/>
        <v>324.81562437645522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21.518750000000004</v>
      </c>
      <c r="BY38" s="13">
        <f>IF('Données projet'!$A$114&gt;35,BY37+BX38-CG37,IF(A38&lt;'Données projet'!$A$114,$BV$205^A38,IF(A38='Données projet'!$A$114,'Données projet'!$B$114,BY37+BX38-CG37)))</f>
        <v>215.9975</v>
      </c>
      <c r="BZ38" s="14">
        <f>BY38*VLOOKUP('Données projet'!$B$12,Paramètres!$A$1:$I$89,3,0)*VLOOKUP('Données projet'!$B$12,Paramètres!$A$1:$I$89,5,0)</f>
        <v>215.65190400000003</v>
      </c>
      <c r="CA38" s="14">
        <f t="shared" si="39"/>
        <v>53.168753411348405</v>
      </c>
      <c r="CB38" s="22">
        <f t="shared" si="10"/>
        <v>468.19597832476512</v>
      </c>
      <c r="CC38" s="62">
        <f t="shared" si="11"/>
        <v>761.52931165809844</v>
      </c>
      <c r="CD38" s="62">
        <f ca="1">AVERAGE(OFFSET($CC$3,0,0,'Données projet'!$E$12+1,1))-AVERAGE(OFFSET($H$3,0,0,'Données projet'!$E$12+1,1))</f>
        <v>2719.939926994799</v>
      </c>
      <c r="CE38" s="62">
        <f t="shared" si="40"/>
        <v>312.21824046329749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24.994999999999997</v>
      </c>
      <c r="CT38" s="13">
        <f>IF('Données projet'!$A$140&gt;35,CT37+CS38-DB37,IF(A38&lt;'Données projet'!$A$140,$CQ$205^A38,IF(A38='Données projet'!$A$140,'Données projet'!$B$140,CT37+CS38-DB37)))</f>
        <v>278.67</v>
      </c>
      <c r="CU38" s="18">
        <f>CT38*VLOOKUP('Données projet'!$B$13,Paramètres!$A$1:$I$89,3,0)*VLOOKUP('Données projet'!$B$13,Paramètres!$A$1:$I$89,5,0)</f>
        <v>243.44611200000003</v>
      </c>
      <c r="CV38" s="14">
        <f t="shared" si="41"/>
        <v>59.180361937602626</v>
      </c>
      <c r="CW38" s="22">
        <f t="shared" si="13"/>
        <v>527.07444210799133</v>
      </c>
      <c r="CX38" s="62">
        <f t="shared" si="14"/>
        <v>820.4077754413247</v>
      </c>
      <c r="CY38" s="62">
        <f ca="1">AVERAGE(OFFSET($CX$3,0,0,'Données projet'!$E$13+1,1))-AVERAGE(OFFSET($H$3,0,0,'Données projet'!$E$13+1,1))</f>
        <v>1036.0130072090849</v>
      </c>
      <c r="CZ38" s="62">
        <f t="shared" si="42"/>
        <v>346.56593355696174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22.125</v>
      </c>
      <c r="DO38" s="13">
        <f>IF('Données projet'!$A$166&gt;35,DO37+DN38-DW37,IF(A38&lt;'Données projet'!$A$166,$DL$205^A38,IF(A38='Données projet'!$A$166,'Données projet'!$B$166,DO37+DN38-DW37)))</f>
        <v>499.00000000000011</v>
      </c>
      <c r="DP38" s="18">
        <f>DO38*VLOOKUP('Données projet'!$B$14,Paramètres!$A$1:$I$89,3,0)*VLOOKUP('Données projet'!$B$14,Paramètres!$A$1:$I$89,5,0)</f>
        <v>278.94100000000009</v>
      </c>
      <c r="DQ38" s="14">
        <f t="shared" si="43"/>
        <v>66.743162406600192</v>
      </c>
      <c r="DR38" s="22">
        <f t="shared" si="16"/>
        <v>602.06658285816218</v>
      </c>
      <c r="DS38" s="62">
        <f t="shared" si="17"/>
        <v>895.39991619149555</v>
      </c>
      <c r="DT38" s="62">
        <f ca="1">AVERAGE(OFFSET($DS$3,0,0,'Données projet'!$E$14+1,1))-AVERAGE(OFFSET($H$3,0,0,'Données projet'!$E$14+1,1))</f>
        <v>446.48069057792151</v>
      </c>
      <c r="DU38" s="62">
        <f t="shared" si="44"/>
        <v>561.75656782935948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18.100533602381713</v>
      </c>
      <c r="EC38" s="23">
        <f>EXP(-LN(2)/2)*EC37+(1-EXP(-LN(2)/2))/(LN(2)/2)*DW38*DZ38*VLOOKUP('Données projet'!$B$14,Paramètres!$A$1:$I$89,3,0)*0.475*44/12</f>
        <v>15.79288275985229</v>
      </c>
      <c r="ED38" s="24">
        <f t="shared" si="18"/>
        <v>33.893416362234007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12.1525</v>
      </c>
      <c r="EJ38" s="13">
        <f>IF('Données projet'!$A$192&gt;35,EJ37+EI38-ER37,IF(A38&lt;'Données projet'!$A$192,$EG$205^A38,IF(A38='Données projet'!$A$192,'Données projet'!$B$192,EJ37+EI38-ER37)))</f>
        <v>118.33500000000001</v>
      </c>
      <c r="EK38" s="18">
        <f>EJ38*VLOOKUP('Données projet'!$B$15,Paramètres!$A$1:$I$89,3,0)*VLOOKUP('Données projet'!$B$15,Paramètres!$A$1:$I$89,5,0)</f>
        <v>114.45361200000001</v>
      </c>
      <c r="EL38" s="14">
        <f t="shared" si="45"/>
        <v>30.377854223426205</v>
      </c>
      <c r="EM38" s="22">
        <f t="shared" si="19"/>
        <v>252.24813700580066</v>
      </c>
      <c r="EN38" s="62">
        <f t="shared" si="20"/>
        <v>545.58147033913394</v>
      </c>
      <c r="EO38" s="62">
        <f ca="1">AVERAGE(OFFSET($EN$3,0,0,'Données projet'!$E$15+1,1))-AVERAGE(OFFSET($H$3,0,0,'Données projet'!$E$15+1,1))</f>
        <v>301.18531163828169</v>
      </c>
      <c r="EP38" s="62">
        <f t="shared" si="46"/>
        <v>192.30530273268101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12.1525</v>
      </c>
      <c r="FE38" s="13">
        <f>IF('Données projet'!$A$218&gt;35,FE37+FD38-FM37,IF(A38&lt;'Données projet'!$A$218,$FB$205^A38,IF(A38='Données projet'!$A$218,'Données projet'!$B$218,FE37+FD38-FM37)))</f>
        <v>118.33500000000001</v>
      </c>
      <c r="FF38" s="18">
        <f>FE38*VLOOKUP('Données projet'!$B$16,Paramètres!$A$1:$I$89,3,0)*VLOOKUP('Données projet'!$B$16,Paramètres!$A$1:$I$89,5,0)</f>
        <v>92.301300000000012</v>
      </c>
      <c r="FG38" s="14">
        <f t="shared" si="47"/>
        <v>25.119424929900141</v>
      </c>
      <c r="FH38" s="22">
        <f t="shared" si="22"/>
        <v>204.50776258624276</v>
      </c>
      <c r="FI38" s="62">
        <f t="shared" si="23"/>
        <v>497.84109591957611</v>
      </c>
      <c r="FJ38" s="62">
        <f ca="1">AVERAGE(OFFSET($FI$3,0,0,'Données projet'!$E$16+1,1))-AVERAGE(OFFSET($H$3,0,0,'Données projet'!$E$16+1,1))</f>
        <v>249.2899297828755</v>
      </c>
      <c r="FK38" s="62">
        <f t="shared" si="48"/>
        <v>162.88011837476813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12.1525</v>
      </c>
      <c r="FZ38" s="13">
        <f>IF('Données projet'!$A$244&gt;35,FZ37+FY38-GH37,IF(A38&lt;'Données projet'!$A$244,$FW$205^A38,IF(A38='Données projet'!$A$244,'Données projet'!$B$244,FZ37+FY38-GH37)))</f>
        <v>118.33500000000001</v>
      </c>
      <c r="GA38" s="18">
        <f>FZ38*VLOOKUP('Données projet'!$B$17,Paramètres!$A$1:$I$89,3,0)*VLOOKUP('Données projet'!$B$17,Paramètres!$A$1:$I$89,5,0)</f>
        <v>79.379118000000005</v>
      </c>
      <c r="GB38" s="14">
        <f t="shared" si="49"/>
        <v>21.985306482219631</v>
      </c>
      <c r="GC38" s="22">
        <f t="shared" si="25"/>
        <v>176.54303930653251</v>
      </c>
      <c r="GD38" s="62">
        <f t="shared" si="26"/>
        <v>469.87637263986585</v>
      </c>
      <c r="GE38" s="62">
        <f ca="1">AVERAGE(OFFSET($GD$3,0,0,'Données projet'!$E$17+1,1))-AVERAGE(OFFSET($H$3,0,0,'Données projet'!$E$17+1,1))</f>
        <v>218.89895999738746</v>
      </c>
      <c r="GF38" s="62">
        <f t="shared" si="50"/>
        <v>145.64042897395763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12.1525</v>
      </c>
      <c r="GU38" s="13">
        <f>IF('Données projet'!$A$270&gt;35,GU37+GT38-HC37,IF(A38&lt;'Données projet'!$A$270,$GR$205^A38,IF(A38='Données projet'!$A$270,'Données projet'!$B$270,GU37+GT38-HC37)))</f>
        <v>118.33500000000001</v>
      </c>
      <c r="GV38" s="18">
        <f>GU38*VLOOKUP('Données projet'!$B$18,Paramètres!$A$1:$I$89,3,0)*VLOOKUP('Données projet'!$B$18,Paramètres!$A$1:$I$89,5,0)</f>
        <v>127.37579400000001</v>
      </c>
      <c r="GW38" s="14">
        <f t="shared" si="51"/>
        <v>33.389264570985517</v>
      </c>
      <c r="GX38" s="22">
        <f t="shared" si="28"/>
        <v>279.99914367779974</v>
      </c>
      <c r="GY38" s="62">
        <f t="shared" si="29"/>
        <v>573.33247701113305</v>
      </c>
      <c r="GZ38" s="62">
        <f ca="1">AVERAGE(OFFSET($GY$3,0,0,'Données projet'!$E$18+1,1))-AVERAGE(OFFSET($H$3,0,0,'Données projet'!$E$18+1,1))</f>
        <v>331.3579800635751</v>
      </c>
      <c r="HA38" s="62">
        <f t="shared" si="52"/>
        <v>209.40702003535273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21.518750000000004</v>
      </c>
      <c r="N39" s="14">
        <f>IF('Données projet'!$A$36&gt;35,N38+M39-V38,IF(A39&lt;'Données projet'!$A$36,$K$205^A39,IF(A39='Données projet'!$A$36,'Données projet'!$B$36,N38+M39-V38)))</f>
        <v>237.51625000000001</v>
      </c>
      <c r="O39" s="14">
        <f>N39*VLOOKUP('Données projet'!$B$9,Paramètres!$A$1:$I$89,3,0)*VLOOKUP('Données projet'!$B$9,Paramètres!$A$1:$I$89,5,0)</f>
        <v>214.90470299999998</v>
      </c>
      <c r="P39" s="14">
        <f t="shared" si="33"/>
        <v>53.005942309929978</v>
      </c>
      <c r="Q39" s="22">
        <f t="shared" si="53"/>
        <v>466.61104058146134</v>
      </c>
      <c r="R39" s="62">
        <f t="shared" si="0"/>
        <v>759.9443739147946</v>
      </c>
      <c r="S39" s="62">
        <f ca="1">AVERAGE(OFFSET($R$3,0,0,'Données projet'!$E$9+1,1))-AVERAGE(OFFSET($H$3,0,0,'Données projet'!$E$9+1,1))</f>
        <v>2472.5049373954762</v>
      </c>
      <c r="T39" s="62">
        <f t="shared" si="34"/>
        <v>286.98388307318311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21.518750000000004</v>
      </c>
      <c r="AI39" s="14">
        <f>IF('Données projet'!$A$62&gt;35,AI38+AH39-AQ38,IF(A39&lt;'Données projet'!$A$62,$AF$205^A39,IF(A39='Données projet'!$A$62,'Données projet'!$B$62,AI38+AH39-AQ38)))</f>
        <v>237.51625000000001</v>
      </c>
      <c r="AJ39" s="14">
        <f>AI39*VLOOKUP('Données projet'!$B$10,Paramètres!$A$1:$I$89,3,0)*VLOOKUP('Données projet'!$B$10,Paramètres!$A$1:$I$89,5,0)</f>
        <v>240.84147750000005</v>
      </c>
      <c r="AK39" s="14">
        <f t="shared" si="35"/>
        <v>58.620541569277933</v>
      </c>
      <c r="AL39" s="22">
        <f t="shared" si="4"/>
        <v>521.56301654565902</v>
      </c>
      <c r="AM39" s="62">
        <f t="shared" si="5"/>
        <v>814.8963498789924</v>
      </c>
      <c r="AN39" s="62">
        <f ca="1">AVERAGE(OFFSET($AM$3,0,0,'Données projet'!$E$10+1,1))-AVERAGE(OFFSET($H$3,0,0,'Données projet'!$E$10+1,1))</f>
        <v>2761.1400657295467</v>
      </c>
      <c r="AO39" s="62">
        <f t="shared" si="36"/>
        <v>316.41877504316409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21.518750000000004</v>
      </c>
      <c r="BD39" s="13">
        <f>IF('Données projet'!$A$88&gt;35,BD38+BC39-BL38,IF(A39&lt;'Données projet'!$A$88,$BA$205^A39,IF(A39='Données projet'!$A$88,'Données projet'!$B$88,BD38+BC39-BL38)))</f>
        <v>237.51625000000001</v>
      </c>
      <c r="BE39" s="14">
        <f>BD39*VLOOKUP('Données projet'!$B$11,Paramètres!$A$1:$I$89,3,0)*VLOOKUP('Données projet'!$B$11,Paramètres!$A$1:$I$89,5,0)</f>
        <v>248.25198450000005</v>
      </c>
      <c r="BF39" s="14">
        <f t="shared" si="37"/>
        <v>60.21147692252331</v>
      </c>
      <c r="BG39" s="22">
        <f t="shared" si="7"/>
        <v>537.24052864422822</v>
      </c>
      <c r="BH39" s="62">
        <f t="shared" si="8"/>
        <v>830.57386197756159</v>
      </c>
      <c r="BI39" s="62">
        <f ca="1">AVERAGE(OFFSET($BH$3,0,0,'Données projet'!$E$11+1,1))-AVERAGE(OFFSET($H$3,0,0,'Données projet'!$E$11+1,1))</f>
        <v>2843.5086223152098</v>
      </c>
      <c r="BJ39" s="62">
        <f t="shared" si="38"/>
        <v>324.81562437645522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21.518750000000004</v>
      </c>
      <c r="BY39" s="13">
        <f>IF('Données projet'!$A$114&gt;35,BY38+BX39-CG38,IF(A39&lt;'Données projet'!$A$114,$BV$205^A39,IF(A39='Données projet'!$A$114,'Données projet'!$B$114,BY38+BX39-CG38)))</f>
        <v>237.51625000000001</v>
      </c>
      <c r="BZ39" s="14">
        <f>BY39*VLOOKUP('Données projet'!$B$12,Paramètres!$A$1:$I$89,3,0)*VLOOKUP('Données projet'!$B$12,Paramètres!$A$1:$I$89,5,0)</f>
        <v>237.13622400000003</v>
      </c>
      <c r="CA39" s="14">
        <f t="shared" si="39"/>
        <v>57.822945314343791</v>
      </c>
      <c r="CB39" s="22">
        <f t="shared" si="10"/>
        <v>513.72055322248207</v>
      </c>
      <c r="CC39" s="62">
        <f t="shared" si="11"/>
        <v>807.05388655581532</v>
      </c>
      <c r="CD39" s="62">
        <f ca="1">AVERAGE(OFFSET($CC$3,0,0,'Données projet'!$E$12+1,1))-AVERAGE(OFFSET($H$3,0,0,'Données projet'!$E$12+1,1))</f>
        <v>2719.939926994799</v>
      </c>
      <c r="CE39" s="62">
        <f t="shared" si="40"/>
        <v>312.21824046329749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24.994999999999997</v>
      </c>
      <c r="CT39" s="13">
        <f>IF('Données projet'!$A$140&gt;35,CT38+CS39-DB38,IF(A39&lt;'Données projet'!$A$140,$CQ$205^A39,IF(A39='Données projet'!$A$140,'Données projet'!$B$140,CT38+CS39-DB38)))</f>
        <v>303.66500000000002</v>
      </c>
      <c r="CU39" s="18">
        <f>CT39*VLOOKUP('Données projet'!$B$13,Paramètres!$A$1:$I$89,3,0)*VLOOKUP('Données projet'!$B$13,Paramètres!$A$1:$I$89,5,0)</f>
        <v>265.28174400000006</v>
      </c>
      <c r="CV39" s="14">
        <f t="shared" si="41"/>
        <v>63.846911197211753</v>
      </c>
      <c r="CW39" s="22">
        <f t="shared" si="13"/>
        <v>573.2324078018105</v>
      </c>
      <c r="CX39" s="62">
        <f t="shared" si="14"/>
        <v>866.56574113514375</v>
      </c>
      <c r="CY39" s="62">
        <f ca="1">AVERAGE(OFFSET($CX$3,0,0,'Données projet'!$E$13+1,1))-AVERAGE(OFFSET($H$3,0,0,'Données projet'!$E$13+1,1))</f>
        <v>1036.0130072090849</v>
      </c>
      <c r="CZ39" s="62">
        <f t="shared" si="42"/>
        <v>346.56593355696174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22.125</v>
      </c>
      <c r="DO39" s="13">
        <f>IF('Données projet'!$A$166&gt;35,DO38+DN39-DW38,IF(A39&lt;'Données projet'!$A$166,$DL$205^A39,IF(A39='Données projet'!$A$166,'Données projet'!$B$166,DO38+DN39-DW38)))</f>
        <v>521.12500000000011</v>
      </c>
      <c r="DP39" s="18">
        <f>DO39*VLOOKUP('Données projet'!$B$14,Paramètres!$A$1:$I$89,3,0)*VLOOKUP('Données projet'!$B$14,Paramètres!$A$1:$I$89,5,0)</f>
        <v>291.30887500000006</v>
      </c>
      <c r="DQ39" s="14">
        <f t="shared" si="43"/>
        <v>69.351364186001959</v>
      </c>
      <c r="DR39" s="22">
        <f t="shared" si="16"/>
        <v>628.14991658228689</v>
      </c>
      <c r="DS39" s="62">
        <f t="shared" si="17"/>
        <v>921.48324991562026</v>
      </c>
      <c r="DT39" s="62">
        <f ca="1">AVERAGE(OFFSET($DS$3,0,0,'Données projet'!$E$14+1,1))-AVERAGE(OFFSET($H$3,0,0,'Données projet'!$E$14+1,1))</f>
        <v>446.48069057792151</v>
      </c>
      <c r="DU39" s="62">
        <f t="shared" si="44"/>
        <v>561.75656782935948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17.605573559158891</v>
      </c>
      <c r="EC39" s="23">
        <f>EXP(-LN(2)/2)*EC38+(1-EXP(-LN(2)/2))/(LN(2)/2)*DW39*DZ39*VLOOKUP('Données projet'!$B$14,Paramètres!$A$1:$I$89,3,0)*0.475*44/12</f>
        <v>11.167254493975673</v>
      </c>
      <c r="ED39" s="24">
        <f t="shared" si="18"/>
        <v>28.772828053134564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12.1525</v>
      </c>
      <c r="EJ39" s="13">
        <f>IF('Données projet'!$A$192&gt;35,EJ38+EI39-ER38,IF(A39&lt;'Données projet'!$A$192,$EG$205^A39,IF(A39='Données projet'!$A$192,'Données projet'!$B$192,EJ38+EI39-ER38)))</f>
        <v>130.48750000000001</v>
      </c>
      <c r="EK39" s="18">
        <f>EJ39*VLOOKUP('Données projet'!$B$15,Paramètres!$A$1:$I$89,3,0)*VLOOKUP('Données projet'!$B$15,Paramètres!$A$1:$I$89,5,0)</f>
        <v>126.20751000000001</v>
      </c>
      <c r="EL39" s="14">
        <f t="shared" si="45"/>
        <v>33.118521938216304</v>
      </c>
      <c r="EM39" s="22">
        <f t="shared" si="19"/>
        <v>277.49283895906007</v>
      </c>
      <c r="EN39" s="62">
        <f t="shared" si="20"/>
        <v>570.82617229239338</v>
      </c>
      <c r="EO39" s="62">
        <f ca="1">AVERAGE(OFFSET($EN$3,0,0,'Données projet'!$E$15+1,1))-AVERAGE(OFFSET($H$3,0,0,'Données projet'!$E$15+1,1))</f>
        <v>301.18531163828169</v>
      </c>
      <c r="EP39" s="62">
        <f t="shared" si="46"/>
        <v>192.30530273268101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12.1525</v>
      </c>
      <c r="FE39" s="13">
        <f>IF('Données projet'!$A$218&gt;35,FE38+FD39-FM38,IF(A39&lt;'Données projet'!$A$218,$FB$205^A39,IF(A39='Données projet'!$A$218,'Données projet'!$B$218,FE38+FD39-FM38)))</f>
        <v>130.48750000000001</v>
      </c>
      <c r="FF39" s="18">
        <f>FE39*VLOOKUP('Données projet'!$B$16,Paramètres!$A$1:$I$89,3,0)*VLOOKUP('Données projet'!$B$16,Paramètres!$A$1:$I$89,5,0)</f>
        <v>101.78025000000001</v>
      </c>
      <c r="FG39" s="14">
        <f t="shared" si="47"/>
        <v>27.385681012806177</v>
      </c>
      <c r="FH39" s="22">
        <f t="shared" si="22"/>
        <v>224.96399651397078</v>
      </c>
      <c r="FI39" s="62">
        <f t="shared" si="23"/>
        <v>518.29732984730413</v>
      </c>
      <c r="FJ39" s="62">
        <f ca="1">AVERAGE(OFFSET($FI$3,0,0,'Données projet'!$E$16+1,1))-AVERAGE(OFFSET($H$3,0,0,'Données projet'!$E$16+1,1))</f>
        <v>249.2899297828755</v>
      </c>
      <c r="FK39" s="62">
        <f t="shared" si="48"/>
        <v>162.88011837476813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12.1525</v>
      </c>
      <c r="FZ39" s="13">
        <f>IF('Données projet'!$A$244&gt;35,FZ38+FY39-GH38,IF(A39&lt;'Données projet'!$A$244,$FW$205^A39,IF(A39='Données projet'!$A$244,'Données projet'!$B$244,FZ38+FY39-GH38)))</f>
        <v>130.48750000000001</v>
      </c>
      <c r="GA39" s="18">
        <f>FZ39*VLOOKUP('Données projet'!$B$17,Paramètres!$A$1:$I$89,3,0)*VLOOKUP('Données projet'!$B$17,Paramètres!$A$1:$I$89,5,0)</f>
        <v>87.531015000000011</v>
      </c>
      <c r="GB39" s="14">
        <f t="shared" si="49"/>
        <v>23.968804698796099</v>
      </c>
      <c r="GC39" s="22">
        <f t="shared" si="25"/>
        <v>194.19551930873652</v>
      </c>
      <c r="GD39" s="62">
        <f t="shared" si="26"/>
        <v>487.52885264206986</v>
      </c>
      <c r="GE39" s="62">
        <f ca="1">AVERAGE(OFFSET($GD$3,0,0,'Données projet'!$E$17+1,1))-AVERAGE(OFFSET($H$3,0,0,'Données projet'!$E$17+1,1))</f>
        <v>218.89895999738746</v>
      </c>
      <c r="GF39" s="62">
        <f t="shared" si="50"/>
        <v>145.64042897395763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12.1525</v>
      </c>
      <c r="GU39" s="13">
        <f>IF('Données projet'!$A$270&gt;35,GU38+GT39-HC38,IF(A39&lt;'Données projet'!$A$270,$GR$205^A39,IF(A39='Données projet'!$A$270,'Données projet'!$B$270,GU38+GT39-HC38)))</f>
        <v>130.48750000000001</v>
      </c>
      <c r="GV39" s="18">
        <f>GU39*VLOOKUP('Données projet'!$B$18,Paramètres!$A$1:$I$89,3,0)*VLOOKUP('Données projet'!$B$18,Paramètres!$A$1:$I$89,5,0)</f>
        <v>140.45674500000001</v>
      </c>
      <c r="GW39" s="14">
        <f t="shared" si="51"/>
        <v>36.401619517363486</v>
      </c>
      <c r="GX39" s="22">
        <f t="shared" si="28"/>
        <v>308.0283182010748</v>
      </c>
      <c r="GY39" s="62">
        <f t="shared" si="29"/>
        <v>601.36165153440811</v>
      </c>
      <c r="GZ39" s="62">
        <f ca="1">AVERAGE(OFFSET($GY$3,0,0,'Données projet'!$E$18+1,1))-AVERAGE(OFFSET($H$3,0,0,'Données projet'!$E$18+1,1))</f>
        <v>331.3579800635751</v>
      </c>
      <c r="HA39" s="62">
        <f t="shared" si="52"/>
        <v>209.40702003535273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21.518750000000004</v>
      </c>
      <c r="N40" s="14">
        <f>IF('Données projet'!$A$36&gt;35,N39+M40-V39,IF(A40&lt;'Données projet'!$A$36,$K$205^A40,IF(A40='Données projet'!$A$36,'Données projet'!$B$36,N39+M40-V39)))</f>
        <v>259.03500000000003</v>
      </c>
      <c r="O40" s="14">
        <f>N40*VLOOKUP('Données projet'!$B$9,Paramètres!$A$1:$I$89,3,0)*VLOOKUP('Données projet'!$B$9,Paramètres!$A$1:$I$89,5,0)</f>
        <v>234.37486799999999</v>
      </c>
      <c r="P40" s="14">
        <f t="shared" si="33"/>
        <v>57.227590420565249</v>
      </c>
      <c r="Q40" s="22">
        <f t="shared" si="53"/>
        <v>507.87428174915118</v>
      </c>
      <c r="R40" s="62">
        <f t="shared" si="0"/>
        <v>801.20761508248449</v>
      </c>
      <c r="S40" s="62">
        <f ca="1">AVERAGE(OFFSET($R$3,0,0,'Données projet'!$E$9+1,1))-AVERAGE(OFFSET($H$3,0,0,'Données projet'!$E$9+1,1))</f>
        <v>2472.5049373954762</v>
      </c>
      <c r="T40" s="62">
        <f t="shared" si="34"/>
        <v>286.98388307318311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21.518750000000004</v>
      </c>
      <c r="AI40" s="14">
        <f>IF('Données projet'!$A$62&gt;35,AI39+AH40-AQ39,IF(A40&lt;'Données projet'!$A$62,$AF$205^A40,IF(A40='Données projet'!$A$62,'Données projet'!$B$62,AI39+AH40-AQ39)))</f>
        <v>259.03500000000003</v>
      </c>
      <c r="AJ40" s="14">
        <f>AI40*VLOOKUP('Données projet'!$B$10,Paramètres!$A$1:$I$89,3,0)*VLOOKUP('Données projet'!$B$10,Paramètres!$A$1:$I$89,5,0)</f>
        <v>262.66149000000007</v>
      </c>
      <c r="AK40" s="14">
        <f t="shared" si="35"/>
        <v>63.289363361245215</v>
      </c>
      <c r="AL40" s="22">
        <f t="shared" si="4"/>
        <v>567.69773627083543</v>
      </c>
      <c r="AM40" s="62">
        <f t="shared" si="5"/>
        <v>861.03106960416881</v>
      </c>
      <c r="AN40" s="62">
        <f ca="1">AVERAGE(OFFSET($AM$3,0,0,'Données projet'!$E$10+1,1))-AVERAGE(OFFSET($H$3,0,0,'Données projet'!$E$10+1,1))</f>
        <v>2761.1400657295467</v>
      </c>
      <c r="AO40" s="62">
        <f t="shared" si="36"/>
        <v>316.41877504316409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21.518750000000004</v>
      </c>
      <c r="BD40" s="13">
        <f>IF('Données projet'!$A$88&gt;35,BD39+BC40-BL39,IF(A40&lt;'Données projet'!$A$88,$BA$205^A40,IF(A40='Données projet'!$A$88,'Données projet'!$B$88,BD39+BC40-BL39)))</f>
        <v>259.03500000000003</v>
      </c>
      <c r="BE40" s="14">
        <f>BD40*VLOOKUP('Données projet'!$B$11,Paramètres!$A$1:$I$89,3,0)*VLOOKUP('Données projet'!$B$11,Paramètres!$A$1:$I$89,5,0)</f>
        <v>270.74338200000005</v>
      </c>
      <c r="BF40" s="14">
        <f t="shared" si="37"/>
        <v>65.007008455615463</v>
      </c>
      <c r="BG40" s="22">
        <f t="shared" si="7"/>
        <v>584.76526337686369</v>
      </c>
      <c r="BH40" s="62">
        <f t="shared" si="8"/>
        <v>878.09859671019694</v>
      </c>
      <c r="BI40" s="62">
        <f ca="1">AVERAGE(OFFSET($BH$3,0,0,'Données projet'!$E$11+1,1))-AVERAGE(OFFSET($H$3,0,0,'Données projet'!$E$11+1,1))</f>
        <v>2843.5086223152098</v>
      </c>
      <c r="BJ40" s="62">
        <f t="shared" si="38"/>
        <v>324.81562437645522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21.518750000000004</v>
      </c>
      <c r="BY40" s="13">
        <f>IF('Données projet'!$A$114&gt;35,BY39+BX40-CG39,IF(A40&lt;'Données projet'!$A$114,$BV$205^A40,IF(A40='Données projet'!$A$114,'Données projet'!$B$114,BY39+BX40-CG39)))</f>
        <v>259.03500000000003</v>
      </c>
      <c r="BZ40" s="14">
        <f>BY40*VLOOKUP('Données projet'!$B$12,Paramètres!$A$1:$I$89,3,0)*VLOOKUP('Données projet'!$B$12,Paramètres!$A$1:$I$89,5,0)</f>
        <v>258.62054400000005</v>
      </c>
      <c r="CA40" s="14">
        <f t="shared" si="39"/>
        <v>62.428242705537208</v>
      </c>
      <c r="CB40" s="22">
        <f t="shared" si="10"/>
        <v>559.1599701788108</v>
      </c>
      <c r="CC40" s="62">
        <f t="shared" si="11"/>
        <v>852.49330351214417</v>
      </c>
      <c r="CD40" s="62">
        <f ca="1">AVERAGE(OFFSET($CC$3,0,0,'Données projet'!$E$12+1,1))-AVERAGE(OFFSET($H$3,0,0,'Données projet'!$E$12+1,1))</f>
        <v>2719.939926994799</v>
      </c>
      <c r="CE40" s="62">
        <f t="shared" si="40"/>
        <v>312.21824046329749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24.994999999999997</v>
      </c>
      <c r="CT40" s="13">
        <f>IF('Données projet'!$A$140&gt;35,CT39+CS40-DB39,IF(A40&lt;'Données projet'!$A$140,$CQ$205^A40,IF(A40='Données projet'!$A$140,'Données projet'!$B$140,CT39+CS40-DB39)))</f>
        <v>328.66</v>
      </c>
      <c r="CU40" s="18">
        <f>CT40*VLOOKUP('Données projet'!$B$13,Paramètres!$A$1:$I$89,3,0)*VLOOKUP('Données projet'!$B$13,Paramètres!$A$1:$I$89,5,0)</f>
        <v>287.11737600000004</v>
      </c>
      <c r="CV40" s="14">
        <f t="shared" si="41"/>
        <v>68.468910629413188</v>
      </c>
      <c r="CW40" s="22">
        <f t="shared" si="13"/>
        <v>619.31278254622805</v>
      </c>
      <c r="CX40" s="62">
        <f t="shared" si="14"/>
        <v>912.64611587956142</v>
      </c>
      <c r="CY40" s="62">
        <f ca="1">AVERAGE(OFFSET($CX$3,0,0,'Données projet'!$E$13+1,1))-AVERAGE(OFFSET($H$3,0,0,'Données projet'!$E$13+1,1))</f>
        <v>1036.0130072090849</v>
      </c>
      <c r="CZ40" s="62">
        <f t="shared" si="42"/>
        <v>346.56593355696174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22.125</v>
      </c>
      <c r="DO40" s="13">
        <f>IF('Données projet'!$A$166&gt;35,DO39+DN40-DW39,IF(A40&lt;'Données projet'!$A$166,$DL$205^A40,IF(A40='Données projet'!$A$166,'Données projet'!$B$166,DO39+DN40-DW39)))</f>
        <v>543.25000000000011</v>
      </c>
      <c r="DP40" s="18">
        <f>DO40*VLOOKUP('Données projet'!$B$14,Paramètres!$A$1:$I$89,3,0)*VLOOKUP('Données projet'!$B$14,Paramètres!$A$1:$I$89,5,0)</f>
        <v>303.67675000000008</v>
      </c>
      <c r="DQ40" s="14">
        <f t="shared" si="43"/>
        <v>71.946704197578825</v>
      </c>
      <c r="DR40" s="22">
        <f t="shared" si="16"/>
        <v>654.21084939411651</v>
      </c>
      <c r="DS40" s="62">
        <f t="shared" si="17"/>
        <v>947.54418272744988</v>
      </c>
      <c r="DT40" s="62">
        <f ca="1">AVERAGE(OFFSET($DS$3,0,0,'Données projet'!$E$14+1,1))-AVERAGE(OFFSET($H$3,0,0,'Données projet'!$E$14+1,1))</f>
        <v>446.48069057792151</v>
      </c>
      <c r="DU40" s="62">
        <f t="shared" si="44"/>
        <v>561.75656782935948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17.124148224346815</v>
      </c>
      <c r="EC40" s="23">
        <f>EXP(-LN(2)/2)*EC39+(1-EXP(-LN(2)/2))/(LN(2)/2)*DW40*DZ40*VLOOKUP('Données projet'!$B$14,Paramètres!$A$1:$I$89,3,0)*0.475*44/12</f>
        <v>7.8964413799261459</v>
      </c>
      <c r="ED40" s="24">
        <f t="shared" si="18"/>
        <v>25.02058960427296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12.1525</v>
      </c>
      <c r="EJ40" s="13">
        <f>IF('Données projet'!$A$192&gt;35,EJ39+EI40-ER39,IF(A40&lt;'Données projet'!$A$192,$EG$205^A40,IF(A40='Données projet'!$A$192,'Données projet'!$B$192,EJ39+EI40-ER39)))</f>
        <v>142.64000000000001</v>
      </c>
      <c r="EK40" s="18">
        <f>EJ40*VLOOKUP('Données projet'!$B$15,Paramètres!$A$1:$I$89,3,0)*VLOOKUP('Données projet'!$B$15,Paramètres!$A$1:$I$89,5,0)</f>
        <v>137.96140800000001</v>
      </c>
      <c r="EL40" s="14">
        <f t="shared" si="45"/>
        <v>35.829594753153948</v>
      </c>
      <c r="EM40" s="22">
        <f t="shared" si="19"/>
        <v>302.68599646174312</v>
      </c>
      <c r="EN40" s="62">
        <f t="shared" si="20"/>
        <v>596.01932979507637</v>
      </c>
      <c r="EO40" s="62">
        <f ca="1">AVERAGE(OFFSET($EN$3,0,0,'Données projet'!$E$15+1,1))-AVERAGE(OFFSET($H$3,0,0,'Données projet'!$E$15+1,1))</f>
        <v>301.18531163828169</v>
      </c>
      <c r="EP40" s="62">
        <f t="shared" si="46"/>
        <v>192.30530273268101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12.1525</v>
      </c>
      <c r="FE40" s="13">
        <f>IF('Données projet'!$A$218&gt;35,FE39+FD40-FM39,IF(A40&lt;'Données projet'!$A$218,$FB$205^A40,IF(A40='Données projet'!$A$218,'Données projet'!$B$218,FE39+FD40-FM39)))</f>
        <v>142.64000000000001</v>
      </c>
      <c r="FF40" s="18">
        <f>FE40*VLOOKUP('Données projet'!$B$16,Paramètres!$A$1:$I$89,3,0)*VLOOKUP('Données projet'!$B$16,Paramètres!$A$1:$I$89,5,0)</f>
        <v>111.25920000000002</v>
      </c>
      <c r="FG40" s="14">
        <f t="shared" si="47"/>
        <v>29.627465095165842</v>
      </c>
      <c r="FH40" s="22">
        <f t="shared" si="22"/>
        <v>245.37760837408052</v>
      </c>
      <c r="FI40" s="62">
        <f t="shared" si="23"/>
        <v>538.71094170741389</v>
      </c>
      <c r="FJ40" s="62">
        <f ca="1">AVERAGE(OFFSET($FI$3,0,0,'Données projet'!$E$16+1,1))-AVERAGE(OFFSET($H$3,0,0,'Données projet'!$E$16+1,1))</f>
        <v>249.2899297828755</v>
      </c>
      <c r="FK40" s="62">
        <f t="shared" si="48"/>
        <v>162.88011837476813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12.1525</v>
      </c>
      <c r="FZ40" s="13">
        <f>IF('Données projet'!$A$244&gt;35,FZ39+FY40-GH39,IF(A40&lt;'Données projet'!$A$244,$FW$205^A40,IF(A40='Données projet'!$A$244,'Données projet'!$B$244,FZ39+FY40-GH39)))</f>
        <v>142.64000000000001</v>
      </c>
      <c r="GA40" s="18">
        <f>FZ40*VLOOKUP('Données projet'!$B$17,Paramètres!$A$1:$I$89,3,0)*VLOOKUP('Données projet'!$B$17,Paramètres!$A$1:$I$89,5,0)</f>
        <v>95.682912000000016</v>
      </c>
      <c r="GB40" s="14">
        <f t="shared" si="49"/>
        <v>25.930884254963498</v>
      </c>
      <c r="GC40" s="22">
        <f t="shared" si="25"/>
        <v>211.81069514406147</v>
      </c>
      <c r="GD40" s="62">
        <f t="shared" si="26"/>
        <v>505.14402847739478</v>
      </c>
      <c r="GE40" s="62">
        <f ca="1">AVERAGE(OFFSET($GD$3,0,0,'Données projet'!$E$17+1,1))-AVERAGE(OFFSET($H$3,0,0,'Données projet'!$E$17+1,1))</f>
        <v>218.89895999738746</v>
      </c>
      <c r="GF40" s="62">
        <f t="shared" si="50"/>
        <v>145.64042897395763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12.1525</v>
      </c>
      <c r="GU40" s="13">
        <f>IF('Données projet'!$A$270&gt;35,GU39+GT40-HC39,IF(A40&lt;'Données projet'!$A$270,$GR$205^A40,IF(A40='Données projet'!$A$270,'Données projet'!$B$270,GU39+GT40-HC39)))</f>
        <v>142.64000000000001</v>
      </c>
      <c r="GV40" s="18">
        <f>GU40*VLOOKUP('Données projet'!$B$18,Paramètres!$A$1:$I$89,3,0)*VLOOKUP('Données projet'!$B$18,Paramètres!$A$1:$I$89,5,0)</f>
        <v>153.53769600000001</v>
      </c>
      <c r="GW40" s="14">
        <f t="shared" si="51"/>
        <v>39.38144576919116</v>
      </c>
      <c r="GX40" s="22">
        <f t="shared" si="28"/>
        <v>336.00083858134127</v>
      </c>
      <c r="GY40" s="62">
        <f t="shared" si="29"/>
        <v>629.33417191467458</v>
      </c>
      <c r="GZ40" s="62">
        <f ca="1">AVERAGE(OFFSET($GY$3,0,0,'Données projet'!$E$18+1,1))-AVERAGE(OFFSET($H$3,0,0,'Données projet'!$E$18+1,1))</f>
        <v>331.3579800635751</v>
      </c>
      <c r="HA40" s="62">
        <f t="shared" si="52"/>
        <v>209.40702003535273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21.518750000000004</v>
      </c>
      <c r="N41" s="14">
        <f>IF('Données projet'!$A$36&gt;35,N40+M41-V40,IF(A41&lt;'Données projet'!$A$36,$K$205^A41,IF(A41='Données projet'!$A$36,'Données projet'!$B$36,N40+M41-V40)))</f>
        <v>280.55375000000004</v>
      </c>
      <c r="O41" s="14">
        <f>N41*VLOOKUP('Données projet'!$B$9,Paramètres!$A$1:$I$89,3,0)*VLOOKUP('Données projet'!$B$9,Paramètres!$A$1:$I$89,5,0)</f>
        <v>253.84503300000003</v>
      </c>
      <c r="P41" s="14">
        <f t="shared" si="33"/>
        <v>61.408563977856375</v>
      </c>
      <c r="Q41" s="22">
        <f t="shared" si="53"/>
        <v>549.06668140309989</v>
      </c>
      <c r="R41" s="62">
        <f t="shared" si="0"/>
        <v>842.40001473643315</v>
      </c>
      <c r="S41" s="62">
        <f ca="1">AVERAGE(OFFSET($R$3,0,0,'Données projet'!$E$9+1,1))-AVERAGE(OFFSET($H$3,0,0,'Données projet'!$E$9+1,1))</f>
        <v>2472.5049373954762</v>
      </c>
      <c r="T41" s="62">
        <f t="shared" si="34"/>
        <v>286.98388307318311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21.518750000000004</v>
      </c>
      <c r="AI41" s="14">
        <f>IF('Données projet'!$A$62&gt;35,AI40+AH41-AQ40,IF(A41&lt;'Données projet'!$A$62,$AF$205^A41,IF(A41='Données projet'!$A$62,'Données projet'!$B$62,AI40+AH41-AQ40)))</f>
        <v>280.55375000000004</v>
      </c>
      <c r="AJ41" s="14">
        <f>AI41*VLOOKUP('Données projet'!$B$10,Paramètres!$A$1:$I$89,3,0)*VLOOKUP('Données projet'!$B$10,Paramètres!$A$1:$I$89,5,0)</f>
        <v>284.48150250000003</v>
      </c>
      <c r="AK41" s="14">
        <f t="shared" si="35"/>
        <v>67.913202190147956</v>
      </c>
      <c r="AL41" s="22">
        <f t="shared" si="4"/>
        <v>613.75411066867434</v>
      </c>
      <c r="AM41" s="62">
        <f t="shared" si="5"/>
        <v>907.08744400200771</v>
      </c>
      <c r="AN41" s="62">
        <f ca="1">AVERAGE(OFFSET($AM$3,0,0,'Données projet'!$E$10+1,1))-AVERAGE(OFFSET($H$3,0,0,'Données projet'!$E$10+1,1))</f>
        <v>2761.1400657295467</v>
      </c>
      <c r="AO41" s="62">
        <f t="shared" si="36"/>
        <v>316.41877504316409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21.518750000000004</v>
      </c>
      <c r="BD41" s="13">
        <f>IF('Données projet'!$A$88&gt;35,BD40+BC41-BL40,IF(A41&lt;'Données projet'!$A$88,$BA$205^A41,IF(A41='Données projet'!$A$88,'Données projet'!$B$88,BD40+BC41-BL40)))</f>
        <v>280.55375000000004</v>
      </c>
      <c r="BE41" s="14">
        <f>BD41*VLOOKUP('Données projet'!$B$11,Paramètres!$A$1:$I$89,3,0)*VLOOKUP('Données projet'!$B$11,Paramètres!$A$1:$I$89,5,0)</f>
        <v>293.23477950000006</v>
      </c>
      <c r="BF41" s="14">
        <f t="shared" si="37"/>
        <v>69.756336208088115</v>
      </c>
      <c r="BG41" s="22">
        <f t="shared" si="7"/>
        <v>632.20952652492019</v>
      </c>
      <c r="BH41" s="62">
        <f t="shared" si="8"/>
        <v>925.54285985825345</v>
      </c>
      <c r="BI41" s="62">
        <f ca="1">AVERAGE(OFFSET($BH$3,0,0,'Données projet'!$E$11+1,1))-AVERAGE(OFFSET($H$3,0,0,'Données projet'!$E$11+1,1))</f>
        <v>2843.5086223152098</v>
      </c>
      <c r="BJ41" s="62">
        <f t="shared" si="38"/>
        <v>324.81562437645522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21.518750000000004</v>
      </c>
      <c r="BY41" s="13">
        <f>IF('Données projet'!$A$114&gt;35,BY40+BX41-CG40,IF(A41&lt;'Données projet'!$A$114,$BV$205^A41,IF(A41='Données projet'!$A$114,'Données projet'!$B$114,BY40+BX41-CG40)))</f>
        <v>280.55375000000004</v>
      </c>
      <c r="BZ41" s="14">
        <f>BY41*VLOOKUP('Données projet'!$B$12,Paramètres!$A$1:$I$89,3,0)*VLOOKUP('Données projet'!$B$12,Paramètres!$A$1:$I$89,5,0)</f>
        <v>280.10486400000002</v>
      </c>
      <c r="CA41" s="14">
        <f t="shared" si="39"/>
        <v>66.989169175826035</v>
      </c>
      <c r="CB41" s="22">
        <f t="shared" si="10"/>
        <v>604.52210778123037</v>
      </c>
      <c r="CC41" s="62">
        <f t="shared" si="11"/>
        <v>897.85544111456375</v>
      </c>
      <c r="CD41" s="62">
        <f ca="1">AVERAGE(OFFSET($CC$3,0,0,'Données projet'!$E$12+1,1))-AVERAGE(OFFSET($H$3,0,0,'Données projet'!$E$12+1,1))</f>
        <v>2719.939926994799</v>
      </c>
      <c r="CE41" s="62">
        <f t="shared" si="40"/>
        <v>312.21824046329749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24.994999999999997</v>
      </c>
      <c r="CT41" s="13">
        <f>IF('Données projet'!$A$140&gt;35,CT40+CS41-DB40,IF(A41&lt;'Données projet'!$A$140,$CQ$205^A41,IF(A41='Données projet'!$A$140,'Données projet'!$B$140,CT40+CS41-DB40)))</f>
        <v>353.65500000000003</v>
      </c>
      <c r="CU41" s="18">
        <f>CT41*VLOOKUP('Données projet'!$B$13,Paramètres!$A$1:$I$89,3,0)*VLOOKUP('Données projet'!$B$13,Paramètres!$A$1:$I$89,5,0)</f>
        <v>308.95300800000007</v>
      </c>
      <c r="CV41" s="14">
        <f t="shared" si="41"/>
        <v>73.050133537143452</v>
      </c>
      <c r="CW41" s="22">
        <f t="shared" si="13"/>
        <v>665.3221381771915</v>
      </c>
      <c r="CX41" s="62">
        <f t="shared" si="14"/>
        <v>958.65547151052488</v>
      </c>
      <c r="CY41" s="62">
        <f ca="1">AVERAGE(OFFSET($CX$3,0,0,'Données projet'!$E$13+1,1))-AVERAGE(OFFSET($H$3,0,0,'Données projet'!$E$13+1,1))</f>
        <v>1036.0130072090849</v>
      </c>
      <c r="CZ41" s="62">
        <f t="shared" si="42"/>
        <v>346.56593355696174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22.125</v>
      </c>
      <c r="DO41" s="13">
        <f>IF('Données projet'!$A$166&gt;35,DO40+DN41-DW40,IF(A41&lt;'Données projet'!$A$166,$DL$205^A41,IF(A41='Données projet'!$A$166,'Données projet'!$B$166,DO40+DN41-DW40)))</f>
        <v>565.37500000000011</v>
      </c>
      <c r="DP41" s="18">
        <f>DO41*VLOOKUP('Données projet'!$B$14,Paramètres!$A$1:$I$89,3,0)*VLOOKUP('Données projet'!$B$14,Paramètres!$A$1:$I$89,5,0)</f>
        <v>316.04462500000005</v>
      </c>
      <c r="DQ41" s="14">
        <f t="shared" si="43"/>
        <v>74.529766181865554</v>
      </c>
      <c r="DR41" s="22">
        <f t="shared" si="16"/>
        <v>680.25039797508259</v>
      </c>
      <c r="DS41" s="62">
        <f t="shared" si="17"/>
        <v>973.58373130841596</v>
      </c>
      <c r="DT41" s="62">
        <f ca="1">AVERAGE(OFFSET($DS$3,0,0,'Données projet'!$E$14+1,1))-AVERAGE(OFFSET($H$3,0,0,'Données projet'!$E$14+1,1))</f>
        <v>446.48069057792151</v>
      </c>
      <c r="DU41" s="62">
        <f t="shared" si="44"/>
        <v>561.75656782935948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16.655887490632235</v>
      </c>
      <c r="EC41" s="23">
        <f>EXP(-LN(2)/2)*EC40+(1-EXP(-LN(2)/2))/(LN(2)/2)*DW41*DZ41*VLOOKUP('Données projet'!$B$14,Paramètres!$A$1:$I$89,3,0)*0.475*44/12</f>
        <v>5.5836272469878372</v>
      </c>
      <c r="ED41" s="24">
        <f t="shared" si="18"/>
        <v>22.239514737620073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12.1525</v>
      </c>
      <c r="EJ41" s="13">
        <f>IF('Données projet'!$A$192&gt;35,EJ40+EI41-ER40,IF(A41&lt;'Données projet'!$A$192,$EG$205^A41,IF(A41='Données projet'!$A$192,'Données projet'!$B$192,EJ40+EI41-ER40)))</f>
        <v>154.79250000000002</v>
      </c>
      <c r="EK41" s="18">
        <f>EJ41*VLOOKUP('Données projet'!$B$15,Paramètres!$A$1:$I$89,3,0)*VLOOKUP('Données projet'!$B$15,Paramètres!$A$1:$I$89,5,0)</f>
        <v>149.71530600000003</v>
      </c>
      <c r="EL41" s="14">
        <f t="shared" si="45"/>
        <v>38.513880736121443</v>
      </c>
      <c r="EM41" s="22">
        <f t="shared" si="19"/>
        <v>327.83250023207825</v>
      </c>
      <c r="EN41" s="62">
        <f t="shared" si="20"/>
        <v>621.1658335654115</v>
      </c>
      <c r="EO41" s="62">
        <f ca="1">AVERAGE(OFFSET($EN$3,0,0,'Données projet'!$E$15+1,1))-AVERAGE(OFFSET($H$3,0,0,'Données projet'!$E$15+1,1))</f>
        <v>301.18531163828169</v>
      </c>
      <c r="EP41" s="62">
        <f t="shared" si="46"/>
        <v>192.30530273268101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12.1525</v>
      </c>
      <c r="FE41" s="13">
        <f>IF('Données projet'!$A$218&gt;35,FE40+FD41-FM40,IF(A41&lt;'Données projet'!$A$218,$FB$205^A41,IF(A41='Données projet'!$A$218,'Données projet'!$B$218,FE40+FD41-FM40)))</f>
        <v>154.79250000000002</v>
      </c>
      <c r="FF41" s="18">
        <f>FE41*VLOOKUP('Données projet'!$B$16,Paramètres!$A$1:$I$89,3,0)*VLOOKUP('Données projet'!$B$16,Paramètres!$A$1:$I$89,5,0)</f>
        <v>120.73815000000002</v>
      </c>
      <c r="FG41" s="14">
        <f t="shared" si="47"/>
        <v>31.847099166210196</v>
      </c>
      <c r="FH41" s="22">
        <f t="shared" si="22"/>
        <v>265.75264229781612</v>
      </c>
      <c r="FI41" s="62">
        <f t="shared" si="23"/>
        <v>559.08597563114949</v>
      </c>
      <c r="FJ41" s="62">
        <f ca="1">AVERAGE(OFFSET($FI$3,0,0,'Données projet'!$E$16+1,1))-AVERAGE(OFFSET($H$3,0,0,'Données projet'!$E$16+1,1))</f>
        <v>249.2899297828755</v>
      </c>
      <c r="FK41" s="62">
        <f t="shared" si="48"/>
        <v>162.88011837476813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12.1525</v>
      </c>
      <c r="FZ41" s="13">
        <f>IF('Données projet'!$A$244&gt;35,FZ40+FY41-GH40,IF(A41&lt;'Données projet'!$A$244,$FW$205^A41,IF(A41='Données projet'!$A$244,'Données projet'!$B$244,FZ40+FY41-GH40)))</f>
        <v>154.79250000000002</v>
      </c>
      <c r="GA41" s="18">
        <f>FZ41*VLOOKUP('Données projet'!$B$17,Paramètres!$A$1:$I$89,3,0)*VLOOKUP('Données projet'!$B$17,Paramètres!$A$1:$I$89,5,0)</f>
        <v>103.83480900000001</v>
      </c>
      <c r="GB41" s="14">
        <f t="shared" si="49"/>
        <v>27.873577428333089</v>
      </c>
      <c r="GC41" s="22">
        <f t="shared" si="25"/>
        <v>229.3921063626801</v>
      </c>
      <c r="GD41" s="62">
        <f t="shared" si="26"/>
        <v>522.72543969601338</v>
      </c>
      <c r="GE41" s="62">
        <f ca="1">AVERAGE(OFFSET($GD$3,0,0,'Données projet'!$E$17+1,1))-AVERAGE(OFFSET($H$3,0,0,'Données projet'!$E$17+1,1))</f>
        <v>218.89895999738746</v>
      </c>
      <c r="GF41" s="62">
        <f t="shared" si="50"/>
        <v>145.64042897395763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12.1525</v>
      </c>
      <c r="GU41" s="13">
        <f>IF('Données projet'!$A$270&gt;35,GU40+GT41-HC40,IF(A41&lt;'Données projet'!$A$270,$GR$205^A41,IF(A41='Données projet'!$A$270,'Données projet'!$B$270,GU40+GT41-HC40)))</f>
        <v>154.79250000000002</v>
      </c>
      <c r="GV41" s="18">
        <f>GU41*VLOOKUP('Données projet'!$B$18,Paramètres!$A$1:$I$89,3,0)*VLOOKUP('Données projet'!$B$18,Paramètres!$A$1:$I$89,5,0)</f>
        <v>166.61864700000001</v>
      </c>
      <c r="GW41" s="14">
        <f t="shared" si="51"/>
        <v>42.331829763080151</v>
      </c>
      <c r="GX41" s="22">
        <f t="shared" si="28"/>
        <v>363.92208036236462</v>
      </c>
      <c r="GY41" s="62">
        <f t="shared" si="29"/>
        <v>657.25541369569794</v>
      </c>
      <c r="GZ41" s="62">
        <f ca="1">AVERAGE(OFFSET($GY$3,0,0,'Données projet'!$E$18+1,1))-AVERAGE(OFFSET($H$3,0,0,'Données projet'!$E$18+1,1))</f>
        <v>331.3579800635751</v>
      </c>
      <c r="HA41" s="62">
        <f t="shared" si="52"/>
        <v>209.40702003535273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21.518750000000004</v>
      </c>
      <c r="N42" s="14">
        <f>IF('Données projet'!$A$36&gt;35,N41+M42-V41,IF(A42&lt;'Données projet'!$A$36,$K$205^A42,IF(A42='Données projet'!$A$36,'Données projet'!$B$36,N41+M42-V41)))</f>
        <v>302.07250000000005</v>
      </c>
      <c r="O42" s="14">
        <f>N42*VLOOKUP('Données projet'!$B$9,Paramètres!$A$1:$I$89,3,0)*VLOOKUP('Données projet'!$B$9,Paramètres!$A$1:$I$89,5,0)</f>
        <v>273.31519800000001</v>
      </c>
      <c r="P42" s="14">
        <f t="shared" si="33"/>
        <v>65.552337479160926</v>
      </c>
      <c r="Q42" s="22">
        <f t="shared" si="53"/>
        <v>590.19429095953865</v>
      </c>
      <c r="R42" s="62">
        <f t="shared" si="0"/>
        <v>883.52762429287191</v>
      </c>
      <c r="S42" s="62">
        <f ca="1">AVERAGE(OFFSET($R$3,0,0,'Données projet'!$E$9+1,1))-AVERAGE(OFFSET($H$3,0,0,'Données projet'!$E$9+1,1))</f>
        <v>2472.5049373954762</v>
      </c>
      <c r="T42" s="62">
        <f t="shared" si="34"/>
        <v>286.98388307318311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21.518750000000004</v>
      </c>
      <c r="AI42" s="14">
        <f>IF('Données projet'!$A$62&gt;35,AI41+AH42-AQ41,IF(A42&lt;'Données projet'!$A$62,$AF$205^A42,IF(A42='Données projet'!$A$62,'Données projet'!$B$62,AI41+AH42-AQ41)))</f>
        <v>302.07250000000005</v>
      </c>
      <c r="AJ42" s="14">
        <f>AI42*VLOOKUP('Données projet'!$B$10,Paramètres!$A$1:$I$89,3,0)*VLOOKUP('Données projet'!$B$10,Paramètres!$A$1:$I$89,5,0)</f>
        <v>306.30151500000005</v>
      </c>
      <c r="AK42" s="14">
        <f t="shared" si="35"/>
        <v>72.495900585859587</v>
      </c>
      <c r="AL42" s="22">
        <f t="shared" si="4"/>
        <v>659.73883214537216</v>
      </c>
      <c r="AM42" s="62">
        <f t="shared" si="5"/>
        <v>953.07216547870553</v>
      </c>
      <c r="AN42" s="62">
        <f ca="1">AVERAGE(OFFSET($AM$3,0,0,'Données projet'!$E$10+1,1))-AVERAGE(OFFSET($H$3,0,0,'Données projet'!$E$10+1,1))</f>
        <v>2761.1400657295467</v>
      </c>
      <c r="AO42" s="62">
        <f t="shared" si="36"/>
        <v>316.41877504316409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21.518750000000004</v>
      </c>
      <c r="BD42" s="13">
        <f>IF('Données projet'!$A$88&gt;35,BD41+BC42-BL41,IF(A42&lt;'Données projet'!$A$88,$BA$205^A42,IF(A42='Données projet'!$A$88,'Données projet'!$B$88,BD41+BC42-BL41)))</f>
        <v>302.07250000000005</v>
      </c>
      <c r="BE42" s="14">
        <f>BD42*VLOOKUP('Données projet'!$B$11,Paramètres!$A$1:$I$89,3,0)*VLOOKUP('Données projet'!$B$11,Paramètres!$A$1:$I$89,5,0)</f>
        <v>315.72617700000006</v>
      </c>
      <c r="BF42" s="14">
        <f t="shared" si="37"/>
        <v>74.463406994361492</v>
      </c>
      <c r="BG42" s="22">
        <f t="shared" si="7"/>
        <v>679.58019212351303</v>
      </c>
      <c r="BH42" s="62">
        <f t="shared" si="8"/>
        <v>972.9135254568464</v>
      </c>
      <c r="BI42" s="62">
        <f ca="1">AVERAGE(OFFSET($BH$3,0,0,'Données projet'!$E$11+1,1))-AVERAGE(OFFSET($H$3,0,0,'Données projet'!$E$11+1,1))</f>
        <v>2843.5086223152098</v>
      </c>
      <c r="BJ42" s="62">
        <f t="shared" si="38"/>
        <v>324.81562437645522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21.518750000000004</v>
      </c>
      <c r="BY42" s="13">
        <f>IF('Données projet'!$A$114&gt;35,BY41+BX42-CG41,IF(A42&lt;'Données projet'!$A$114,$BV$205^A42,IF(A42='Données projet'!$A$114,'Données projet'!$B$114,BY41+BX42-CG41)))</f>
        <v>302.07250000000005</v>
      </c>
      <c r="BZ42" s="14">
        <f>BY42*VLOOKUP('Données projet'!$B$12,Paramètres!$A$1:$I$89,3,0)*VLOOKUP('Données projet'!$B$12,Paramètres!$A$1:$I$89,5,0)</f>
        <v>301.58918400000005</v>
      </c>
      <c r="CA42" s="14">
        <f t="shared" si="39"/>
        <v>71.509514973283416</v>
      </c>
      <c r="CB42" s="22">
        <f t="shared" si="10"/>
        <v>649.81356737846875</v>
      </c>
      <c r="CC42" s="62">
        <f t="shared" si="11"/>
        <v>943.14690071180212</v>
      </c>
      <c r="CD42" s="62">
        <f ca="1">AVERAGE(OFFSET($CC$3,0,0,'Données projet'!$E$12+1,1))-AVERAGE(OFFSET($H$3,0,0,'Données projet'!$E$12+1,1))</f>
        <v>2719.939926994799</v>
      </c>
      <c r="CE42" s="62">
        <f t="shared" si="40"/>
        <v>312.21824046329749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24.994999999999997</v>
      </c>
      <c r="CT42" s="13">
        <f>IF('Données projet'!$A$140&gt;35,CT41+CS42-DB41,IF(A42&lt;'Données projet'!$A$140,$CQ$205^A42,IF(A42='Données projet'!$A$140,'Données projet'!$B$140,CT41+CS42-DB41)))</f>
        <v>378.65000000000003</v>
      </c>
      <c r="CU42" s="18">
        <f>CT42*VLOOKUP('Données projet'!$B$13,Paramètres!$A$1:$I$89,3,0)*VLOOKUP('Données projet'!$B$13,Paramètres!$A$1:$I$89,5,0)</f>
        <v>330.7886400000001</v>
      </c>
      <c r="CV42" s="14">
        <f t="shared" si="41"/>
        <v>77.593789643381839</v>
      </c>
      <c r="CW42" s="22">
        <f t="shared" si="13"/>
        <v>711.2660649622236</v>
      </c>
      <c r="CX42" s="62">
        <f t="shared" si="14"/>
        <v>1004.599398295557</v>
      </c>
      <c r="CY42" s="62">
        <f ca="1">AVERAGE(OFFSET($CX$3,0,0,'Données projet'!$E$13+1,1))-AVERAGE(OFFSET($H$3,0,0,'Données projet'!$E$13+1,1))</f>
        <v>1036.0130072090849</v>
      </c>
      <c r="CZ42" s="62">
        <f t="shared" si="42"/>
        <v>346.56593355696174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22.125</v>
      </c>
      <c r="DO42" s="13">
        <f>IF('Données projet'!$A$166&gt;35,DO41+DN42-DW41,IF(A42&lt;'Données projet'!$A$166,$DL$205^A42,IF(A42='Données projet'!$A$166,'Données projet'!$B$166,DO41+DN42-DW41)))</f>
        <v>587.50000000000011</v>
      </c>
      <c r="DP42" s="18">
        <f>DO42*VLOOKUP('Données projet'!$B$14,Paramètres!$A$1:$I$89,3,0)*VLOOKUP('Données projet'!$B$14,Paramètres!$A$1:$I$89,5,0)</f>
        <v>328.41250000000008</v>
      </c>
      <c r="DQ42" s="14">
        <f t="shared" si="43"/>
        <v>77.101085605228263</v>
      </c>
      <c r="DR42" s="22">
        <f t="shared" si="16"/>
        <v>706.26949492910592</v>
      </c>
      <c r="DS42" s="62">
        <f t="shared" si="17"/>
        <v>999.60282826243929</v>
      </c>
      <c r="DT42" s="62">
        <f ca="1">AVERAGE(OFFSET($DS$3,0,0,'Données projet'!$E$14+1,1))-AVERAGE(OFFSET($H$3,0,0,'Données projet'!$E$14+1,1))</f>
        <v>446.48069057792151</v>
      </c>
      <c r="DU42" s="62">
        <f t="shared" si="44"/>
        <v>561.75656782935948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16.200431371305839</v>
      </c>
      <c r="EC42" s="23">
        <f>EXP(-LN(2)/2)*EC41+(1-EXP(-LN(2)/2))/(LN(2)/2)*DW42*DZ42*VLOOKUP('Données projet'!$B$14,Paramètres!$A$1:$I$89,3,0)*0.475*44/12</f>
        <v>3.9482206899630734</v>
      </c>
      <c r="ED42" s="24">
        <f t="shared" si="18"/>
        <v>20.148652061268912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12.1525</v>
      </c>
      <c r="EJ42" s="13">
        <f>IF('Données projet'!$A$192&gt;35,EJ41+EI42-ER41,IF(A42&lt;'Données projet'!$A$192,$EG$205^A42,IF(A42='Données projet'!$A$192,'Données projet'!$B$192,EJ41+EI42-ER41)))</f>
        <v>166.94500000000002</v>
      </c>
      <c r="EK42" s="18">
        <f>EJ42*VLOOKUP('Données projet'!$B$15,Paramètres!$A$1:$I$89,3,0)*VLOOKUP('Données projet'!$B$15,Paramètres!$A$1:$I$89,5,0)</f>
        <v>161.46920400000002</v>
      </c>
      <c r="EL42" s="14">
        <f t="shared" si="45"/>
        <v>41.173721973462982</v>
      </c>
      <c r="EM42" s="22">
        <f t="shared" si="19"/>
        <v>352.9364294037814</v>
      </c>
      <c r="EN42" s="62">
        <f t="shared" si="20"/>
        <v>646.26976273711466</v>
      </c>
      <c r="EO42" s="62">
        <f ca="1">AVERAGE(OFFSET($EN$3,0,0,'Données projet'!$E$15+1,1))-AVERAGE(OFFSET($H$3,0,0,'Données projet'!$E$15+1,1))</f>
        <v>301.18531163828169</v>
      </c>
      <c r="EP42" s="62">
        <f t="shared" si="46"/>
        <v>192.30530273268101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12.1525</v>
      </c>
      <c r="FE42" s="13">
        <f>IF('Données projet'!$A$218&gt;35,FE41+FD42-FM41,IF(A42&lt;'Données projet'!$A$218,$FB$205^A42,IF(A42='Données projet'!$A$218,'Données projet'!$B$218,FE41+FD42-FM41)))</f>
        <v>166.94500000000002</v>
      </c>
      <c r="FF42" s="18">
        <f>FE42*VLOOKUP('Données projet'!$B$16,Paramètres!$A$1:$I$89,3,0)*VLOOKUP('Données projet'!$B$16,Paramètres!$A$1:$I$89,5,0)</f>
        <v>130.21710000000002</v>
      </c>
      <c r="FG42" s="14">
        <f t="shared" si="47"/>
        <v>34.046519895384961</v>
      </c>
      <c r="FH42" s="22">
        <f t="shared" si="22"/>
        <v>286.09247131779551</v>
      </c>
      <c r="FI42" s="62">
        <f t="shared" si="23"/>
        <v>579.42580465112883</v>
      </c>
      <c r="FJ42" s="62">
        <f ca="1">AVERAGE(OFFSET($FI$3,0,0,'Données projet'!$E$16+1,1))-AVERAGE(OFFSET($H$3,0,0,'Données projet'!$E$16+1,1))</f>
        <v>249.2899297828755</v>
      </c>
      <c r="FK42" s="62">
        <f t="shared" si="48"/>
        <v>162.88011837476813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12.1525</v>
      </c>
      <c r="FZ42" s="13">
        <f>IF('Données projet'!$A$244&gt;35,FZ41+FY42-GH41,IF(A42&lt;'Données projet'!$A$244,$FW$205^A42,IF(A42='Données projet'!$A$244,'Données projet'!$B$244,FZ41+FY42-GH41)))</f>
        <v>166.94500000000002</v>
      </c>
      <c r="GA42" s="18">
        <f>FZ42*VLOOKUP('Données projet'!$B$17,Paramètres!$A$1:$I$89,3,0)*VLOOKUP('Données projet'!$B$17,Paramètres!$A$1:$I$89,5,0)</f>
        <v>111.98670600000003</v>
      </c>
      <c r="GB42" s="14">
        <f t="shared" si="49"/>
        <v>29.798579252586517</v>
      </c>
      <c r="GC42" s="22">
        <f t="shared" si="25"/>
        <v>246.94270514825484</v>
      </c>
      <c r="GD42" s="62">
        <f t="shared" si="26"/>
        <v>540.2760384815881</v>
      </c>
      <c r="GE42" s="62">
        <f ca="1">AVERAGE(OFFSET($GD$3,0,0,'Données projet'!$E$17+1,1))-AVERAGE(OFFSET($H$3,0,0,'Données projet'!$E$17+1,1))</f>
        <v>218.89895999738746</v>
      </c>
      <c r="GF42" s="62">
        <f t="shared" si="50"/>
        <v>145.64042897395763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12.1525</v>
      </c>
      <c r="GU42" s="13">
        <f>IF('Données projet'!$A$270&gt;35,GU41+GT42-HC41,IF(A42&lt;'Données projet'!$A$270,$GR$205^A42,IF(A42='Données projet'!$A$270,'Données projet'!$B$270,GU41+GT42-HC41)))</f>
        <v>166.94500000000002</v>
      </c>
      <c r="GV42" s="18">
        <f>GU42*VLOOKUP('Données projet'!$B$18,Paramètres!$A$1:$I$89,3,0)*VLOOKUP('Données projet'!$B$18,Paramètres!$A$1:$I$89,5,0)</f>
        <v>179.69959800000001</v>
      </c>
      <c r="GW42" s="14">
        <f t="shared" si="51"/>
        <v>45.255345760530936</v>
      </c>
      <c r="GX42" s="22">
        <f t="shared" si="28"/>
        <v>391.79652704959136</v>
      </c>
      <c r="GY42" s="62">
        <f t="shared" si="29"/>
        <v>685.12986038292468</v>
      </c>
      <c r="GZ42" s="62">
        <f ca="1">AVERAGE(OFFSET($GY$3,0,0,'Données projet'!$E$18+1,1))-AVERAGE(OFFSET($H$3,0,0,'Données projet'!$E$18+1,1))</f>
        <v>331.3579800635751</v>
      </c>
      <c r="HA42" s="62">
        <f t="shared" si="52"/>
        <v>209.40702003535273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21.518750000000004</v>
      </c>
      <c r="N43" s="14">
        <f>IF('Données projet'!$A$36&gt;35,N42+M43-V42,IF(A43&lt;'Données projet'!$A$36,$K$205^A43,IF(A43='Données projet'!$A$36,'Données projet'!$B$36,N42+M43-V42)))</f>
        <v>323.59125000000006</v>
      </c>
      <c r="O43" s="14">
        <f>N43*VLOOKUP('Données projet'!$B$9,Paramètres!$A$1:$I$89,3,0)*VLOOKUP('Données projet'!$B$9,Paramètres!$A$1:$I$89,5,0)</f>
        <v>292.78536300000002</v>
      </c>
      <c r="P43" s="14">
        <f t="shared" si="33"/>
        <v>69.661862347625274</v>
      </c>
      <c r="Q43" s="22">
        <f t="shared" si="53"/>
        <v>631.26225081378072</v>
      </c>
      <c r="R43" s="62">
        <f t="shared" si="0"/>
        <v>924.5955841471141</v>
      </c>
      <c r="S43" s="62">
        <f ca="1">AVERAGE(OFFSET($R$3,0,0,'Données projet'!$E$9+1,1))-AVERAGE(OFFSET($H$3,0,0,'Données projet'!$E$9+1,1))</f>
        <v>2472.5049373954762</v>
      </c>
      <c r="T43" s="62">
        <f t="shared" si="34"/>
        <v>286.98388307318311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21.518750000000004</v>
      </c>
      <c r="AI43" s="14">
        <f>IF('Données projet'!$A$62&gt;35,AI42+AH43-AQ42,IF(A43&lt;'Données projet'!$A$62,$AF$205^A43,IF(A43='Données projet'!$A$62,'Données projet'!$B$62,AI42+AH43-AQ42)))</f>
        <v>323.59125000000006</v>
      </c>
      <c r="AJ43" s="14">
        <f>AI43*VLOOKUP('Données projet'!$B$10,Paramètres!$A$1:$I$89,3,0)*VLOOKUP('Données projet'!$B$10,Paramètres!$A$1:$I$89,5,0)</f>
        <v>328.12152750000007</v>
      </c>
      <c r="AK43" s="14">
        <f t="shared" si="35"/>
        <v>77.040722597950534</v>
      </c>
      <c r="AL43" s="22">
        <f t="shared" si="4"/>
        <v>705.65758558726395</v>
      </c>
      <c r="AM43" s="62">
        <f t="shared" si="5"/>
        <v>998.99091892059732</v>
      </c>
      <c r="AN43" s="62">
        <f ca="1">AVERAGE(OFFSET($AM$3,0,0,'Données projet'!$E$10+1,1))-AVERAGE(OFFSET($H$3,0,0,'Données projet'!$E$10+1,1))</f>
        <v>2761.1400657295467</v>
      </c>
      <c r="AO43" s="62">
        <f t="shared" si="36"/>
        <v>316.41877504316409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21.518750000000004</v>
      </c>
      <c r="BD43" s="13">
        <f>IF('Données projet'!$A$88&gt;35,BD42+BC43-BL42,IF(A43&lt;'Données projet'!$A$88,$BA$205^A43,IF(A43='Données projet'!$A$88,'Données projet'!$B$88,BD42+BC43-BL42)))</f>
        <v>323.59125000000006</v>
      </c>
      <c r="BE43" s="14">
        <f>BD43*VLOOKUP('Données projet'!$B$11,Paramètres!$A$1:$I$89,3,0)*VLOOKUP('Données projet'!$B$11,Paramètres!$A$1:$I$89,5,0)</f>
        <v>338.21757450000013</v>
      </c>
      <c r="BF43" s="14">
        <f t="shared" si="37"/>
        <v>79.131573448855832</v>
      </c>
      <c r="BG43" s="22">
        <f t="shared" si="7"/>
        <v>726.8830993442574</v>
      </c>
      <c r="BH43" s="62">
        <f t="shared" si="8"/>
        <v>1020.2164326775908</v>
      </c>
      <c r="BI43" s="62">
        <f ca="1">AVERAGE(OFFSET($BH$3,0,0,'Données projet'!$E$11+1,1))-AVERAGE(OFFSET($H$3,0,0,'Données projet'!$E$11+1,1))</f>
        <v>2843.5086223152098</v>
      </c>
      <c r="BJ43" s="62">
        <f t="shared" si="38"/>
        <v>324.81562437645522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21.518750000000004</v>
      </c>
      <c r="BY43" s="13">
        <f>IF('Données projet'!$A$114&gt;35,BY42+BX43-CG42,IF(A43&lt;'Données projet'!$A$114,$BV$205^A43,IF(A43='Données projet'!$A$114,'Données projet'!$B$114,BY42+BX43-CG42)))</f>
        <v>323.59125000000006</v>
      </c>
      <c r="BZ43" s="14">
        <f>BY43*VLOOKUP('Données projet'!$B$12,Paramètres!$A$1:$I$89,3,0)*VLOOKUP('Données projet'!$B$12,Paramètres!$A$1:$I$89,5,0)</f>
        <v>323.07350400000007</v>
      </c>
      <c r="CA43" s="14">
        <f t="shared" si="39"/>
        <v>75.992499736533901</v>
      </c>
      <c r="CB43" s="22">
        <f t="shared" si="10"/>
        <v>695.03995650779655</v>
      </c>
      <c r="CC43" s="62">
        <f t="shared" si="11"/>
        <v>988.37328984112992</v>
      </c>
      <c r="CD43" s="62">
        <f ca="1">AVERAGE(OFFSET($CC$3,0,0,'Données projet'!$E$12+1,1))-AVERAGE(OFFSET($H$3,0,0,'Données projet'!$E$12+1,1))</f>
        <v>2719.939926994799</v>
      </c>
      <c r="CE43" s="62">
        <f t="shared" si="40"/>
        <v>312.21824046329749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24.994999999999997</v>
      </c>
      <c r="CT43" s="13">
        <f>IF('Données projet'!$A$140&gt;35,CT42+CS43-DB42,IF(A43&lt;'Données projet'!$A$140,$CQ$205^A43,IF(A43='Données projet'!$A$140,'Données projet'!$B$140,CT42+CS43-DB42)))</f>
        <v>403.64500000000004</v>
      </c>
      <c r="CU43" s="18">
        <f>CT43*VLOOKUP('Données projet'!$B$13,Paramètres!$A$1:$I$89,3,0)*VLOOKUP('Données projet'!$B$13,Paramètres!$A$1:$I$89,5,0)</f>
        <v>352.62427200000008</v>
      </c>
      <c r="CV43" s="14">
        <f t="shared" si="41"/>
        <v>82.102640948770258</v>
      </c>
      <c r="CW43" s="22">
        <f t="shared" si="13"/>
        <v>757.14937338577499</v>
      </c>
      <c r="CX43" s="62">
        <f t="shared" si="14"/>
        <v>1050.4827067191084</v>
      </c>
      <c r="CY43" s="62">
        <f ca="1">AVERAGE(OFFSET($CX$3,0,0,'Données projet'!$E$13+1,1))-AVERAGE(OFFSET($H$3,0,0,'Données projet'!$E$13+1,1))</f>
        <v>1036.0130072090849</v>
      </c>
      <c r="CZ43" s="62">
        <f t="shared" si="42"/>
        <v>346.56593355696174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22.125</v>
      </c>
      <c r="DO43" s="13">
        <f>IF('Données projet'!$A$166&gt;35,DO42+DN43-DW42,IF(A43&lt;'Données projet'!$A$166,$DL$205^A43,IF(A43='Données projet'!$A$166,'Données projet'!$B$166,DO42+DN43-DW42)))</f>
        <v>609.62500000000011</v>
      </c>
      <c r="DP43" s="18">
        <f>DO43*VLOOKUP('Données projet'!$B$14,Paramètres!$A$1:$I$89,3,0)*VLOOKUP('Données projet'!$B$14,Paramètres!$A$1:$I$89,5,0)</f>
        <v>340.78037500000011</v>
      </c>
      <c r="DQ43" s="14">
        <f t="shared" si="43"/>
        <v>79.661155318539187</v>
      </c>
      <c r="DR43" s="22">
        <f t="shared" si="16"/>
        <v>732.26899863812253</v>
      </c>
      <c r="DS43" s="62">
        <f t="shared" si="17"/>
        <v>1025.6023319714559</v>
      </c>
      <c r="DT43" s="62">
        <f ca="1">AVERAGE(OFFSET($DS$3,0,0,'Données projet'!$E$14+1,1))-AVERAGE(OFFSET($H$3,0,0,'Données projet'!$E$14+1,1))</f>
        <v>446.48069057792151</v>
      </c>
      <c r="DU43" s="62">
        <f t="shared" si="44"/>
        <v>561.75656782935948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15.757429723513821</v>
      </c>
      <c r="EC43" s="23">
        <f>EXP(-LN(2)/2)*EC42+(1-EXP(-LN(2)/2))/(LN(2)/2)*DW43*DZ43*VLOOKUP('Données projet'!$B$14,Paramètres!$A$1:$I$89,3,0)*0.475*44/12</f>
        <v>2.791813623493919</v>
      </c>
      <c r="ED43" s="24">
        <f t="shared" si="18"/>
        <v>18.549243347007739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12.1525</v>
      </c>
      <c r="EJ43" s="13">
        <f>IF('Données projet'!$A$192&gt;35,EJ42+EI43-ER42,IF(A43&lt;'Données projet'!$A$192,$EG$205^A43,IF(A43='Données projet'!$A$192,'Données projet'!$B$192,EJ42+EI43-ER42)))</f>
        <v>179.09750000000003</v>
      </c>
      <c r="EK43" s="18">
        <f>EJ43*VLOOKUP('Données projet'!$B$15,Paramètres!$A$1:$I$89,3,0)*VLOOKUP('Données projet'!$B$15,Paramètres!$A$1:$I$89,5,0)</f>
        <v>173.22310200000004</v>
      </c>
      <c r="EL43" s="14">
        <f t="shared" si="45"/>
        <v>43.811100242432701</v>
      </c>
      <c r="EM43" s="22">
        <f t="shared" si="19"/>
        <v>378.00123557223696</v>
      </c>
      <c r="EN43" s="62">
        <f t="shared" si="20"/>
        <v>671.33456890557022</v>
      </c>
      <c r="EO43" s="62">
        <f ca="1">AVERAGE(OFFSET($EN$3,0,0,'Données projet'!$E$15+1,1))-AVERAGE(OFFSET($H$3,0,0,'Données projet'!$E$15+1,1))</f>
        <v>301.18531163828169</v>
      </c>
      <c r="EP43" s="62">
        <f t="shared" si="46"/>
        <v>192.30530273268101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12.1525</v>
      </c>
      <c r="FE43" s="13">
        <f>IF('Données projet'!$A$218&gt;35,FE42+FD43-FM42,IF(A43&lt;'Données projet'!$A$218,$FB$205^A43,IF(A43='Données projet'!$A$218,'Données projet'!$B$218,FE42+FD43-FM42)))</f>
        <v>179.09750000000003</v>
      </c>
      <c r="FF43" s="18">
        <f>FE43*VLOOKUP('Données projet'!$B$16,Paramètres!$A$1:$I$89,3,0)*VLOOKUP('Données projet'!$B$16,Paramètres!$A$1:$I$89,5,0)</f>
        <v>139.69605000000001</v>
      </c>
      <c r="FG43" s="14">
        <f t="shared" si="47"/>
        <v>36.227366012818948</v>
      </c>
      <c r="FH43" s="22">
        <f t="shared" si="22"/>
        <v>306.39994955565965</v>
      </c>
      <c r="FI43" s="62">
        <f t="shared" si="23"/>
        <v>599.73328288899302</v>
      </c>
      <c r="FJ43" s="62">
        <f ca="1">AVERAGE(OFFSET($FI$3,0,0,'Données projet'!$E$16+1,1))-AVERAGE(OFFSET($H$3,0,0,'Données projet'!$E$16+1,1))</f>
        <v>249.2899297828755</v>
      </c>
      <c r="FK43" s="62">
        <f t="shared" si="48"/>
        <v>162.88011837476813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12.1525</v>
      </c>
      <c r="FZ43" s="13">
        <f>IF('Données projet'!$A$244&gt;35,FZ42+FY43-GH42,IF(A43&lt;'Données projet'!$A$244,$FW$205^A43,IF(A43='Données projet'!$A$244,'Données projet'!$B$244,FZ42+FY43-GH42)))</f>
        <v>179.09750000000003</v>
      </c>
      <c r="GA43" s="18">
        <f>FZ43*VLOOKUP('Données projet'!$B$17,Paramètres!$A$1:$I$89,3,0)*VLOOKUP('Données projet'!$B$17,Paramètres!$A$1:$I$89,5,0)</f>
        <v>120.13860300000002</v>
      </c>
      <c r="GB43" s="14">
        <f t="shared" si="49"/>
        <v>31.707323995595075</v>
      </c>
      <c r="GC43" s="22">
        <f t="shared" si="25"/>
        <v>264.46498951732815</v>
      </c>
      <c r="GD43" s="62">
        <f t="shared" si="26"/>
        <v>557.79832285066141</v>
      </c>
      <c r="GE43" s="62">
        <f ca="1">AVERAGE(OFFSET($GD$3,0,0,'Données projet'!$E$17+1,1))-AVERAGE(OFFSET($H$3,0,0,'Données projet'!$E$17+1,1))</f>
        <v>218.89895999738746</v>
      </c>
      <c r="GF43" s="62">
        <f t="shared" si="50"/>
        <v>145.64042897395763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12.1525</v>
      </c>
      <c r="GU43" s="13">
        <f>IF('Données projet'!$A$270&gt;35,GU42+GT43-HC42,IF(A43&lt;'Données projet'!$A$270,$GR$205^A43,IF(A43='Données projet'!$A$270,'Données projet'!$B$270,GU42+GT43-HC42)))</f>
        <v>179.09750000000003</v>
      </c>
      <c r="GV43" s="18">
        <f>GU43*VLOOKUP('Données projet'!$B$18,Paramètres!$A$1:$I$89,3,0)*VLOOKUP('Données projet'!$B$18,Paramètres!$A$1:$I$89,5,0)</f>
        <v>192.78054900000004</v>
      </c>
      <c r="GW43" s="14">
        <f t="shared" si="51"/>
        <v>48.154171995877384</v>
      </c>
      <c r="GX43" s="22">
        <f t="shared" si="28"/>
        <v>419.62797240115316</v>
      </c>
      <c r="GY43" s="62">
        <f t="shared" si="29"/>
        <v>712.96130573448647</v>
      </c>
      <c r="GZ43" s="62">
        <f ca="1">AVERAGE(OFFSET($GY$3,0,0,'Données projet'!$E$18+1,1))-AVERAGE(OFFSET($H$3,0,0,'Données projet'!$E$18+1,1))</f>
        <v>331.3579800635751</v>
      </c>
      <c r="HA43" s="62">
        <f t="shared" si="52"/>
        <v>209.40702003535273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>
        <f>VLOOKUP(A44,'Données projet'!$A$35:$I$55,2,0)</f>
        <v>345.11</v>
      </c>
      <c r="L44" s="13">
        <f>VLOOKUP(A44,'Données projet'!$A$35:$I$55,9,0)</f>
        <v>21.518750000000004</v>
      </c>
      <c r="M44" s="13">
        <f t="array" ref="M44">INDEX(L:L,MIN(IF(ISNUMBER(L44:L240),ROW(L44:L240),"")))</f>
        <v>21.518750000000004</v>
      </c>
      <c r="N44" s="14">
        <f>IF('Données projet'!$A$36&gt;35,N43+M44-V43,IF(A44&lt;'Données projet'!$A$36,$K$205^A44,IF(A44='Données projet'!$A$36,'Données projet'!$B$36,N43+M44-V43)))</f>
        <v>345.11000000000007</v>
      </c>
      <c r="O44" s="14">
        <f>N44*VLOOKUP('Données projet'!$B$9,Paramètres!$A$1:$I$89,3,0)*VLOOKUP('Données projet'!$B$9,Paramètres!$A$1:$I$89,5,0)</f>
        <v>312.25552800000008</v>
      </c>
      <c r="P44" s="14">
        <f t="shared" si="33"/>
        <v>73.739675261697556</v>
      </c>
      <c r="Q44" s="22">
        <f t="shared" si="53"/>
        <v>672.27497901412335</v>
      </c>
      <c r="R44" s="62">
        <f t="shared" si="0"/>
        <v>965.6083123474566</v>
      </c>
      <c r="S44" s="62">
        <f ca="1">AVERAGE(OFFSET($R$3,0,0,'Données projet'!$E$9+1,1))-AVERAGE(OFFSET($H$3,0,0,'Données projet'!$E$9+1,1))</f>
        <v>2472.5049373954762</v>
      </c>
      <c r="T44" s="62">
        <f t="shared" si="34"/>
        <v>286.98388307318311</v>
      </c>
      <c r="U44" s="16">
        <f>IF(ISNA(VLOOKUP(A44,'Données projet'!$A$35:$I$55,3,0)),0,VLOOKUP(A44,'Données projet'!$A$35:$I$55,3,0))</f>
        <v>2</v>
      </c>
      <c r="V44" s="16">
        <f>IF(ISNA(VLOOKUP(A44,'Données projet'!$A$35:$I$55,4,0)),0,VLOOKUP(A44,'Données projet'!$A$35:$I$55,4,0))</f>
        <v>69.02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>
        <f>VLOOKUP(A44,'Données projet'!$A$61:$I$81,2,0)</f>
        <v>345.11</v>
      </c>
      <c r="AG44" s="13">
        <f>VLOOKUP(A44,'Données projet'!$A$61:$I$81,9,0)</f>
        <v>21.518750000000004</v>
      </c>
      <c r="AH44" s="13">
        <f t="array" ref="AH44">INDEX(AG:AG,MIN(IF(ISNUMBER(AG44:AG240),ROW(AG44:AG240),"")))</f>
        <v>21.518750000000004</v>
      </c>
      <c r="AI44" s="14">
        <f>IF('Données projet'!$A$62&gt;35,AI43+AH44-AQ43,IF(A44&lt;'Données projet'!$A$62,$AF$205^A44,IF(A44='Données projet'!$A$62,'Données projet'!$B$62,AI43+AH44-AQ43)))</f>
        <v>345.11000000000007</v>
      </c>
      <c r="AJ44" s="14">
        <f>AI44*VLOOKUP('Données projet'!$B$10,Paramètres!$A$1:$I$89,3,0)*VLOOKUP('Données projet'!$B$10,Paramètres!$A$1:$I$89,5,0)</f>
        <v>349.94154000000009</v>
      </c>
      <c r="AK44" s="14">
        <f t="shared" si="35"/>
        <v>81.550473599893024</v>
      </c>
      <c r="AL44" s="22">
        <f t="shared" si="4"/>
        <v>751.51525701981382</v>
      </c>
      <c r="AM44" s="62">
        <f t="shared" si="5"/>
        <v>1044.8485903531471</v>
      </c>
      <c r="AN44" s="62">
        <f ca="1">AVERAGE(OFFSET($AM$3,0,0,'Données projet'!$E$10+1,1))-AVERAGE(OFFSET($H$3,0,0,'Données projet'!$E$10+1,1))</f>
        <v>2761.1400657295467</v>
      </c>
      <c r="AO44" s="62">
        <f t="shared" si="36"/>
        <v>316.41877504316409</v>
      </c>
      <c r="AP44" s="16">
        <f>IF(ISNA(VLOOKUP(A44,'Données projet'!$A$61:$I$81,3,0)),0,VLOOKUP(A44,'Données projet'!$A$61:$I$81,3,0))</f>
        <v>2</v>
      </c>
      <c r="AQ44" s="16">
        <f>IF(ISNA(VLOOKUP(A44,'Données projet'!$A$61:$I$81,4,0)),0,VLOOKUP(A44,'Données projet'!$A$61:$I$81,4,0))</f>
        <v>69.02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>
        <f>VLOOKUP(A44,'Données projet'!$A$87:$I$107,2,0)</f>
        <v>345.11</v>
      </c>
      <c r="BB44" s="13">
        <f>VLOOKUP(A44,'Données projet'!$A$87:$I$107,9,0)</f>
        <v>21.518750000000004</v>
      </c>
      <c r="BC44" s="13">
        <f t="array" ref="BC44">INDEX(BB:BB,MIN(IF(ISNUMBER(BB44:BB240),ROW(BB44:BB240),"")))</f>
        <v>21.518750000000004</v>
      </c>
      <c r="BD44" s="13">
        <f>IF('Données projet'!$A$88&gt;35,BD43+BC44-BL43,IF(A44&lt;'Données projet'!$A$88,$BA$205^A44,IF(A44='Données projet'!$A$88,'Données projet'!$B$88,BD43+BC44-BL43)))</f>
        <v>345.11000000000007</v>
      </c>
      <c r="BE44" s="14">
        <f>BD44*VLOOKUP('Données projet'!$B$11,Paramètres!$A$1:$I$89,3,0)*VLOOKUP('Données projet'!$B$11,Paramètres!$A$1:$I$89,5,0)</f>
        <v>360.70897200000013</v>
      </c>
      <c r="BF44" s="14">
        <f t="shared" si="37"/>
        <v>83.763717081627917</v>
      </c>
      <c r="BG44" s="22">
        <f t="shared" si="7"/>
        <v>774.12326681716877</v>
      </c>
      <c r="BH44" s="62">
        <f t="shared" si="8"/>
        <v>1067.456600150502</v>
      </c>
      <c r="BI44" s="62">
        <f ca="1">AVERAGE(OFFSET($BH$3,0,0,'Données projet'!$E$11+1,1))-AVERAGE(OFFSET($H$3,0,0,'Données projet'!$E$11+1,1))</f>
        <v>2843.5086223152098</v>
      </c>
      <c r="BJ44" s="62">
        <f t="shared" si="38"/>
        <v>324.81562437645522</v>
      </c>
      <c r="BK44" s="16">
        <f>IF(ISNA(VLOOKUP(A44,'Données projet'!$A$87:$I$107,3,0)),0,VLOOKUP(A44,'Données projet'!$A$87:$I$107,3,0))</f>
        <v>2</v>
      </c>
      <c r="BL44" s="16">
        <f>IF(ISNA(VLOOKUP(A44,'Données projet'!$A$87:$I$107,4,0)),0,VLOOKUP(A44,'Données projet'!$A$87:$I$107,4,0))</f>
        <v>69.02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>
        <f>VLOOKUP(A44,'Données projet'!$A$113:$I$133,2,0)</f>
        <v>345.11</v>
      </c>
      <c r="BW44" s="13">
        <f>VLOOKUP(A44,'Données projet'!$A$113:$I$133,9,0)</f>
        <v>21.518750000000004</v>
      </c>
      <c r="BX44" s="13">
        <f t="array" ref="BX44">INDEX(BW:BW,MIN(IF(ISNUMBER(BW44:BW240),ROW(BW44:BW240),"")))</f>
        <v>21.518750000000004</v>
      </c>
      <c r="BY44" s="13">
        <f>IF('Données projet'!$A$114&gt;35,BY43+BX44-CG43,IF(A44&lt;'Données projet'!$A$114,$BV$205^A44,IF(A44='Données projet'!$A$114,'Données projet'!$B$114,BY43+BX44-CG43)))</f>
        <v>345.11000000000007</v>
      </c>
      <c r="BZ44" s="14">
        <f>BY44*VLOOKUP('Données projet'!$B$12,Paramètres!$A$1:$I$89,3,0)*VLOOKUP('Données projet'!$B$12,Paramètres!$A$1:$I$89,5,0)</f>
        <v>344.5578240000001</v>
      </c>
      <c r="CA44" s="14">
        <f t="shared" si="39"/>
        <v>80.440890668890745</v>
      </c>
      <c r="CB44" s="22">
        <f t="shared" si="10"/>
        <v>740.20609471498483</v>
      </c>
      <c r="CC44" s="62">
        <f t="shared" si="11"/>
        <v>1033.5394280483181</v>
      </c>
      <c r="CD44" s="62">
        <f ca="1">AVERAGE(OFFSET($CC$3,0,0,'Données projet'!$E$12+1,1))-AVERAGE(OFFSET($H$3,0,0,'Données projet'!$E$12+1,1))</f>
        <v>2719.939926994799</v>
      </c>
      <c r="CE44" s="62">
        <f t="shared" si="40"/>
        <v>312.21824046329749</v>
      </c>
      <c r="CF44" s="16">
        <f>IF(ISNA(VLOOKUP(A44,'Données projet'!$A$113:$I$133,3,0)),0,VLOOKUP(A44,'Données projet'!$A$113:$I$133,3,0))</f>
        <v>2</v>
      </c>
      <c r="CG44" s="16">
        <f>IF(ISNA(VLOOKUP(A44,'Données projet'!$A$113:$I$133,4,0)),0,VLOOKUP(A44,'Données projet'!$A$113:$I$133,4,0))</f>
        <v>69.02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>
        <f>VLOOKUP(A44,'Données projet'!$A$139:$I$159,2,0)</f>
        <v>428.64</v>
      </c>
      <c r="CR44" s="13">
        <f>VLOOKUP(A44,'Données projet'!$A$139:$I$159,9,0)</f>
        <v>24.994999999999997</v>
      </c>
      <c r="CS44" s="13">
        <f t="array" ref="CS44">INDEX(CR:CR,MIN(IF(ISNUMBER(CR44:CR240),ROW(CR44:CR240),"")))</f>
        <v>24.994999999999997</v>
      </c>
      <c r="CT44" s="13">
        <f>IF('Données projet'!$A$140&gt;35,CT43+CS44-DB43,IF(A44&lt;'Données projet'!$A$140,$CQ$205^A44,IF(A44='Données projet'!$A$140,'Données projet'!$B$140,CT43+CS44-DB43)))</f>
        <v>428.64000000000004</v>
      </c>
      <c r="CU44" s="18">
        <f>CT44*VLOOKUP('Données projet'!$B$13,Paramètres!$A$1:$I$89,3,0)*VLOOKUP('Données projet'!$B$13,Paramètres!$A$1:$I$89,5,0)</f>
        <v>374.45990400000011</v>
      </c>
      <c r="CV44" s="14">
        <f t="shared" si="41"/>
        <v>86.579088058432347</v>
      </c>
      <c r="CW44" s="22">
        <f t="shared" si="13"/>
        <v>802.97624450176988</v>
      </c>
      <c r="CX44" s="62">
        <f t="shared" si="14"/>
        <v>1096.3095778351033</v>
      </c>
      <c r="CY44" s="62">
        <f ca="1">AVERAGE(OFFSET($CX$3,0,0,'Données projet'!$E$13+1,1))-AVERAGE(OFFSET($H$3,0,0,'Données projet'!$E$13+1,1))</f>
        <v>1036.0130072090849</v>
      </c>
      <c r="CZ44" s="62">
        <f t="shared" si="42"/>
        <v>346.56593355696174</v>
      </c>
      <c r="DA44" s="16">
        <f>IF(ISNA(VLOOKUP(A44,'Données projet'!$A$139:$I$159,3,0)),0,VLOOKUP(A44,'Données projet'!$A$139:$I$159,3,0))</f>
        <v>2</v>
      </c>
      <c r="DB44" s="16">
        <f>IF(ISNA(VLOOKUP(A44,'Données projet'!$A$139:$I$159,4,0)),0,VLOOKUP(A44,'Données projet'!$A$139:$I$159,4,0))</f>
        <v>85.73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>
        <f>VLOOKUP(A44,'Données projet'!$A$165:$I$185,2,0)</f>
        <v>631.75</v>
      </c>
      <c r="DM44" s="13">
        <f>VLOOKUP(A44,'Données projet'!$A$165:$I$185,9,0)</f>
        <v>22.125</v>
      </c>
      <c r="DN44" s="13">
        <f t="array" ref="DN44">INDEX(DM:DM,MIN(IF(ISNUMBER(DM44:DM240),ROW(DM44:DM240),"")))</f>
        <v>22.125</v>
      </c>
      <c r="DO44" s="13">
        <f>IF('Données projet'!$A$166&gt;35,DO43+DN44-DW43,IF(A44&lt;'Données projet'!$A$166,$DL$205^A44,IF(A44='Données projet'!$A$166,'Données projet'!$B$166,DO43+DN44-DW43)))</f>
        <v>631.75000000000011</v>
      </c>
      <c r="DP44" s="18">
        <f>DO44*VLOOKUP('Données projet'!$B$14,Paramètres!$A$1:$I$89,3,0)*VLOOKUP('Données projet'!$B$14,Paramètres!$A$1:$I$89,5,0)</f>
        <v>353.14825000000008</v>
      </c>
      <c r="DQ44" s="14">
        <f t="shared" si="43"/>
        <v>82.210430371287089</v>
      </c>
      <c r="DR44" s="22">
        <f t="shared" si="16"/>
        <v>758.24970164665831</v>
      </c>
      <c r="DS44" s="62">
        <f t="shared" si="17"/>
        <v>1051.5830349799917</v>
      </c>
      <c r="DT44" s="62">
        <f ca="1">AVERAGE(OFFSET($DS$3,0,0,'Données projet'!$E$14+1,1))-AVERAGE(OFFSET($H$3,0,0,'Données projet'!$E$14+1,1))</f>
        <v>446.48069057792151</v>
      </c>
      <c r="DU44" s="62">
        <f t="shared" si="44"/>
        <v>561.75656782935948</v>
      </c>
      <c r="DV44" s="16">
        <f>IF(ISNA(VLOOKUP(A44,'Données projet'!$A$165:$I$185,3,0)),0,VLOOKUP(A44,'Données projet'!$A$165:$I$185,3,0))</f>
        <v>3</v>
      </c>
      <c r="DW44" s="16">
        <f>IF(ISNA(VLOOKUP(A44,'Données projet'!$A$165:$I$185,4,0)),0,VLOOKUP(A44,'Données projet'!$A$165:$I$185,4,0))</f>
        <v>126.35</v>
      </c>
      <c r="DX44" s="17">
        <f>IF(ISNA(VLOOKUP(A44,'Données projet'!$A$165:$I$185,5,0)),0%,VLOOKUP(A44,'Données projet'!$A$165:$I$185,5,0)*VLOOKUP('Données projet'!$B$14,Paramètres!$A$1:$I$89,7,0))</f>
        <v>0.27500000000000002</v>
      </c>
      <c r="DY44" s="17">
        <f>IF(ISNA(VLOOKUP(A44,'Données projet'!$A$165:$I$185,6,0)),0%,VLOOKUP(A44,'Données projet'!$A$165:$I$185,6,0)*VLOOKUP('Données projet'!$B$14,Paramètres!$A$1:$I$89,7,0))</f>
        <v>0.11000000000000001</v>
      </c>
      <c r="DZ44" s="17">
        <f>IF(ISNA(VLOOKUP(A44,'Données projet'!$A$165:$I$185,7,0)),0%,VLOOKUP(A44,'Données projet'!$A$165:$I$185,7,0))</f>
        <v>0.3</v>
      </c>
      <c r="EA44" s="23">
        <f>EXP(-LN(2)/35)*EA43+(1-EXP(-LN(2)/35))/(LN(2)/35)*DW44*DX44*VLOOKUP('Données projet'!$B$14,Paramètres!$A$1:$I$89,3,0)*0.475*44/12</f>
        <v>25.766065377287219</v>
      </c>
      <c r="EB44" s="23">
        <f>EXP(-LN(2)/25)*EB43+(1-EXP(-LN(2)/25))/(LN(2)/25)*Calculateur!DW44*Calculateur!DY44*VLOOKUP('Données projet'!$B$14,Paramètres!$A$1:$I$89,3,0)*0.475*44/12</f>
        <v>25.592387803179612</v>
      </c>
      <c r="EC44" s="23">
        <f>EXP(-LN(2)/2)*EC43+(1-EXP(-LN(2)/2))/(LN(2)/2)*DW44*DZ44*VLOOKUP('Données projet'!$B$14,Paramètres!$A$1:$I$89,3,0)*0.475*44/12</f>
        <v>25.964861612878575</v>
      </c>
      <c r="ED44" s="24">
        <f t="shared" si="18"/>
        <v>77.323314793345403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>
        <f>VLOOKUP(A44,'Données projet'!$A$191:$I$211,2,0)</f>
        <v>191.25</v>
      </c>
      <c r="EH44" s="13">
        <f>VLOOKUP(A44,'Données projet'!$A$191:$I$211,9,0)</f>
        <v>12.1525</v>
      </c>
      <c r="EI44" s="13">
        <f t="array" ref="EI44">INDEX(EH:EH,MIN(IF(ISNUMBER(EH44:EH240),ROW(EH44:EH240),"")))</f>
        <v>12.1525</v>
      </c>
      <c r="EJ44" s="13">
        <f>IF('Données projet'!$A$192&gt;35,EJ43+EI44-ER43,IF(A44&lt;'Données projet'!$A$192,$EG$205^A44,IF(A44='Données projet'!$A$192,'Données projet'!$B$192,EJ43+EI44-ER43)))</f>
        <v>191.25000000000003</v>
      </c>
      <c r="EK44" s="18">
        <f>EJ44*VLOOKUP('Données projet'!$B$15,Paramètres!$A$1:$I$89,3,0)*VLOOKUP('Données projet'!$B$15,Paramètres!$A$1:$I$89,5,0)</f>
        <v>184.97700000000003</v>
      </c>
      <c r="EL44" s="14">
        <f t="shared" si="45"/>
        <v>46.427713156194116</v>
      </c>
      <c r="EM44" s="22">
        <f t="shared" si="19"/>
        <v>403.02987541370476</v>
      </c>
      <c r="EN44" s="62">
        <f t="shared" si="20"/>
        <v>696.36320874703802</v>
      </c>
      <c r="EO44" s="62">
        <f ca="1">AVERAGE(OFFSET($EN$3,0,0,'Données projet'!$E$15+1,1))-AVERAGE(OFFSET($H$3,0,0,'Données projet'!$E$15+1,1))</f>
        <v>301.18531163828169</v>
      </c>
      <c r="EP44" s="62">
        <f t="shared" si="46"/>
        <v>192.30530273268101</v>
      </c>
      <c r="EQ44" s="16">
        <f>IF(ISNA(VLOOKUP(A44,'Données projet'!$A$191:$I$211,3,0)),0,VLOOKUP(A44,'Données projet'!$A$191:$I$211,3,0))</f>
        <v>2</v>
      </c>
      <c r="ER44" s="16">
        <f>IF(ISNA(VLOOKUP(A44,'Données projet'!$A$191:$I$211,4,0)),0,VLOOKUP(A44,'Données projet'!$A$191:$I$211,4,0))</f>
        <v>38.25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>
        <f>VLOOKUP(A44,'Données projet'!$A$217:$I$237,2,0)</f>
        <v>191.25</v>
      </c>
      <c r="FC44" s="13">
        <f>VLOOKUP(A44,'Données projet'!$A$217:$I$237,9,0)</f>
        <v>12.1525</v>
      </c>
      <c r="FD44" s="13">
        <f t="array" ref="FD44">INDEX(FC:FC,MIN(IF(ISNUMBER(FC44:FC240),ROW(FC44:FC240),"")))</f>
        <v>12.1525</v>
      </c>
      <c r="FE44" s="13">
        <f>IF('Données projet'!$A$218&gt;35,FE43+FD44-FM43,IF(A44&lt;'Données projet'!$A$218,$FB$205^A44,IF(A44='Données projet'!$A$218,'Données projet'!$B$218,FE43+FD44-FM43)))</f>
        <v>191.25000000000003</v>
      </c>
      <c r="FF44" s="18">
        <f>FE44*VLOOKUP('Données projet'!$B$16,Paramètres!$A$1:$I$89,3,0)*VLOOKUP('Données projet'!$B$16,Paramètres!$A$1:$I$89,5,0)</f>
        <v>149.17500000000004</v>
      </c>
      <c r="FG44" s="14">
        <f t="shared" si="47"/>
        <v>38.391041273567012</v>
      </c>
      <c r="FH44" s="22">
        <f t="shared" si="22"/>
        <v>326.67752188479602</v>
      </c>
      <c r="FI44" s="62">
        <f t="shared" si="23"/>
        <v>620.01085521812934</v>
      </c>
      <c r="FJ44" s="62">
        <f ca="1">AVERAGE(OFFSET($FI$3,0,0,'Données projet'!$E$16+1,1))-AVERAGE(OFFSET($H$3,0,0,'Données projet'!$E$16+1,1))</f>
        <v>249.2899297828755</v>
      </c>
      <c r="FK44" s="62">
        <f t="shared" si="48"/>
        <v>162.88011837476813</v>
      </c>
      <c r="FL44" s="16">
        <f>IF(ISNA(VLOOKUP(A44,'Données projet'!$A$217:$I$237,3,0)),0,VLOOKUP(A44,'Données projet'!$A$217:$I$237,3,0))</f>
        <v>2</v>
      </c>
      <c r="FM44" s="16">
        <f>IF(ISNA(VLOOKUP(A44,'Données projet'!$A$217:$I$237,4,0)),0,VLOOKUP(A44,'Données projet'!$A$217:$I$237,4,0))</f>
        <v>38.25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>
        <f>VLOOKUP(A44,'Données projet'!$A$243:$I$263,2,0)</f>
        <v>191.25</v>
      </c>
      <c r="FX44" s="13">
        <f>VLOOKUP(A44,'Données projet'!$A$243:$I$263,9,0)</f>
        <v>12.1525</v>
      </c>
      <c r="FY44" s="13">
        <f t="array" ref="FY44">INDEX(FX:FX,MIN(IF(ISNUMBER(FX44:FX240),ROW(FX44:FX240),"")))</f>
        <v>12.1525</v>
      </c>
      <c r="FZ44" s="13">
        <f>IF('Données projet'!$A$244&gt;35,FZ43+FY44-GH43,IF(A44&lt;'Données projet'!$A$244,$FW$205^A44,IF(A44='Données projet'!$A$244,'Données projet'!$B$244,FZ43+FY44-GH43)))</f>
        <v>191.25000000000003</v>
      </c>
      <c r="GA44" s="18">
        <f>FZ44*VLOOKUP('Données projet'!$B$17,Paramètres!$A$1:$I$89,3,0)*VLOOKUP('Données projet'!$B$17,Paramètres!$A$1:$I$89,5,0)</f>
        <v>128.29050000000001</v>
      </c>
      <c r="GB44" s="14">
        <f t="shared" si="49"/>
        <v>33.601040267694898</v>
      </c>
      <c r="GC44" s="22">
        <f t="shared" si="25"/>
        <v>281.96109929956856</v>
      </c>
      <c r="GD44" s="62">
        <f t="shared" si="26"/>
        <v>575.29443263290182</v>
      </c>
      <c r="GE44" s="62">
        <f ca="1">AVERAGE(OFFSET($GD$3,0,0,'Données projet'!$E$17+1,1))-AVERAGE(OFFSET($H$3,0,0,'Données projet'!$E$17+1,1))</f>
        <v>218.89895999738746</v>
      </c>
      <c r="GF44" s="62">
        <f t="shared" si="50"/>
        <v>145.64042897395763</v>
      </c>
      <c r="GG44" s="16">
        <f>IF(ISNA(VLOOKUP(A44,'Données projet'!$A$243:$I$263,3,0)),0,VLOOKUP(A44,'Données projet'!$A$243:$I$263,3,0))</f>
        <v>2</v>
      </c>
      <c r="GH44" s="16">
        <f>IF(ISNA(VLOOKUP(A44,'Données projet'!$A$243:$I$263,4,0)),0,VLOOKUP(A44,'Données projet'!$A$243:$I$263,4,0))</f>
        <v>38.25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>
        <f>VLOOKUP(A44,'Données projet'!$A$269:$I$289,2,0)</f>
        <v>191.25</v>
      </c>
      <c r="GS44" s="13">
        <f>VLOOKUP(A44,'Données projet'!$A$269:$I$289,9,0)</f>
        <v>12.1525</v>
      </c>
      <c r="GT44" s="13">
        <f t="array" ref="GT44">INDEX(GS:GS,MIN(IF(ISNUMBER(GS44:GS240),ROW(GS44:GS240),"")))</f>
        <v>12.1525</v>
      </c>
      <c r="GU44" s="13">
        <f>IF('Données projet'!$A$270&gt;35,GU43+GT44-HC43,IF(A44&lt;'Données projet'!$A$270,$GR$205^A44,IF(A44='Données projet'!$A$270,'Données projet'!$B$270,GU43+GT44-HC43)))</f>
        <v>191.25000000000003</v>
      </c>
      <c r="GV44" s="18">
        <f>GU44*VLOOKUP('Données projet'!$B$18,Paramètres!$A$1:$I$89,3,0)*VLOOKUP('Données projet'!$B$18,Paramètres!$A$1:$I$89,5,0)</f>
        <v>205.86150000000001</v>
      </c>
      <c r="GW44" s="14">
        <f t="shared" si="51"/>
        <v>51.030174369674526</v>
      </c>
      <c r="GX44" s="22">
        <f t="shared" si="28"/>
        <v>447.41966619384988</v>
      </c>
      <c r="GY44" s="62">
        <f t="shared" si="29"/>
        <v>740.75299952718319</v>
      </c>
      <c r="GZ44" s="62">
        <f ca="1">AVERAGE(OFFSET($GY$3,0,0,'Données projet'!$E$18+1,1))-AVERAGE(OFFSET($H$3,0,0,'Données projet'!$E$18+1,1))</f>
        <v>331.3579800635751</v>
      </c>
      <c r="HA44" s="62">
        <f t="shared" si="52"/>
        <v>209.40702003535273</v>
      </c>
      <c r="HB44" s="16">
        <f>IF(ISNA(VLOOKUP(A44,'Données projet'!$A$269:$I$289,3,0)),0,VLOOKUP(A44,'Données projet'!$A$269:$I$289,3,0))</f>
        <v>2</v>
      </c>
      <c r="HC44" s="16">
        <f>IF(ISNA(VLOOKUP(A44,'Données projet'!$A$269:$I$289,4,0)),0,VLOOKUP(A44,'Données projet'!$A$269:$I$289,4,0))</f>
        <v>38.25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33.089285714285715</v>
      </c>
      <c r="N45" s="14">
        <f>IF('Données projet'!$A$36&gt;35,N44+M45-V44,IF(A45&lt;'Données projet'!$A$36,$K$205^A45,IF(A45='Données projet'!$A$36,'Données projet'!$B$36,N44+M45-V44)))</f>
        <v>309.17928571428581</v>
      </c>
      <c r="O45" s="14">
        <f>N45*VLOOKUP('Données projet'!$B$9,Paramètres!$A$1:$I$89,3,0)*VLOOKUP('Données projet'!$B$9,Paramètres!$A$1:$I$89,5,0)</f>
        <v>279.74541771428579</v>
      </c>
      <c r="P45" s="14">
        <f t="shared" si="33"/>
        <v>66.913205477847981</v>
      </c>
      <c r="Q45" s="22">
        <f t="shared" si="53"/>
        <v>603.76376872629965</v>
      </c>
      <c r="R45" s="62">
        <f t="shared" si="0"/>
        <v>897.09710205963302</v>
      </c>
      <c r="S45" s="62">
        <f ca="1">AVERAGE(OFFSET($R$3,0,0,'Données projet'!$E$9+1,1))-AVERAGE(OFFSET($H$3,0,0,'Données projet'!$E$9+1,1))</f>
        <v>2472.5049373954762</v>
      </c>
      <c r="T45" s="62">
        <f t="shared" si="34"/>
        <v>286.98388307318311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33.089285714285715</v>
      </c>
      <c r="AI45" s="14">
        <f>IF('Données projet'!$A$62&gt;35,AI44+AH45-AQ44,IF(A45&lt;'Données projet'!$A$62,$AF$205^A45,IF(A45='Données projet'!$A$62,'Données projet'!$B$62,AI44+AH45-AQ44)))</f>
        <v>309.17928571428581</v>
      </c>
      <c r="AJ45" s="14">
        <f>AI45*VLOOKUP('Données projet'!$B$10,Paramètres!$A$1:$I$89,3,0)*VLOOKUP('Données projet'!$B$10,Paramètres!$A$1:$I$89,5,0)</f>
        <v>313.50779571428581</v>
      </c>
      <c r="AK45" s="14">
        <f t="shared" si="35"/>
        <v>74.000917110627341</v>
      </c>
      <c r="AL45" s="22">
        <f t="shared" si="4"/>
        <v>674.9110081700569</v>
      </c>
      <c r="AM45" s="62">
        <f t="shared" si="5"/>
        <v>968.24434150339016</v>
      </c>
      <c r="AN45" s="62">
        <f ca="1">AVERAGE(OFFSET($AM$3,0,0,'Données projet'!$E$10+1,1))-AVERAGE(OFFSET($H$3,0,0,'Données projet'!$E$10+1,1))</f>
        <v>2761.1400657295467</v>
      </c>
      <c r="AO45" s="62">
        <f t="shared" si="36"/>
        <v>316.41877504316409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33.089285714285715</v>
      </c>
      <c r="BD45" s="13">
        <f>IF('Données projet'!$A$88&gt;35,BD44+BC45-BL44,IF(A45&lt;'Données projet'!$A$88,$BA$205^A45,IF(A45='Données projet'!$A$88,'Données projet'!$B$88,BD44+BC45-BL44)))</f>
        <v>309.17928571428581</v>
      </c>
      <c r="BE45" s="14">
        <f>BD45*VLOOKUP('Données projet'!$B$11,Paramètres!$A$1:$I$89,3,0)*VLOOKUP('Données projet'!$B$11,Paramètres!$A$1:$I$89,5,0)</f>
        <v>323.15418942857156</v>
      </c>
      <c r="BF45" s="14">
        <f t="shared" si="37"/>
        <v>76.009268996369372</v>
      </c>
      <c r="BG45" s="22">
        <f t="shared" si="7"/>
        <v>695.20969009010548</v>
      </c>
      <c r="BH45" s="62">
        <f t="shared" si="8"/>
        <v>988.54302342343885</v>
      </c>
      <c r="BI45" s="62">
        <f ca="1">AVERAGE(OFFSET($BH$3,0,0,'Données projet'!$E$11+1,1))-AVERAGE(OFFSET($H$3,0,0,'Données projet'!$E$11+1,1))</f>
        <v>2843.5086223152098</v>
      </c>
      <c r="BJ45" s="62">
        <f t="shared" si="38"/>
        <v>324.81562437645522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33.089285714285715</v>
      </c>
      <c r="BY45" s="13">
        <f>IF('Données projet'!$A$114&gt;35,BY44+BX45-CG44,IF(A45&lt;'Données projet'!$A$114,$BV$205^A45,IF(A45='Données projet'!$A$114,'Données projet'!$B$114,BY44+BX45-CG44)))</f>
        <v>309.17928571428581</v>
      </c>
      <c r="BZ45" s="14">
        <f>BY45*VLOOKUP('Données projet'!$B$12,Paramètres!$A$1:$I$89,3,0)*VLOOKUP('Données projet'!$B$12,Paramètres!$A$1:$I$89,5,0)</f>
        <v>308.68459885714299</v>
      </c>
      <c r="CA45" s="14">
        <f t="shared" si="39"/>
        <v>72.994054110575149</v>
      </c>
      <c r="CB45" s="22">
        <f t="shared" si="10"/>
        <v>664.75698725210896</v>
      </c>
      <c r="CC45" s="62">
        <f t="shared" si="11"/>
        <v>958.09032058544221</v>
      </c>
      <c r="CD45" s="62">
        <f ca="1">AVERAGE(OFFSET($CC$3,0,0,'Données projet'!$E$12+1,1))-AVERAGE(OFFSET($H$3,0,0,'Données projet'!$E$12+1,1))</f>
        <v>2719.939926994799</v>
      </c>
      <c r="CE45" s="62">
        <f t="shared" si="40"/>
        <v>312.21824046329749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35.283571428571427</v>
      </c>
      <c r="CT45" s="13">
        <f>IF('Données projet'!$A$140&gt;35,CT44+CS45-DB44,IF(A45&lt;'Données projet'!$A$140,$CQ$205^A45,IF(A45='Données projet'!$A$140,'Données projet'!$B$140,CT44+CS45-DB44)))</f>
        <v>378.19357142857143</v>
      </c>
      <c r="CU45" s="18">
        <f>CT45*VLOOKUP('Données projet'!$B$13,Paramètres!$A$1:$I$89,3,0)*VLOOKUP('Données projet'!$B$13,Paramètres!$A$1:$I$89,5,0)</f>
        <v>330.38990400000006</v>
      </c>
      <c r="CV45" s="14">
        <f t="shared" si="41"/>
        <v>77.511138662484896</v>
      </c>
      <c r="CW45" s="22">
        <f t="shared" si="13"/>
        <v>710.42764930382793</v>
      </c>
      <c r="CX45" s="62">
        <f t="shared" si="14"/>
        <v>1003.7609826371613</v>
      </c>
      <c r="CY45" s="62">
        <f ca="1">AVERAGE(OFFSET($CX$3,0,0,'Données projet'!$E$13+1,1))-AVERAGE(OFFSET($H$3,0,0,'Données projet'!$E$13+1,1))</f>
        <v>1036.0130072090849</v>
      </c>
      <c r="CZ45" s="62">
        <f t="shared" si="42"/>
        <v>346.56593355696174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18.581818181818178</v>
      </c>
      <c r="DO45" s="13">
        <f>IF('Données projet'!$A$166&gt;35,DO44+DN45-DW44,IF(A45&lt;'Données projet'!$A$166,$DL$205^A45,IF(A45='Données projet'!$A$166,'Données projet'!$B$166,DO44+DN45-DW44)))</f>
        <v>523.98181818181831</v>
      </c>
      <c r="DP45" s="18">
        <f>DO45*VLOOKUP('Données projet'!$B$14,Paramètres!$A$1:$I$89,3,0)*VLOOKUP('Données projet'!$B$14,Paramètres!$A$1:$I$89,5,0)</f>
        <v>292.90583636363647</v>
      </c>
      <c r="DQ45" s="14">
        <f t="shared" si="43"/>
        <v>69.687189249255042</v>
      </c>
      <c r="DR45" s="22">
        <f t="shared" si="16"/>
        <v>631.51618627578603</v>
      </c>
      <c r="DS45" s="62">
        <f t="shared" si="17"/>
        <v>924.8495196091194</v>
      </c>
      <c r="DT45" s="62">
        <f ca="1">AVERAGE(OFFSET($DS$3,0,0,'Données projet'!$E$14+1,1))-AVERAGE(OFFSET($H$3,0,0,'Données projet'!$E$14+1,1))</f>
        <v>446.48069057792151</v>
      </c>
      <c r="DU45" s="62">
        <f t="shared" si="44"/>
        <v>561.75656782935948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25.260808550986695</v>
      </c>
      <c r="EB45" s="23">
        <f>EXP(-LN(2)/25)*EB44+(1-EXP(-LN(2)/25))/(LN(2)/25)*Calculateur!DW45*Calculateur!DY45*VLOOKUP('Données projet'!$B$14,Paramètres!$A$1:$I$89,3,0)*0.475*44/12</f>
        <v>24.892562612856484</v>
      </c>
      <c r="EC45" s="23">
        <f>EXP(-LN(2)/2)*EC44+(1-EXP(-LN(2)/2))/(LN(2)/2)*DW45*DZ45*VLOOKUP('Données projet'!$B$14,Paramètres!$A$1:$I$89,3,0)*0.475*44/12</f>
        <v>18.359929719036721</v>
      </c>
      <c r="ED45" s="24">
        <f t="shared" si="18"/>
        <v>68.513300882879889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18.297272727272727</v>
      </c>
      <c r="EJ45" s="13">
        <f>IF('Données projet'!$A$192&gt;35,EJ44+EI45-ER44,IF(A45&lt;'Données projet'!$A$192,$EG$205^A45,IF(A45='Données projet'!$A$192,'Données projet'!$B$192,EJ44+EI45-ER44)))</f>
        <v>171.29727272727274</v>
      </c>
      <c r="EK45" s="18">
        <f>EJ45*VLOOKUP('Données projet'!$B$15,Paramètres!$A$1:$I$89,3,0)*VLOOKUP('Données projet'!$B$15,Paramètres!$A$1:$I$89,5,0)</f>
        <v>165.67872218181819</v>
      </c>
      <c r="EL45" s="14">
        <f t="shared" si="45"/>
        <v>42.120755576467445</v>
      </c>
      <c r="EM45" s="22">
        <f t="shared" si="19"/>
        <v>361.91742376234743</v>
      </c>
      <c r="EN45" s="62">
        <f t="shared" si="20"/>
        <v>655.25075709568068</v>
      </c>
      <c r="EO45" s="62">
        <f ca="1">AVERAGE(OFFSET($EN$3,0,0,'Données projet'!$E$15+1,1))-AVERAGE(OFFSET($H$3,0,0,'Données projet'!$E$15+1,1))</f>
        <v>301.18531163828169</v>
      </c>
      <c r="EP45" s="62">
        <f t="shared" si="46"/>
        <v>192.30530273268101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18.297272727272727</v>
      </c>
      <c r="FE45" s="13">
        <f>IF('Données projet'!$A$218&gt;35,FE44+FD45-FM44,IF(A45&lt;'Données projet'!$A$218,$FB$205^A45,IF(A45='Données projet'!$A$218,'Données projet'!$B$218,FE44+FD45-FM44)))</f>
        <v>171.29727272727274</v>
      </c>
      <c r="FF45" s="18">
        <f>FE45*VLOOKUP('Données projet'!$B$16,Paramètres!$A$1:$I$89,3,0)*VLOOKUP('Données projet'!$B$16,Paramètres!$A$1:$I$89,5,0)</f>
        <v>133.61187272727275</v>
      </c>
      <c r="FG45" s="14">
        <f t="shared" si="47"/>
        <v>34.829621273178105</v>
      </c>
      <c r="FH45" s="22">
        <f t="shared" si="22"/>
        <v>293.36893538411852</v>
      </c>
      <c r="FI45" s="62">
        <f t="shared" si="23"/>
        <v>586.70226871745183</v>
      </c>
      <c r="FJ45" s="62">
        <f ca="1">AVERAGE(OFFSET($FI$3,0,0,'Données projet'!$E$16+1,1))-AVERAGE(OFFSET($H$3,0,0,'Données projet'!$E$16+1,1))</f>
        <v>249.2899297828755</v>
      </c>
      <c r="FK45" s="62">
        <f t="shared" si="48"/>
        <v>162.88011837476813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18.297272727272727</v>
      </c>
      <c r="FZ45" s="13">
        <f>IF('Données projet'!$A$244&gt;35,FZ44+FY45-GH44,IF(A45&lt;'Données projet'!$A$244,$FW$205^A45,IF(A45='Données projet'!$A$244,'Données projet'!$B$244,FZ44+FY45-GH44)))</f>
        <v>171.29727272727274</v>
      </c>
      <c r="GA45" s="18">
        <f>FZ45*VLOOKUP('Données projet'!$B$17,Paramètres!$A$1:$I$89,3,0)*VLOOKUP('Données projet'!$B$17,Paramètres!$A$1:$I$89,5,0)</f>
        <v>114.90621054545456</v>
      </c>
      <c r="GB45" s="14">
        <f t="shared" si="49"/>
        <v>30.483974075337279</v>
      </c>
      <c r="GC45" s="22">
        <f t="shared" si="25"/>
        <v>253.22123821454579</v>
      </c>
      <c r="GD45" s="62">
        <f t="shared" si="26"/>
        <v>546.55457154787905</v>
      </c>
      <c r="GE45" s="62">
        <f ca="1">AVERAGE(OFFSET($GD$3,0,0,'Données projet'!$E$17+1,1))-AVERAGE(OFFSET($H$3,0,0,'Données projet'!$E$17+1,1))</f>
        <v>218.89895999738746</v>
      </c>
      <c r="GF45" s="62">
        <f t="shared" si="50"/>
        <v>145.64042897395763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18.297272727272727</v>
      </c>
      <c r="GU45" s="13">
        <f>IF('Données projet'!$A$270&gt;35,GU44+GT45-HC44,IF(A45&lt;'Données projet'!$A$270,$GR$205^A45,IF(A45='Données projet'!$A$270,'Données projet'!$B$270,GU44+GT45-HC44)))</f>
        <v>171.29727272727274</v>
      </c>
      <c r="GV45" s="18">
        <f>GU45*VLOOKUP('Données projet'!$B$18,Paramètres!$A$1:$I$89,3,0)*VLOOKUP('Données projet'!$B$18,Paramètres!$A$1:$I$89,5,0)</f>
        <v>184.38438436363637</v>
      </c>
      <c r="GW45" s="14">
        <f t="shared" si="51"/>
        <v>46.29626047740863</v>
      </c>
      <c r="GX45" s="22">
        <f t="shared" si="28"/>
        <v>401.76878976481999</v>
      </c>
      <c r="GY45" s="62">
        <f t="shared" si="29"/>
        <v>695.10212309815324</v>
      </c>
      <c r="GZ45" s="62">
        <f ca="1">AVERAGE(OFFSET($GY$3,0,0,'Données projet'!$E$18+1,1))-AVERAGE(OFFSET($H$3,0,0,'Données projet'!$E$18+1,1))</f>
        <v>331.3579800635751</v>
      </c>
      <c r="HA45" s="62">
        <f t="shared" si="52"/>
        <v>209.40702003535273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33.089285714285715</v>
      </c>
      <c r="N46" s="14">
        <f>IF('Données projet'!$A$36&gt;35,N45+M46-V45,IF(A46&lt;'Données projet'!$A$36,$K$205^A46,IF(A46='Données projet'!$A$36,'Données projet'!$B$36,N45+M46-V45)))</f>
        <v>342.26857142857153</v>
      </c>
      <c r="O46" s="14">
        <f>N46*VLOOKUP('Données projet'!$B$9,Paramètres!$A$1:$I$89,3,0)*VLOOKUP('Données projet'!$B$9,Paramètres!$A$1:$I$89,5,0)</f>
        <v>309.68460342857151</v>
      </c>
      <c r="P46" s="14">
        <f t="shared" si="33"/>
        <v>73.202958912845247</v>
      </c>
      <c r="Q46" s="22">
        <f t="shared" si="53"/>
        <v>666.86250441130085</v>
      </c>
      <c r="R46" s="62">
        <f t="shared" si="0"/>
        <v>960.19583774463422</v>
      </c>
      <c r="S46" s="62">
        <f ca="1">AVERAGE(OFFSET($R$3,0,0,'Données projet'!$E$9+1,1))-AVERAGE(OFFSET($H$3,0,0,'Données projet'!$E$9+1,1))</f>
        <v>2472.5049373954762</v>
      </c>
      <c r="T46" s="62">
        <f t="shared" si="34"/>
        <v>286.98388307318311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33.089285714285715</v>
      </c>
      <c r="AI46" s="14">
        <f>IF('Données projet'!$A$62&gt;35,AI45+AH46-AQ45,IF(A46&lt;'Données projet'!$A$62,$AF$205^A46,IF(A46='Données projet'!$A$62,'Données projet'!$B$62,AI45+AH46-AQ45)))</f>
        <v>342.26857142857153</v>
      </c>
      <c r="AJ46" s="14">
        <f>AI46*VLOOKUP('Données projet'!$B$10,Paramètres!$A$1:$I$89,3,0)*VLOOKUP('Données projet'!$B$10,Paramètres!$A$1:$I$89,5,0)</f>
        <v>347.06033142857154</v>
      </c>
      <c r="AK46" s="14">
        <f t="shared" si="35"/>
        <v>80.956906130516785</v>
      </c>
      <c r="AL46" s="22">
        <f t="shared" si="4"/>
        <v>745.46335541541214</v>
      </c>
      <c r="AM46" s="62">
        <f t="shared" si="5"/>
        <v>1038.7966887487455</v>
      </c>
      <c r="AN46" s="62">
        <f ca="1">AVERAGE(OFFSET($AM$3,0,0,'Données projet'!$E$10+1,1))-AVERAGE(OFFSET($H$3,0,0,'Données projet'!$E$10+1,1))</f>
        <v>2761.1400657295467</v>
      </c>
      <c r="AO46" s="62">
        <f t="shared" si="36"/>
        <v>316.41877504316409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33.089285714285715</v>
      </c>
      <c r="BD46" s="13">
        <f>IF('Données projet'!$A$88&gt;35,BD45+BC46-BL45,IF(A46&lt;'Données projet'!$A$88,$BA$205^A46,IF(A46='Données projet'!$A$88,'Données projet'!$B$88,BD45+BC46-BL45)))</f>
        <v>342.26857142857153</v>
      </c>
      <c r="BE46" s="14">
        <f>BD46*VLOOKUP('Données projet'!$B$11,Paramètres!$A$1:$I$89,3,0)*VLOOKUP('Données projet'!$B$11,Paramètres!$A$1:$I$89,5,0)</f>
        <v>357.73911085714298</v>
      </c>
      <c r="BF46" s="14">
        <f t="shared" si="37"/>
        <v>83.154040455865754</v>
      </c>
      <c r="BG46" s="22">
        <f t="shared" si="7"/>
        <v>767.88890520349014</v>
      </c>
      <c r="BH46" s="62">
        <f t="shared" si="8"/>
        <v>1061.2222385368234</v>
      </c>
      <c r="BI46" s="62">
        <f ca="1">AVERAGE(OFFSET($BH$3,0,0,'Données projet'!$E$11+1,1))-AVERAGE(OFFSET($H$3,0,0,'Données projet'!$E$11+1,1))</f>
        <v>2843.5086223152098</v>
      </c>
      <c r="BJ46" s="62">
        <f t="shared" si="38"/>
        <v>324.81562437645522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33.089285714285715</v>
      </c>
      <c r="BY46" s="13">
        <f>IF('Données projet'!$A$114&gt;35,BY45+BX46-CG45,IF(A46&lt;'Données projet'!$A$114,$BV$205^A46,IF(A46='Données projet'!$A$114,'Données projet'!$B$114,BY45+BX46-CG45)))</f>
        <v>342.26857142857153</v>
      </c>
      <c r="BZ46" s="14">
        <f>BY46*VLOOKUP('Données projet'!$B$12,Paramètres!$A$1:$I$89,3,0)*VLOOKUP('Données projet'!$B$12,Paramètres!$A$1:$I$89,5,0)</f>
        <v>341.72094171428586</v>
      </c>
      <c r="CA46" s="14">
        <f t="shared" si="39"/>
        <v>79.855399330815104</v>
      </c>
      <c r="CB46" s="22">
        <f t="shared" si="10"/>
        <v>734.24546065355071</v>
      </c>
      <c r="CC46" s="62">
        <f t="shared" si="11"/>
        <v>1027.578793986884</v>
      </c>
      <c r="CD46" s="62">
        <f ca="1">AVERAGE(OFFSET($CC$3,0,0,'Données projet'!$E$12+1,1))-AVERAGE(OFFSET($H$3,0,0,'Données projet'!$E$12+1,1))</f>
        <v>2719.939926994799</v>
      </c>
      <c r="CE46" s="62">
        <f t="shared" si="40"/>
        <v>312.21824046329749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35.283571428571427</v>
      </c>
      <c r="CT46" s="13">
        <f>IF('Données projet'!$A$140&gt;35,CT45+CS46-DB45,IF(A46&lt;'Données projet'!$A$140,$CQ$205^A46,IF(A46='Données projet'!$A$140,'Données projet'!$B$140,CT45+CS46-DB45)))</f>
        <v>413.47714285714284</v>
      </c>
      <c r="CU46" s="18">
        <f>CT46*VLOOKUP('Données projet'!$B$13,Paramètres!$A$1:$I$89,3,0)*VLOOKUP('Données projet'!$B$13,Paramètres!$A$1:$I$89,5,0)</f>
        <v>361.21363200000002</v>
      </c>
      <c r="CV46" s="14">
        <f t="shared" si="41"/>
        <v>83.867259484911202</v>
      </c>
      <c r="CW46" s="22">
        <f t="shared" si="13"/>
        <v>775.1825526695535</v>
      </c>
      <c r="CX46" s="62">
        <f t="shared" si="14"/>
        <v>1068.5158860028869</v>
      </c>
      <c r="CY46" s="62">
        <f ca="1">AVERAGE(OFFSET($CX$3,0,0,'Données projet'!$E$13+1,1))-AVERAGE(OFFSET($H$3,0,0,'Données projet'!$E$13+1,1))</f>
        <v>1036.0130072090849</v>
      </c>
      <c r="CZ46" s="62">
        <f t="shared" si="42"/>
        <v>346.56593355696174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18.581818181818178</v>
      </c>
      <c r="DO46" s="13">
        <f>IF('Données projet'!$A$166&gt;35,DO45+DN46-DW45,IF(A46&lt;'Données projet'!$A$166,$DL$205^A46,IF(A46='Données projet'!$A$166,'Données projet'!$B$166,DO45+DN46-DW45)))</f>
        <v>542.56363636363653</v>
      </c>
      <c r="DP46" s="18">
        <f>DO46*VLOOKUP('Données projet'!$B$14,Paramètres!$A$1:$I$89,3,0)*VLOOKUP('Données projet'!$B$14,Paramètres!$A$1:$I$89,5,0)</f>
        <v>303.29307272727283</v>
      </c>
      <c r="DQ46" s="14">
        <f t="shared" si="43"/>
        <v>71.866378761622315</v>
      </c>
      <c r="DR46" s="22">
        <f t="shared" si="16"/>
        <v>653.40271134315901</v>
      </c>
      <c r="DS46" s="62">
        <f t="shared" si="17"/>
        <v>946.73604467649238</v>
      </c>
      <c r="DT46" s="62">
        <f ca="1">AVERAGE(OFFSET($DS$3,0,0,'Données projet'!$E$14+1,1))-AVERAGE(OFFSET($H$3,0,0,'Données projet'!$E$14+1,1))</f>
        <v>446.48069057792151</v>
      </c>
      <c r="DU46" s="62">
        <f t="shared" si="44"/>
        <v>561.75656782935948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24.765459502873689</v>
      </c>
      <c r="EB46" s="23">
        <f>EXP(-LN(2)/25)*EB45+(1-EXP(-LN(2)/25))/(LN(2)/25)*Calculateur!DW46*Calculateur!DY46*VLOOKUP('Données projet'!$B$14,Paramètres!$A$1:$I$89,3,0)*0.475*44/12</f>
        <v>24.211874179164948</v>
      </c>
      <c r="EC46" s="23">
        <f>EXP(-LN(2)/2)*EC45+(1-EXP(-LN(2)/2))/(LN(2)/2)*DW46*DZ46*VLOOKUP('Données projet'!$B$14,Paramètres!$A$1:$I$89,3,0)*0.475*44/12</f>
        <v>12.982430806439291</v>
      </c>
      <c r="ED46" s="24">
        <f t="shared" si="18"/>
        <v>61.959764488477923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18.297272727272727</v>
      </c>
      <c r="EJ46" s="13">
        <f>IF('Données projet'!$A$192&gt;35,EJ45+EI46-ER45,IF(A46&lt;'Données projet'!$A$192,$EG$205^A46,IF(A46='Données projet'!$A$192,'Données projet'!$B$192,EJ45+EI46-ER45)))</f>
        <v>189.59454545454548</v>
      </c>
      <c r="EK46" s="18">
        <f>EJ46*VLOOKUP('Données projet'!$B$15,Paramètres!$A$1:$I$89,3,0)*VLOOKUP('Données projet'!$B$15,Paramètres!$A$1:$I$89,5,0)</f>
        <v>183.37584436363639</v>
      </c>
      <c r="EL46" s="14">
        <f t="shared" si="45"/>
        <v>46.072435203977214</v>
      </c>
      <c r="EM46" s="22">
        <f t="shared" si="19"/>
        <v>399.62242024692699</v>
      </c>
      <c r="EN46" s="62">
        <f t="shared" si="20"/>
        <v>692.95575358026031</v>
      </c>
      <c r="EO46" s="62">
        <f ca="1">AVERAGE(OFFSET($EN$3,0,0,'Données projet'!$E$15+1,1))-AVERAGE(OFFSET($H$3,0,0,'Données projet'!$E$15+1,1))</f>
        <v>301.18531163828169</v>
      </c>
      <c r="EP46" s="62">
        <f t="shared" si="46"/>
        <v>192.30530273268101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18.297272727272727</v>
      </c>
      <c r="FE46" s="13">
        <f>IF('Données projet'!$A$218&gt;35,FE45+FD46-FM45,IF(A46&lt;'Données projet'!$A$218,$FB$205^A46,IF(A46='Données projet'!$A$218,'Données projet'!$B$218,FE45+FD46-FM45)))</f>
        <v>189.59454545454548</v>
      </c>
      <c r="FF46" s="18">
        <f>FE46*VLOOKUP('Données projet'!$B$16,Paramètres!$A$1:$I$89,3,0)*VLOOKUP('Données projet'!$B$16,Paramètres!$A$1:$I$89,5,0)</f>
        <v>147.88374545454548</v>
      </c>
      <c r="FG46" s="14">
        <f t="shared" si="47"/>
        <v>38.09726220068309</v>
      </c>
      <c r="FH46" s="22">
        <f t="shared" si="22"/>
        <v>323.91692166618969</v>
      </c>
      <c r="FI46" s="62">
        <f t="shared" si="23"/>
        <v>617.25025499952301</v>
      </c>
      <c r="FJ46" s="62">
        <f ca="1">AVERAGE(OFFSET($FI$3,0,0,'Données projet'!$E$16+1,1))-AVERAGE(OFFSET($H$3,0,0,'Données projet'!$E$16+1,1))</f>
        <v>249.2899297828755</v>
      </c>
      <c r="FK46" s="62">
        <f t="shared" si="48"/>
        <v>162.88011837476813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18.297272727272727</v>
      </c>
      <c r="FZ46" s="13">
        <f>IF('Données projet'!$A$244&gt;35,FZ45+FY46-GH45,IF(A46&lt;'Données projet'!$A$244,$FW$205^A46,IF(A46='Données projet'!$A$244,'Données projet'!$B$244,FZ45+FY46-GH45)))</f>
        <v>189.59454545454548</v>
      </c>
      <c r="GA46" s="18">
        <f>FZ46*VLOOKUP('Données projet'!$B$17,Paramètres!$A$1:$I$89,3,0)*VLOOKUP('Données projet'!$B$17,Paramètres!$A$1:$I$89,5,0)</f>
        <v>127.18002109090911</v>
      </c>
      <c r="GB46" s="14">
        <f t="shared" si="49"/>
        <v>33.343915633136596</v>
      </c>
      <c r="GC46" s="22">
        <f t="shared" si="25"/>
        <v>279.5791897943796</v>
      </c>
      <c r="GD46" s="62">
        <f t="shared" si="26"/>
        <v>572.91252312771292</v>
      </c>
      <c r="GE46" s="62">
        <f ca="1">AVERAGE(OFFSET($GD$3,0,0,'Données projet'!$E$17+1,1))-AVERAGE(OFFSET($H$3,0,0,'Données projet'!$E$17+1,1))</f>
        <v>218.89895999738746</v>
      </c>
      <c r="GF46" s="62">
        <f t="shared" si="50"/>
        <v>145.64042897395763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18.297272727272727</v>
      </c>
      <c r="GU46" s="13">
        <f>IF('Données projet'!$A$270&gt;35,GU45+GT46-HC45,IF(A46&lt;'Données projet'!$A$270,$GR$205^A46,IF(A46='Données projet'!$A$270,'Données projet'!$B$270,GU45+GT46-HC45)))</f>
        <v>189.59454545454548</v>
      </c>
      <c r="GV46" s="18">
        <f>GU46*VLOOKUP('Données projet'!$B$18,Paramètres!$A$1:$I$89,3,0)*VLOOKUP('Données projet'!$B$18,Paramètres!$A$1:$I$89,5,0)</f>
        <v>204.07956872727277</v>
      </c>
      <c r="GW46" s="14">
        <f t="shared" si="51"/>
        <v>50.639677086503681</v>
      </c>
      <c r="GX46" s="22">
        <f t="shared" si="28"/>
        <v>443.63601979232732</v>
      </c>
      <c r="GY46" s="62">
        <f t="shared" si="29"/>
        <v>736.96935312566063</v>
      </c>
      <c r="GZ46" s="62">
        <f ca="1">AVERAGE(OFFSET($GY$3,0,0,'Données projet'!$E$18+1,1))-AVERAGE(OFFSET($H$3,0,0,'Données projet'!$E$18+1,1))</f>
        <v>331.3579800635751</v>
      </c>
      <c r="HA46" s="62">
        <f t="shared" si="52"/>
        <v>209.40702003535273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33.089285714285715</v>
      </c>
      <c r="N47" s="14">
        <f>IF('Données projet'!$A$36&gt;35,N46+M47-V46,IF(A47&lt;'Données projet'!$A$36,$K$205^A47,IF(A47='Données projet'!$A$36,'Données projet'!$B$36,N46+M47-V46)))</f>
        <v>375.35785714285726</v>
      </c>
      <c r="O47" s="14">
        <f>N47*VLOOKUP('Données projet'!$B$9,Paramètres!$A$1:$I$89,3,0)*VLOOKUP('Données projet'!$B$9,Paramètres!$A$1:$I$89,5,0)</f>
        <v>339.62378914285722</v>
      </c>
      <c r="P47" s="14">
        <f t="shared" si="33"/>
        <v>79.422213869192433</v>
      </c>
      <c r="Q47" s="22">
        <f t="shared" si="53"/>
        <v>729.83845524598644</v>
      </c>
      <c r="R47" s="62">
        <f t="shared" si="0"/>
        <v>1023.1717885793198</v>
      </c>
      <c r="S47" s="62">
        <f ca="1">AVERAGE(OFFSET($R$3,0,0,'Données projet'!$E$9+1,1))-AVERAGE(OFFSET($H$3,0,0,'Données projet'!$E$9+1,1))</f>
        <v>2472.5049373954762</v>
      </c>
      <c r="T47" s="62">
        <f t="shared" si="34"/>
        <v>286.98388307318311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33.089285714285715</v>
      </c>
      <c r="AI47" s="14">
        <f>IF('Données projet'!$A$62&gt;35,AI46+AH47-AQ46,IF(A47&lt;'Données projet'!$A$62,$AF$205^A47,IF(A47='Données projet'!$A$62,'Données projet'!$B$62,AI46+AH47-AQ46)))</f>
        <v>375.35785714285726</v>
      </c>
      <c r="AJ47" s="14">
        <f>AI47*VLOOKUP('Données projet'!$B$10,Paramètres!$A$1:$I$89,3,0)*VLOOKUP('Données projet'!$B$10,Paramètres!$A$1:$I$89,5,0)</f>
        <v>380.61286714285728</v>
      </c>
      <c r="AK47" s="14">
        <f t="shared" si="35"/>
        <v>87.834929193794991</v>
      </c>
      <c r="AL47" s="22">
        <f t="shared" si="4"/>
        <v>815.87991195300265</v>
      </c>
      <c r="AM47" s="62">
        <f t="shared" si="5"/>
        <v>1109.2132452863359</v>
      </c>
      <c r="AN47" s="62">
        <f ca="1">AVERAGE(OFFSET($AM$3,0,0,'Données projet'!$E$10+1,1))-AVERAGE(OFFSET($H$3,0,0,'Données projet'!$E$10+1,1))</f>
        <v>2761.1400657295467</v>
      </c>
      <c r="AO47" s="62">
        <f t="shared" si="36"/>
        <v>316.41877504316409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33.089285714285715</v>
      </c>
      <c r="BD47" s="13">
        <f>IF('Données projet'!$A$88&gt;35,BD46+BC47-BL46,IF(A47&lt;'Données projet'!$A$88,$BA$205^A47,IF(A47='Données projet'!$A$88,'Données projet'!$B$88,BD46+BC47-BL46)))</f>
        <v>375.35785714285726</v>
      </c>
      <c r="BE47" s="14">
        <f>BD47*VLOOKUP('Données projet'!$B$11,Paramètres!$A$1:$I$89,3,0)*VLOOKUP('Données projet'!$B$11,Paramètres!$A$1:$I$89,5,0)</f>
        <v>392.32403228571445</v>
      </c>
      <c r="BF47" s="14">
        <f t="shared" si="37"/>
        <v>90.218729997461537</v>
      </c>
      <c r="BG47" s="22">
        <f t="shared" si="7"/>
        <v>840.42864430986481</v>
      </c>
      <c r="BH47" s="62">
        <f t="shared" si="8"/>
        <v>1133.7619776431982</v>
      </c>
      <c r="BI47" s="62">
        <f ca="1">AVERAGE(OFFSET($BH$3,0,0,'Données projet'!$E$11+1,1))-AVERAGE(OFFSET($H$3,0,0,'Données projet'!$E$11+1,1))</f>
        <v>2843.5086223152098</v>
      </c>
      <c r="BJ47" s="62">
        <f t="shared" si="38"/>
        <v>324.81562437645522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33.089285714285715</v>
      </c>
      <c r="BY47" s="13">
        <f>IF('Données projet'!$A$114&gt;35,BY46+BX47-CG46,IF(A47&lt;'Données projet'!$A$114,$BV$205^A47,IF(A47='Données projet'!$A$114,'Données projet'!$B$114,BY46+BX47-CG46)))</f>
        <v>375.35785714285726</v>
      </c>
      <c r="BZ47" s="14">
        <f>BY47*VLOOKUP('Données projet'!$B$12,Paramètres!$A$1:$I$89,3,0)*VLOOKUP('Données projet'!$B$12,Paramètres!$A$1:$I$89,5,0)</f>
        <v>374.75728457142867</v>
      </c>
      <c r="CA47" s="14">
        <f t="shared" si="39"/>
        <v>86.639839406120771</v>
      </c>
      <c r="CB47" s="22">
        <f t="shared" si="10"/>
        <v>803.59999092756516</v>
      </c>
      <c r="CC47" s="62">
        <f t="shared" si="11"/>
        <v>1096.9333242608984</v>
      </c>
      <c r="CD47" s="62">
        <f ca="1">AVERAGE(OFFSET($CC$3,0,0,'Données projet'!$E$12+1,1))-AVERAGE(OFFSET($H$3,0,0,'Données projet'!$E$12+1,1))</f>
        <v>2719.939926994799</v>
      </c>
      <c r="CE47" s="62">
        <f t="shared" si="40"/>
        <v>312.21824046329749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35.283571428571427</v>
      </c>
      <c r="CT47" s="13">
        <f>IF('Données projet'!$A$140&gt;35,CT46+CS47-DB46,IF(A47&lt;'Données projet'!$A$140,$CQ$205^A47,IF(A47='Données projet'!$A$140,'Données projet'!$B$140,CT46+CS47-DB46)))</f>
        <v>448.76071428571424</v>
      </c>
      <c r="CU47" s="18">
        <f>CT47*VLOOKUP('Données projet'!$B$13,Paramètres!$A$1:$I$89,3,0)*VLOOKUP('Données projet'!$B$13,Paramètres!$A$1:$I$89,5,0)</f>
        <v>392.03736000000004</v>
      </c>
      <c r="CV47" s="14">
        <f t="shared" si="41"/>
        <v>90.160477883923988</v>
      </c>
      <c r="CW47" s="22">
        <f t="shared" si="13"/>
        <v>839.82790098116766</v>
      </c>
      <c r="CX47" s="62">
        <f t="shared" si="14"/>
        <v>1133.1612343145009</v>
      </c>
      <c r="CY47" s="62">
        <f ca="1">AVERAGE(OFFSET($CX$3,0,0,'Données projet'!$E$13+1,1))-AVERAGE(OFFSET($H$3,0,0,'Données projet'!$E$13+1,1))</f>
        <v>1036.0130072090849</v>
      </c>
      <c r="CZ47" s="62">
        <f t="shared" si="42"/>
        <v>346.56593355696174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18.581818181818178</v>
      </c>
      <c r="DO47" s="13">
        <f>IF('Données projet'!$A$166&gt;35,DO46+DN47-DW46,IF(A47&lt;'Données projet'!$A$166,$DL$205^A47,IF(A47='Données projet'!$A$166,'Données projet'!$B$166,DO46+DN47-DW46)))</f>
        <v>561.14545454545475</v>
      </c>
      <c r="DP47" s="18">
        <f>DO47*VLOOKUP('Données projet'!$B$14,Paramètres!$A$1:$I$89,3,0)*VLOOKUP('Données projet'!$B$14,Paramètres!$A$1:$I$89,5,0)</f>
        <v>313.68030909090925</v>
      </c>
      <c r="DQ47" s="14">
        <f t="shared" si="43"/>
        <v>74.036896462403888</v>
      </c>
      <c r="DR47" s="22">
        <f t="shared" si="16"/>
        <v>675.27413300535363</v>
      </c>
      <c r="DS47" s="62">
        <f t="shared" si="17"/>
        <v>968.60746633868689</v>
      </c>
      <c r="DT47" s="62">
        <f ca="1">AVERAGE(OFFSET($DS$3,0,0,'Données projet'!$E$14+1,1))-AVERAGE(OFFSET($H$3,0,0,'Données projet'!$E$14+1,1))</f>
        <v>446.48069057792151</v>
      </c>
      <c r="DU47" s="62">
        <f t="shared" si="44"/>
        <v>561.75656782935948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24.279823947461093</v>
      </c>
      <c r="EB47" s="23">
        <f>EXP(-LN(2)/25)*EB46+(1-EXP(-LN(2)/25))/(LN(2)/25)*Calculateur!DW47*Calculateur!DY47*VLOOKUP('Données projet'!$B$14,Paramètres!$A$1:$I$89,3,0)*0.475*44/12</f>
        <v>23.549799206488554</v>
      </c>
      <c r="EC47" s="23">
        <f>EXP(-LN(2)/2)*EC46+(1-EXP(-LN(2)/2))/(LN(2)/2)*DW47*DZ47*VLOOKUP('Données projet'!$B$14,Paramètres!$A$1:$I$89,3,0)*0.475*44/12</f>
        <v>9.1799648595183623</v>
      </c>
      <c r="ED47" s="24">
        <f t="shared" si="18"/>
        <v>57.009588013468012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18.297272727272727</v>
      </c>
      <c r="EJ47" s="13">
        <f>IF('Données projet'!$A$192&gt;35,EJ46+EI47-ER46,IF(A47&lt;'Données projet'!$A$192,$EG$205^A47,IF(A47='Données projet'!$A$192,'Données projet'!$B$192,EJ46+EI47-ER46)))</f>
        <v>207.89181818181822</v>
      </c>
      <c r="EK47" s="18">
        <f>EJ47*VLOOKUP('Données projet'!$B$15,Paramètres!$A$1:$I$89,3,0)*VLOOKUP('Données projet'!$B$15,Paramètres!$A$1:$I$89,5,0)</f>
        <v>201.07296654545459</v>
      </c>
      <c r="EL47" s="14">
        <f t="shared" si="45"/>
        <v>49.979899816838056</v>
      </c>
      <c r="EM47" s="22">
        <f t="shared" si="19"/>
        <v>437.25040891432644</v>
      </c>
      <c r="EN47" s="62">
        <f t="shared" si="20"/>
        <v>730.58374224765976</v>
      </c>
      <c r="EO47" s="62">
        <f ca="1">AVERAGE(OFFSET($EN$3,0,0,'Données projet'!$E$15+1,1))-AVERAGE(OFFSET($H$3,0,0,'Données projet'!$E$15+1,1))</f>
        <v>301.18531163828169</v>
      </c>
      <c r="EP47" s="62">
        <f t="shared" si="46"/>
        <v>192.30530273268101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18.297272727272727</v>
      </c>
      <c r="FE47" s="13">
        <f>IF('Données projet'!$A$218&gt;35,FE46+FD47-FM46,IF(A47&lt;'Données projet'!$A$218,$FB$205^A47,IF(A47='Données projet'!$A$218,'Données projet'!$B$218,FE46+FD47-FM46)))</f>
        <v>207.89181818181822</v>
      </c>
      <c r="FF47" s="18">
        <f>FE47*VLOOKUP('Données projet'!$B$16,Paramètres!$A$1:$I$89,3,0)*VLOOKUP('Données projet'!$B$16,Paramètres!$A$1:$I$89,5,0)</f>
        <v>162.15561818181823</v>
      </c>
      <c r="FG47" s="14">
        <f t="shared" si="47"/>
        <v>41.328341765654713</v>
      </c>
      <c r="FH47" s="22">
        <f t="shared" si="22"/>
        <v>354.40123024184868</v>
      </c>
      <c r="FI47" s="62">
        <f t="shared" si="23"/>
        <v>647.73456357518194</v>
      </c>
      <c r="FJ47" s="62">
        <f ca="1">AVERAGE(OFFSET($FI$3,0,0,'Données projet'!$E$16+1,1))-AVERAGE(OFFSET($H$3,0,0,'Données projet'!$E$16+1,1))</f>
        <v>249.2899297828755</v>
      </c>
      <c r="FK47" s="62">
        <f t="shared" si="48"/>
        <v>162.88011837476813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18.297272727272727</v>
      </c>
      <c r="FZ47" s="13">
        <f>IF('Données projet'!$A$244&gt;35,FZ46+FY47-GH46,IF(A47&lt;'Données projet'!$A$244,$FW$205^A47,IF(A47='Données projet'!$A$244,'Données projet'!$B$244,FZ46+FY47-GH46)))</f>
        <v>207.89181818181822</v>
      </c>
      <c r="GA47" s="18">
        <f>FZ47*VLOOKUP('Données projet'!$B$17,Paramètres!$A$1:$I$89,3,0)*VLOOKUP('Données projet'!$B$17,Paramètres!$A$1:$I$89,5,0)</f>
        <v>139.45383163636367</v>
      </c>
      <c r="GB47" s="14">
        <f t="shared" si="49"/>
        <v>36.171857542737484</v>
      </c>
      <c r="GC47" s="22">
        <f t="shared" si="25"/>
        <v>305.88140865360117</v>
      </c>
      <c r="GD47" s="62">
        <f t="shared" si="26"/>
        <v>599.21474198693454</v>
      </c>
      <c r="GE47" s="62">
        <f ca="1">AVERAGE(OFFSET($GD$3,0,0,'Données projet'!$E$17+1,1))-AVERAGE(OFFSET($H$3,0,0,'Données projet'!$E$17+1,1))</f>
        <v>218.89895999738746</v>
      </c>
      <c r="GF47" s="62">
        <f t="shared" si="50"/>
        <v>145.64042897395763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18.297272727272727</v>
      </c>
      <c r="GU47" s="13">
        <f>IF('Données projet'!$A$270&gt;35,GU46+GT47-HC46,IF(A47&lt;'Données projet'!$A$270,$GR$205^A47,IF(A47='Données projet'!$A$270,'Données projet'!$B$270,GU46+GT47-HC46)))</f>
        <v>207.89181818181822</v>
      </c>
      <c r="GV47" s="18">
        <f>GU47*VLOOKUP('Données projet'!$B$18,Paramètres!$A$1:$I$89,3,0)*VLOOKUP('Données projet'!$B$18,Paramètres!$A$1:$I$89,5,0)</f>
        <v>223.77475309090912</v>
      </c>
      <c r="GW47" s="14">
        <f t="shared" si="51"/>
        <v>54.934495568447772</v>
      </c>
      <c r="GX47" s="22">
        <f t="shared" si="28"/>
        <v>485.41860808171322</v>
      </c>
      <c r="GY47" s="62">
        <f t="shared" si="29"/>
        <v>778.75194141504653</v>
      </c>
      <c r="GZ47" s="62">
        <f ca="1">AVERAGE(OFFSET($GY$3,0,0,'Données projet'!$E$18+1,1))-AVERAGE(OFFSET($H$3,0,0,'Données projet'!$E$18+1,1))</f>
        <v>331.3579800635751</v>
      </c>
      <c r="HA47" s="62">
        <f t="shared" si="52"/>
        <v>209.40702003535273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33.089285714285715</v>
      </c>
      <c r="N48" s="14">
        <f>IF('Données projet'!$A$36&gt;35,N47+M48-V47,IF(A48&lt;'Données projet'!$A$36,$K$205^A48,IF(A48='Données projet'!$A$36,'Données projet'!$B$36,N47+M48-V47)))</f>
        <v>408.44714285714298</v>
      </c>
      <c r="O48" s="14">
        <f>N48*VLOOKUP('Données projet'!$B$9,Paramètres!$A$1:$I$89,3,0)*VLOOKUP('Données projet'!$B$9,Paramètres!$A$1:$I$89,5,0)</f>
        <v>369.56297485714293</v>
      </c>
      <c r="P48" s="14">
        <f t="shared" si="33"/>
        <v>85.577891733527849</v>
      </c>
      <c r="Q48" s="22">
        <f t="shared" si="53"/>
        <v>792.70367597875156</v>
      </c>
      <c r="R48" s="62">
        <f t="shared" si="0"/>
        <v>1086.0370093120848</v>
      </c>
      <c r="S48" s="62">
        <f ca="1">AVERAGE(OFFSET($R$3,0,0,'Données projet'!$E$9+1,1))-AVERAGE(OFFSET($H$3,0,0,'Données projet'!$E$9+1,1))</f>
        <v>2472.5049373954762</v>
      </c>
      <c r="T48" s="62">
        <f t="shared" si="34"/>
        <v>286.98388307318311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33.089285714285715</v>
      </c>
      <c r="AI48" s="14">
        <f>IF('Données projet'!$A$62&gt;35,AI47+AH48-AQ47,IF(A48&lt;'Données projet'!$A$62,$AF$205^A48,IF(A48='Données projet'!$A$62,'Données projet'!$B$62,AI47+AH48-AQ47)))</f>
        <v>408.44714285714298</v>
      </c>
      <c r="AJ48" s="14">
        <f>AI48*VLOOKUP('Données projet'!$B$10,Paramètres!$A$1:$I$89,3,0)*VLOOKUP('Données projet'!$B$10,Paramètres!$A$1:$I$89,5,0)</f>
        <v>414.16540285714308</v>
      </c>
      <c r="AK48" s="14">
        <f t="shared" si="35"/>
        <v>94.642640827774443</v>
      </c>
      <c r="AL48" s="22">
        <f t="shared" si="4"/>
        <v>886.17400941789799</v>
      </c>
      <c r="AM48" s="62">
        <f t="shared" si="5"/>
        <v>1179.5073427512314</v>
      </c>
      <c r="AN48" s="62">
        <f ca="1">AVERAGE(OFFSET($AM$3,0,0,'Données projet'!$E$10+1,1))-AVERAGE(OFFSET($H$3,0,0,'Données projet'!$E$10+1,1))</f>
        <v>2761.1400657295467</v>
      </c>
      <c r="AO48" s="62">
        <f t="shared" si="36"/>
        <v>316.41877504316409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33.089285714285715</v>
      </c>
      <c r="BD48" s="13">
        <f>IF('Données projet'!$A$88&gt;35,BD47+BC48-BL47,IF(A48&lt;'Données projet'!$A$88,$BA$205^A48,IF(A48='Données projet'!$A$88,'Données projet'!$B$88,BD47+BC48-BL47)))</f>
        <v>408.44714285714298</v>
      </c>
      <c r="BE48" s="14">
        <f>BD48*VLOOKUP('Données projet'!$B$11,Paramètres!$A$1:$I$89,3,0)*VLOOKUP('Données projet'!$B$11,Paramètres!$A$1:$I$89,5,0)</f>
        <v>426.90895371428587</v>
      </c>
      <c r="BF48" s="14">
        <f t="shared" si="37"/>
        <v>97.211199888926529</v>
      </c>
      <c r="BG48" s="22">
        <f t="shared" si="7"/>
        <v>912.84260085892822</v>
      </c>
      <c r="BH48" s="62">
        <f t="shared" si="8"/>
        <v>1206.1759341922616</v>
      </c>
      <c r="BI48" s="62">
        <f ca="1">AVERAGE(OFFSET($BH$3,0,0,'Données projet'!$E$11+1,1))-AVERAGE(OFFSET($H$3,0,0,'Données projet'!$E$11+1,1))</f>
        <v>2843.5086223152098</v>
      </c>
      <c r="BJ48" s="62">
        <f t="shared" si="38"/>
        <v>324.81562437645522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33.089285714285715</v>
      </c>
      <c r="BY48" s="13">
        <f>IF('Données projet'!$A$114&gt;35,BY47+BX48-CG47,IF(A48&lt;'Données projet'!$A$114,$BV$205^A48,IF(A48='Données projet'!$A$114,'Données projet'!$B$114,BY47+BX48-CG47)))</f>
        <v>408.44714285714298</v>
      </c>
      <c r="BZ48" s="14">
        <f>BY48*VLOOKUP('Données projet'!$B$12,Paramètres!$A$1:$I$89,3,0)*VLOOKUP('Données projet'!$B$12,Paramètres!$A$1:$I$89,5,0)</f>
        <v>407.79362742857154</v>
      </c>
      <c r="CA48" s="14">
        <f t="shared" si="39"/>
        <v>93.354924715631412</v>
      </c>
      <c r="CB48" s="22">
        <f t="shared" si="10"/>
        <v>872.83372831782015</v>
      </c>
      <c r="CC48" s="62">
        <f t="shared" si="11"/>
        <v>1166.1670616511535</v>
      </c>
      <c r="CD48" s="62">
        <f ca="1">AVERAGE(OFFSET($CC$3,0,0,'Données projet'!$E$12+1,1))-AVERAGE(OFFSET($H$3,0,0,'Données projet'!$E$12+1,1))</f>
        <v>2719.939926994799</v>
      </c>
      <c r="CE48" s="62">
        <f t="shared" si="40"/>
        <v>312.21824046329749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35.283571428571427</v>
      </c>
      <c r="CT48" s="13">
        <f>IF('Données projet'!$A$140&gt;35,CT47+CS48-DB47,IF(A48&lt;'Données projet'!$A$140,$CQ$205^A48,IF(A48='Données projet'!$A$140,'Données projet'!$B$140,CT47+CS48-DB47)))</f>
        <v>484.04428571428565</v>
      </c>
      <c r="CU48" s="18">
        <f>CT48*VLOOKUP('Données projet'!$B$13,Paramètres!$A$1:$I$89,3,0)*VLOOKUP('Données projet'!$B$13,Paramètres!$A$1:$I$89,5,0)</f>
        <v>422.861088</v>
      </c>
      <c r="CV48" s="14">
        <f t="shared" si="41"/>
        <v>96.396301819824728</v>
      </c>
      <c r="CW48" s="22">
        <f t="shared" si="13"/>
        <v>904.37328726952819</v>
      </c>
      <c r="CX48" s="62">
        <f t="shared" si="14"/>
        <v>1197.7066206028614</v>
      </c>
      <c r="CY48" s="62">
        <f ca="1">AVERAGE(OFFSET($CX$3,0,0,'Données projet'!$E$13+1,1))-AVERAGE(OFFSET($H$3,0,0,'Données projet'!$E$13+1,1))</f>
        <v>1036.0130072090849</v>
      </c>
      <c r="CZ48" s="62">
        <f t="shared" si="42"/>
        <v>346.56593355696174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18.581818181818178</v>
      </c>
      <c r="DO48" s="13">
        <f>IF('Données projet'!$A$166&gt;35,DO47+DN48-DW47,IF(A48&lt;'Données projet'!$A$166,$DL$205^A48,IF(A48='Données projet'!$A$166,'Données projet'!$B$166,DO47+DN48-DW47)))</f>
        <v>579.72727272727298</v>
      </c>
      <c r="DP48" s="18">
        <f>DO48*VLOOKUP('Données projet'!$B$14,Paramètres!$A$1:$I$89,3,0)*VLOOKUP('Données projet'!$B$14,Paramètres!$A$1:$I$89,5,0)</f>
        <v>324.06754545454561</v>
      </c>
      <c r="DQ48" s="14">
        <f t="shared" si="43"/>
        <v>76.199062437779943</v>
      </c>
      <c r="DR48" s="22">
        <f t="shared" si="16"/>
        <v>697.13100874580039</v>
      </c>
      <c r="DS48" s="62">
        <f t="shared" si="17"/>
        <v>990.46434207913376</v>
      </c>
      <c r="DT48" s="62">
        <f ca="1">AVERAGE(OFFSET($DS$3,0,0,'Données projet'!$E$14+1,1))-AVERAGE(OFFSET($H$3,0,0,'Données projet'!$E$14+1,1))</f>
        <v>446.48069057792151</v>
      </c>
      <c r="DU48" s="62">
        <f t="shared" si="44"/>
        <v>561.75656782935948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23.8037114090817</v>
      </c>
      <c r="EB48" s="23">
        <f>EXP(-LN(2)/25)*EB47+(1-EXP(-LN(2)/25))/(LN(2)/25)*Calculateur!DW48*Calculateur!DY48*VLOOKUP('Données projet'!$B$14,Paramètres!$A$1:$I$89,3,0)*0.475*44/12</f>
        <v>22.90582870875701</v>
      </c>
      <c r="EC48" s="23">
        <f>EXP(-LN(2)/2)*EC47+(1-EXP(-LN(2)/2))/(LN(2)/2)*DW48*DZ48*VLOOKUP('Données projet'!$B$14,Paramètres!$A$1:$I$89,3,0)*0.475*44/12</f>
        <v>6.4912154032196465</v>
      </c>
      <c r="ED48" s="24">
        <f t="shared" si="18"/>
        <v>53.200755521058362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18.297272727272727</v>
      </c>
      <c r="EJ48" s="13">
        <f>IF('Données projet'!$A$192&gt;35,EJ47+EI48-ER47,IF(A48&lt;'Données projet'!$A$192,$EG$205^A48,IF(A48='Données projet'!$A$192,'Données projet'!$B$192,EJ47+EI48-ER47)))</f>
        <v>226.18909090909096</v>
      </c>
      <c r="EK48" s="18">
        <f>EJ48*VLOOKUP('Données projet'!$B$15,Paramètres!$A$1:$I$89,3,0)*VLOOKUP('Données projet'!$B$15,Paramètres!$A$1:$I$89,5,0)</f>
        <v>218.77008872727276</v>
      </c>
      <c r="EL48" s="14">
        <f t="shared" si="45"/>
        <v>53.847483425097749</v>
      </c>
      <c r="EM48" s="22">
        <f t="shared" si="19"/>
        <v>474.80893816537861</v>
      </c>
      <c r="EN48" s="62">
        <f t="shared" si="20"/>
        <v>768.14227149871192</v>
      </c>
      <c r="EO48" s="62">
        <f ca="1">AVERAGE(OFFSET($EN$3,0,0,'Données projet'!$E$15+1,1))-AVERAGE(OFFSET($H$3,0,0,'Données projet'!$E$15+1,1))</f>
        <v>301.18531163828169</v>
      </c>
      <c r="EP48" s="62">
        <f t="shared" si="46"/>
        <v>192.30530273268101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18.297272727272727</v>
      </c>
      <c r="FE48" s="13">
        <f>IF('Données projet'!$A$218&gt;35,FE47+FD48-FM47,IF(A48&lt;'Données projet'!$A$218,$FB$205^A48,IF(A48='Données projet'!$A$218,'Données projet'!$B$218,FE47+FD48-FM47)))</f>
        <v>226.18909090909096</v>
      </c>
      <c r="FF48" s="18">
        <f>FE48*VLOOKUP('Données projet'!$B$16,Paramètres!$A$1:$I$89,3,0)*VLOOKUP('Données projet'!$B$16,Paramètres!$A$1:$I$89,5,0)</f>
        <v>176.42749090909095</v>
      </c>
      <c r="FG48" s="14">
        <f t="shared" si="47"/>
        <v>44.526443757758926</v>
      </c>
      <c r="FH48" s="22">
        <f t="shared" si="22"/>
        <v>384.82810287809684</v>
      </c>
      <c r="FI48" s="62">
        <f t="shared" si="23"/>
        <v>678.1614362114301</v>
      </c>
      <c r="FJ48" s="62">
        <f ca="1">AVERAGE(OFFSET($FI$3,0,0,'Données projet'!$E$16+1,1))-AVERAGE(OFFSET($H$3,0,0,'Données projet'!$E$16+1,1))</f>
        <v>249.2899297828755</v>
      </c>
      <c r="FK48" s="62">
        <f t="shared" si="48"/>
        <v>162.88011837476813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18.297272727272727</v>
      </c>
      <c r="FZ48" s="13">
        <f>IF('Données projet'!$A$244&gt;35,FZ47+FY48-GH47,IF(A48&lt;'Données projet'!$A$244,$FW$205^A48,IF(A48='Données projet'!$A$244,'Données projet'!$B$244,FZ47+FY48-GH47)))</f>
        <v>226.18909090909096</v>
      </c>
      <c r="GA48" s="18">
        <f>FZ48*VLOOKUP('Données projet'!$B$17,Paramètres!$A$1:$I$89,3,0)*VLOOKUP('Données projet'!$B$17,Paramètres!$A$1:$I$89,5,0)</f>
        <v>151.72764218181823</v>
      </c>
      <c r="GB48" s="14">
        <f t="shared" si="49"/>
        <v>38.970936448963371</v>
      </c>
      <c r="GC48" s="22">
        <f t="shared" si="25"/>
        <v>332.13335778194454</v>
      </c>
      <c r="GD48" s="62">
        <f t="shared" si="26"/>
        <v>625.46669111527785</v>
      </c>
      <c r="GE48" s="62">
        <f ca="1">AVERAGE(OFFSET($GD$3,0,0,'Données projet'!$E$17+1,1))-AVERAGE(OFFSET($H$3,0,0,'Données projet'!$E$17+1,1))</f>
        <v>218.89895999738746</v>
      </c>
      <c r="GF48" s="62">
        <f t="shared" si="50"/>
        <v>145.64042897395763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18.297272727272727</v>
      </c>
      <c r="GU48" s="13">
        <f>IF('Données projet'!$A$270&gt;35,GU47+GT48-HC47,IF(A48&lt;'Données projet'!$A$270,$GR$205^A48,IF(A48='Données projet'!$A$270,'Données projet'!$B$270,GU47+GT48-HC47)))</f>
        <v>226.18909090909096</v>
      </c>
      <c r="GV48" s="18">
        <f>GU48*VLOOKUP('Données projet'!$B$18,Paramètres!$A$1:$I$89,3,0)*VLOOKUP('Données projet'!$B$18,Paramètres!$A$1:$I$89,5,0)</f>
        <v>243.46993745454549</v>
      </c>
      <c r="GW48" s="14">
        <f t="shared" si="51"/>
        <v>59.185479571360126</v>
      </c>
      <c r="GX48" s="22">
        <f t="shared" si="28"/>
        <v>527.12485132011886</v>
      </c>
      <c r="GY48" s="62">
        <f t="shared" si="29"/>
        <v>820.45818465345224</v>
      </c>
      <c r="GZ48" s="62">
        <f ca="1">AVERAGE(OFFSET($GY$3,0,0,'Données projet'!$E$18+1,1))-AVERAGE(OFFSET($H$3,0,0,'Données projet'!$E$18+1,1))</f>
        <v>331.3579800635751</v>
      </c>
      <c r="HA48" s="62">
        <f t="shared" si="52"/>
        <v>209.40702003535273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33.089285714285715</v>
      </c>
      <c r="N49" s="14">
        <f>IF('Données projet'!$A$36&gt;35,N48+M49-V48,IF(A49&lt;'Données projet'!$A$36,$K$205^A49,IF(A49='Données projet'!$A$36,'Données projet'!$B$36,N48+M49-V48)))</f>
        <v>441.5364285714287</v>
      </c>
      <c r="O49" s="14">
        <f>N49*VLOOKUP('Données projet'!$B$9,Paramètres!$A$1:$I$89,3,0)*VLOOKUP('Données projet'!$B$9,Paramètres!$A$1:$I$89,5,0)</f>
        <v>399.50216057142865</v>
      </c>
      <c r="P49" s="14">
        <f t="shared" si="33"/>
        <v>91.675728602941888</v>
      </c>
      <c r="Q49" s="22">
        <f t="shared" si="53"/>
        <v>855.46815697869533</v>
      </c>
      <c r="R49" s="62">
        <f t="shared" si="0"/>
        <v>1148.8014903120286</v>
      </c>
      <c r="S49" s="62">
        <f ca="1">AVERAGE(OFFSET($R$3,0,0,'Données projet'!$E$9+1,1))-AVERAGE(OFFSET($H$3,0,0,'Données projet'!$E$9+1,1))</f>
        <v>2472.5049373954762</v>
      </c>
      <c r="T49" s="62">
        <f t="shared" si="34"/>
        <v>286.98388307318311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33.089285714285715</v>
      </c>
      <c r="AI49" s="14">
        <f>IF('Données projet'!$A$62&gt;35,AI48+AH49-AQ48,IF(A49&lt;'Données projet'!$A$62,$AF$205^A49,IF(A49='Données projet'!$A$62,'Données projet'!$B$62,AI48+AH49-AQ48)))</f>
        <v>441.5364285714287</v>
      </c>
      <c r="AJ49" s="14">
        <f>AI49*VLOOKUP('Données projet'!$B$10,Paramètres!$A$1:$I$89,3,0)*VLOOKUP('Données projet'!$B$10,Paramètres!$A$1:$I$89,5,0)</f>
        <v>447.71793857142876</v>
      </c>
      <c r="AK49" s="14">
        <f t="shared" si="35"/>
        <v>101.38638471965882</v>
      </c>
      <c r="AL49" s="22">
        <f t="shared" si="4"/>
        <v>956.35669639864409</v>
      </c>
      <c r="AM49" s="62">
        <f t="shared" si="5"/>
        <v>1249.6900297319773</v>
      </c>
      <c r="AN49" s="62">
        <f ca="1">AVERAGE(OFFSET($AM$3,0,0,'Données projet'!$E$10+1,1))-AVERAGE(OFFSET($H$3,0,0,'Données projet'!$E$10+1,1))</f>
        <v>2761.1400657295467</v>
      </c>
      <c r="AO49" s="62">
        <f t="shared" si="36"/>
        <v>316.41877504316409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33.089285714285715</v>
      </c>
      <c r="BD49" s="13">
        <f>IF('Données projet'!$A$88&gt;35,BD48+BC49-BL48,IF(A49&lt;'Données projet'!$A$88,$BA$205^A49,IF(A49='Données projet'!$A$88,'Données projet'!$B$88,BD48+BC49-BL48)))</f>
        <v>441.5364285714287</v>
      </c>
      <c r="BE49" s="14">
        <f>BD49*VLOOKUP('Données projet'!$B$11,Paramètres!$A$1:$I$89,3,0)*VLOOKUP('Données projet'!$B$11,Paramètres!$A$1:$I$89,5,0)</f>
        <v>461.49387514285729</v>
      </c>
      <c r="BF49" s="14">
        <f t="shared" si="37"/>
        <v>104.13796598230579</v>
      </c>
      <c r="BG49" s="22">
        <f t="shared" si="7"/>
        <v>985.14212329299232</v>
      </c>
      <c r="BH49" s="62">
        <f t="shared" si="8"/>
        <v>1278.4754566263257</v>
      </c>
      <c r="BI49" s="62">
        <f ca="1">AVERAGE(OFFSET($BH$3,0,0,'Données projet'!$E$11+1,1))-AVERAGE(OFFSET($H$3,0,0,'Données projet'!$E$11+1,1))</f>
        <v>2843.5086223152098</v>
      </c>
      <c r="BJ49" s="62">
        <f t="shared" si="38"/>
        <v>324.81562437645522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33.089285714285715</v>
      </c>
      <c r="BY49" s="13">
        <f>IF('Données projet'!$A$114&gt;35,BY48+BX49-CG48,IF(A49&lt;'Données projet'!$A$114,$BV$205^A49,IF(A49='Données projet'!$A$114,'Données projet'!$B$114,BY48+BX49-CG48)))</f>
        <v>441.5364285714287</v>
      </c>
      <c r="BZ49" s="14">
        <f>BY49*VLOOKUP('Données projet'!$B$12,Paramètres!$A$1:$I$89,3,0)*VLOOKUP('Données projet'!$B$12,Paramètres!$A$1:$I$89,5,0)</f>
        <v>440.82997028571447</v>
      </c>
      <c r="CA49" s="14">
        <f t="shared" si="39"/>
        <v>100.00691263378353</v>
      </c>
      <c r="CB49" s="22">
        <f t="shared" si="10"/>
        <v>941.95757108479222</v>
      </c>
      <c r="CC49" s="62">
        <f t="shared" si="11"/>
        <v>1235.2909044181256</v>
      </c>
      <c r="CD49" s="62">
        <f ca="1">AVERAGE(OFFSET($CC$3,0,0,'Données projet'!$E$12+1,1))-AVERAGE(OFFSET($H$3,0,0,'Données projet'!$E$12+1,1))</f>
        <v>2719.939926994799</v>
      </c>
      <c r="CE49" s="62">
        <f t="shared" si="40"/>
        <v>312.21824046329749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35.283571428571427</v>
      </c>
      <c r="CT49" s="13">
        <f>IF('Données projet'!$A$140&gt;35,CT48+CS49-DB48,IF(A49&lt;'Données projet'!$A$140,$CQ$205^A49,IF(A49='Données projet'!$A$140,'Données projet'!$B$140,CT48+CS49-DB48)))</f>
        <v>519.32785714285706</v>
      </c>
      <c r="CU49" s="18">
        <f>CT49*VLOOKUP('Données projet'!$B$13,Paramètres!$A$1:$I$89,3,0)*VLOOKUP('Données projet'!$B$13,Paramètres!$A$1:$I$89,5,0)</f>
        <v>453.68481600000001</v>
      </c>
      <c r="CV49" s="14">
        <f t="shared" si="41"/>
        <v>102.57939073829384</v>
      </c>
      <c r="CW49" s="22">
        <f t="shared" si="13"/>
        <v>968.82682673586169</v>
      </c>
      <c r="CX49" s="62">
        <f t="shared" si="14"/>
        <v>1262.1601600691949</v>
      </c>
      <c r="CY49" s="62">
        <f ca="1">AVERAGE(OFFSET($CX$3,0,0,'Données projet'!$E$13+1,1))-AVERAGE(OFFSET($H$3,0,0,'Données projet'!$E$13+1,1))</f>
        <v>1036.0130072090849</v>
      </c>
      <c r="CZ49" s="62">
        <f t="shared" si="42"/>
        <v>346.56593355696174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18.581818181818178</v>
      </c>
      <c r="DO49" s="13">
        <f>IF('Données projet'!$A$166&gt;35,DO48+DN49-DW48,IF(A49&lt;'Données projet'!$A$166,$DL$205^A49,IF(A49='Données projet'!$A$166,'Données projet'!$B$166,DO48+DN49-DW48)))</f>
        <v>598.3090909090912</v>
      </c>
      <c r="DP49" s="18">
        <f>DO49*VLOOKUP('Données projet'!$B$14,Paramètres!$A$1:$I$89,3,0)*VLOOKUP('Données projet'!$B$14,Paramètres!$A$1:$I$89,5,0)</f>
        <v>334.45478181818197</v>
      </c>
      <c r="DQ49" s="14">
        <f t="shared" si="43"/>
        <v>78.353175089645063</v>
      </c>
      <c r="DR49" s="22">
        <f t="shared" si="16"/>
        <v>718.97385828113204</v>
      </c>
      <c r="DS49" s="62">
        <f t="shared" si="17"/>
        <v>1012.3071916144654</v>
      </c>
      <c r="DT49" s="62">
        <f ca="1">AVERAGE(OFFSET($DS$3,0,0,'Données projet'!$E$14+1,1))-AVERAGE(OFFSET($H$3,0,0,'Données projet'!$E$14+1,1))</f>
        <v>446.48069057792151</v>
      </c>
      <c r="DU49" s="62">
        <f t="shared" si="44"/>
        <v>561.75656782935948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23.33693514717995</v>
      </c>
      <c r="EB49" s="23">
        <f>EXP(-LN(2)/25)*EB48+(1-EXP(-LN(2)/25))/(LN(2)/25)*Calculateur!DW49*Calculateur!DY49*VLOOKUP('Données projet'!$B$14,Paramètres!$A$1:$I$89,3,0)*0.475*44/12</f>
        <v>22.279467618150871</v>
      </c>
      <c r="EC49" s="23">
        <f>EXP(-LN(2)/2)*EC48+(1-EXP(-LN(2)/2))/(LN(2)/2)*DW49*DZ49*VLOOKUP('Données projet'!$B$14,Paramètres!$A$1:$I$89,3,0)*0.475*44/12</f>
        <v>4.589982429759182</v>
      </c>
      <c r="ED49" s="24">
        <f t="shared" si="18"/>
        <v>50.20638519509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18.297272727272727</v>
      </c>
      <c r="EJ49" s="13">
        <f>IF('Données projet'!$A$192&gt;35,EJ48+EI49-ER48,IF(A49&lt;'Données projet'!$A$192,$EG$205^A49,IF(A49='Données projet'!$A$192,'Données projet'!$B$192,EJ48+EI49-ER48)))</f>
        <v>244.48636363636371</v>
      </c>
      <c r="EK49" s="18">
        <f>EJ49*VLOOKUP('Données projet'!$B$15,Paramètres!$A$1:$I$89,3,0)*VLOOKUP('Données projet'!$B$15,Paramètres!$A$1:$I$89,5,0)</f>
        <v>236.46721090909099</v>
      </c>
      <c r="EL49" s="14">
        <f t="shared" si="45"/>
        <v>57.678778928720938</v>
      </c>
      <c r="EM49" s="22">
        <f t="shared" si="19"/>
        <v>512.30426563418905</v>
      </c>
      <c r="EN49" s="62">
        <f t="shared" si="20"/>
        <v>805.63759896752231</v>
      </c>
      <c r="EO49" s="62">
        <f ca="1">AVERAGE(OFFSET($EN$3,0,0,'Données projet'!$E$15+1,1))-AVERAGE(OFFSET($H$3,0,0,'Données projet'!$E$15+1,1))</f>
        <v>301.18531163828169</v>
      </c>
      <c r="EP49" s="62">
        <f t="shared" si="46"/>
        <v>192.30530273268101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18.297272727272727</v>
      </c>
      <c r="FE49" s="13">
        <f>IF('Données projet'!$A$218&gt;35,FE48+FD49-FM48,IF(A49&lt;'Données projet'!$A$218,$FB$205^A49,IF(A49='Données projet'!$A$218,'Données projet'!$B$218,FE48+FD49-FM48)))</f>
        <v>244.48636363636371</v>
      </c>
      <c r="FF49" s="18">
        <f>FE49*VLOOKUP('Données projet'!$B$16,Paramètres!$A$1:$I$89,3,0)*VLOOKUP('Données projet'!$B$16,Paramètres!$A$1:$I$89,5,0)</f>
        <v>190.6993636363637</v>
      </c>
      <c r="FG49" s="14">
        <f t="shared" si="47"/>
        <v>47.694539143288502</v>
      </c>
      <c r="FH49" s="22">
        <f t="shared" si="22"/>
        <v>415.2027140078942</v>
      </c>
      <c r="FI49" s="62">
        <f t="shared" si="23"/>
        <v>708.53604734122746</v>
      </c>
      <c r="FJ49" s="62">
        <f ca="1">AVERAGE(OFFSET($FI$3,0,0,'Données projet'!$E$16+1,1))-AVERAGE(OFFSET($H$3,0,0,'Données projet'!$E$16+1,1))</f>
        <v>249.2899297828755</v>
      </c>
      <c r="FK49" s="62">
        <f t="shared" si="48"/>
        <v>162.88011837476813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18.297272727272727</v>
      </c>
      <c r="FZ49" s="13">
        <f>IF('Données projet'!$A$244&gt;35,FZ48+FY49-GH48,IF(A49&lt;'Données projet'!$A$244,$FW$205^A49,IF(A49='Données projet'!$A$244,'Données projet'!$B$244,FZ48+FY49-GH48)))</f>
        <v>244.48636363636371</v>
      </c>
      <c r="GA49" s="18">
        <f>FZ49*VLOOKUP('Données projet'!$B$17,Paramètres!$A$1:$I$89,3,0)*VLOOKUP('Données projet'!$B$17,Paramètres!$A$1:$I$89,5,0)</f>
        <v>164.00145272727278</v>
      </c>
      <c r="GB49" s="14">
        <f t="shared" si="49"/>
        <v>41.743752634451234</v>
      </c>
      <c r="GC49" s="22">
        <f t="shared" si="25"/>
        <v>358.33956600500261</v>
      </c>
      <c r="GD49" s="62">
        <f t="shared" si="26"/>
        <v>651.67289933833592</v>
      </c>
      <c r="GE49" s="62">
        <f ca="1">AVERAGE(OFFSET($GD$3,0,0,'Données projet'!$E$17+1,1))-AVERAGE(OFFSET($H$3,0,0,'Données projet'!$E$17+1,1))</f>
        <v>218.89895999738746</v>
      </c>
      <c r="GF49" s="62">
        <f t="shared" si="50"/>
        <v>145.64042897395763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18.297272727272727</v>
      </c>
      <c r="GU49" s="13">
        <f>IF('Données projet'!$A$270&gt;35,GU48+GT49-HC48,IF(A49&lt;'Données projet'!$A$270,$GR$205^A49,IF(A49='Données projet'!$A$270,'Données projet'!$B$270,GU48+GT49-HC48)))</f>
        <v>244.48636363636371</v>
      </c>
      <c r="GV49" s="18">
        <f>GU49*VLOOKUP('Données projet'!$B$18,Paramètres!$A$1:$I$89,3,0)*VLOOKUP('Données projet'!$B$18,Paramètres!$A$1:$I$89,5,0)</f>
        <v>263.16512181818189</v>
      </c>
      <c r="GW49" s="14">
        <f t="shared" si="51"/>
        <v>63.396578165725352</v>
      </c>
      <c r="GX49" s="22">
        <f t="shared" si="28"/>
        <v>568.76162747197179</v>
      </c>
      <c r="GY49" s="62">
        <f t="shared" si="29"/>
        <v>862.09496080530516</v>
      </c>
      <c r="GZ49" s="62">
        <f ca="1">AVERAGE(OFFSET($GY$3,0,0,'Données projet'!$E$18+1,1))-AVERAGE(OFFSET($H$3,0,0,'Données projet'!$E$18+1,1))</f>
        <v>331.3579800635751</v>
      </c>
      <c r="HA49" s="62">
        <f t="shared" si="52"/>
        <v>209.40702003535273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33.089285714285715</v>
      </c>
      <c r="N50" s="14">
        <f>IF('Données projet'!$A$36&gt;35,N49+M50-V49,IF(A50&lt;'Données projet'!$A$36,$K$205^A50,IF(A50='Données projet'!$A$36,'Données projet'!$B$36,N49+M50-V49)))</f>
        <v>474.62571428571442</v>
      </c>
      <c r="O50" s="14">
        <f>N50*VLOOKUP('Données projet'!$B$9,Paramètres!$A$1:$I$89,3,0)*VLOOKUP('Données projet'!$B$9,Paramètres!$A$1:$I$89,5,0)</f>
        <v>429.44134628571442</v>
      </c>
      <c r="P50" s="14">
        <f t="shared" si="33"/>
        <v>97.720552043333186</v>
      </c>
      <c r="Q50" s="22">
        <f t="shared" si="53"/>
        <v>918.14030625642465</v>
      </c>
      <c r="R50" s="62">
        <f t="shared" si="0"/>
        <v>1211.473639589758</v>
      </c>
      <c r="S50" s="62">
        <f ca="1">AVERAGE(OFFSET($R$3,0,0,'Données projet'!$E$9+1,1))-AVERAGE(OFFSET($H$3,0,0,'Données projet'!$E$9+1,1))</f>
        <v>2472.5049373954762</v>
      </c>
      <c r="T50" s="62">
        <f t="shared" si="34"/>
        <v>286.98388307318311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33.089285714285715</v>
      </c>
      <c r="AI50" s="14">
        <f>IF('Données projet'!$A$62&gt;35,AI49+AH50-AQ49,IF(A50&lt;'Données projet'!$A$62,$AF$205^A50,IF(A50='Données projet'!$A$62,'Données projet'!$B$62,AI49+AH50-AQ49)))</f>
        <v>474.62571428571442</v>
      </c>
      <c r="AJ50" s="14">
        <f>AI50*VLOOKUP('Données projet'!$B$10,Paramètres!$A$1:$I$89,3,0)*VLOOKUP('Données projet'!$B$10,Paramètres!$A$1:$I$89,5,0)</f>
        <v>481.2704742857145</v>
      </c>
      <c r="AK50" s="14">
        <f t="shared" si="35"/>
        <v>108.07149979023868</v>
      </c>
      <c r="AL50" s="22">
        <f t="shared" si="4"/>
        <v>1026.4372715156185</v>
      </c>
      <c r="AM50" s="62">
        <f t="shared" si="5"/>
        <v>1319.7706048489517</v>
      </c>
      <c r="AN50" s="62">
        <f ca="1">AVERAGE(OFFSET($AM$3,0,0,'Données projet'!$E$10+1,1))-AVERAGE(OFFSET($H$3,0,0,'Données projet'!$E$10+1,1))</f>
        <v>2761.1400657295467</v>
      </c>
      <c r="AO50" s="62">
        <f t="shared" si="36"/>
        <v>316.41877504316409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33.089285714285715</v>
      </c>
      <c r="BD50" s="13">
        <f>IF('Données projet'!$A$88&gt;35,BD49+BC50-BL49,IF(A50&lt;'Données projet'!$A$88,$BA$205^A50,IF(A50='Données projet'!$A$88,'Données projet'!$B$88,BD49+BC50-BL49)))</f>
        <v>474.62571428571442</v>
      </c>
      <c r="BE50" s="14">
        <f>BD50*VLOOKUP('Données projet'!$B$11,Paramètres!$A$1:$I$89,3,0)*VLOOKUP('Données projet'!$B$11,Paramètres!$A$1:$I$89,5,0)</f>
        <v>496.07879657142871</v>
      </c>
      <c r="BF50" s="14">
        <f t="shared" si="37"/>
        <v>111.00451209431895</v>
      </c>
      <c r="BG50" s="22">
        <f t="shared" si="7"/>
        <v>1057.3367625928436</v>
      </c>
      <c r="BH50" s="62">
        <f t="shared" si="8"/>
        <v>1350.6700959261768</v>
      </c>
      <c r="BI50" s="62">
        <f ca="1">AVERAGE(OFFSET($BH$3,0,0,'Données projet'!$E$11+1,1))-AVERAGE(OFFSET($H$3,0,0,'Données projet'!$E$11+1,1))</f>
        <v>2843.5086223152098</v>
      </c>
      <c r="BJ50" s="62">
        <f t="shared" si="38"/>
        <v>324.81562437645522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33.089285714285715</v>
      </c>
      <c r="BY50" s="13">
        <f>IF('Données projet'!$A$114&gt;35,BY49+BX50-CG49,IF(A50&lt;'Données projet'!$A$114,$BV$205^A50,IF(A50='Données projet'!$A$114,'Données projet'!$B$114,BY49+BX50-CG49)))</f>
        <v>474.62571428571442</v>
      </c>
      <c r="BZ50" s="14">
        <f>BY50*VLOOKUP('Données projet'!$B$12,Paramètres!$A$1:$I$89,3,0)*VLOOKUP('Données projet'!$B$12,Paramètres!$A$1:$I$89,5,0)</f>
        <v>473.86631314285734</v>
      </c>
      <c r="CA50" s="14">
        <f t="shared" si="39"/>
        <v>106.60106943954085</v>
      </c>
      <c r="CB50" s="22">
        <f t="shared" si="10"/>
        <v>1010.98069133101</v>
      </c>
      <c r="CC50" s="62">
        <f t="shared" si="11"/>
        <v>1304.3140246643434</v>
      </c>
      <c r="CD50" s="62">
        <f ca="1">AVERAGE(OFFSET($CC$3,0,0,'Données projet'!$E$12+1,1))-AVERAGE(OFFSET($H$3,0,0,'Données projet'!$E$12+1,1))</f>
        <v>2719.939926994799</v>
      </c>
      <c r="CE50" s="62">
        <f t="shared" si="40"/>
        <v>312.21824046329749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35.283571428571427</v>
      </c>
      <c r="CT50" s="13">
        <f>IF('Données projet'!$A$140&gt;35,CT49+CS50-DB49,IF(A50&lt;'Données projet'!$A$140,$CQ$205^A50,IF(A50='Données projet'!$A$140,'Données projet'!$B$140,CT49+CS50-DB49)))</f>
        <v>554.61142857142852</v>
      </c>
      <c r="CU50" s="18">
        <f>CT50*VLOOKUP('Données projet'!$B$13,Paramètres!$A$1:$I$89,3,0)*VLOOKUP('Données projet'!$B$13,Paramètres!$A$1:$I$89,5,0)</f>
        <v>484.50854400000003</v>
      </c>
      <c r="CV50" s="14">
        <f t="shared" si="41"/>
        <v>108.71373511901602</v>
      </c>
      <c r="CW50" s="22">
        <f t="shared" si="13"/>
        <v>1033.1954694656197</v>
      </c>
      <c r="CX50" s="62">
        <f t="shared" si="14"/>
        <v>1326.5288027989529</v>
      </c>
      <c r="CY50" s="62">
        <f ca="1">AVERAGE(OFFSET($CX$3,0,0,'Données projet'!$E$13+1,1))-AVERAGE(OFFSET($H$3,0,0,'Données projet'!$E$13+1,1))</f>
        <v>1036.0130072090849</v>
      </c>
      <c r="CZ50" s="62">
        <f t="shared" si="42"/>
        <v>346.56593355696174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18.581818181818178</v>
      </c>
      <c r="DO50" s="13">
        <f>IF('Données projet'!$A$166&gt;35,DO49+DN50-DW49,IF(A50&lt;'Données projet'!$A$166,$DL$205^A50,IF(A50='Données projet'!$A$166,'Données projet'!$B$166,DO49+DN50-DW49)))</f>
        <v>616.89090909090942</v>
      </c>
      <c r="DP50" s="18">
        <f>DO50*VLOOKUP('Données projet'!$B$14,Paramètres!$A$1:$I$89,3,0)*VLOOKUP('Données projet'!$B$14,Paramètres!$A$1:$I$89,5,0)</f>
        <v>344.84201818181833</v>
      </c>
      <c r="DQ50" s="14">
        <f t="shared" si="43"/>
        <v>80.499513231942458</v>
      </c>
      <c r="DR50" s="22">
        <f t="shared" si="16"/>
        <v>740.80316721230008</v>
      </c>
      <c r="DS50" s="62">
        <f t="shared" si="17"/>
        <v>1034.1365005456335</v>
      </c>
      <c r="DT50" s="62">
        <f ca="1">AVERAGE(OFFSET($DS$3,0,0,'Données projet'!$E$14+1,1))-AVERAGE(OFFSET($H$3,0,0,'Données projet'!$E$14+1,1))</f>
        <v>446.48069057792151</v>
      </c>
      <c r="DU50" s="62">
        <f t="shared" si="44"/>
        <v>561.75656782935948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22.879312083068687</v>
      </c>
      <c r="EB50" s="23">
        <f>EXP(-LN(2)/25)*EB49+(1-EXP(-LN(2)/25))/(LN(2)/25)*Calculateur!DW50*Calculateur!DY50*VLOOKUP('Données projet'!$B$14,Paramètres!$A$1:$I$89,3,0)*0.475*44/12</f>
        <v>21.670234404506253</v>
      </c>
      <c r="EC50" s="23">
        <f>EXP(-LN(2)/2)*EC49+(1-EXP(-LN(2)/2))/(LN(2)/2)*DW50*DZ50*VLOOKUP('Données projet'!$B$14,Paramètres!$A$1:$I$89,3,0)*0.475*44/12</f>
        <v>3.2456077016098237</v>
      </c>
      <c r="ED50" s="24">
        <f t="shared" si="18"/>
        <v>47.795154189184764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18.297272727272727</v>
      </c>
      <c r="EJ50" s="13">
        <f>IF('Données projet'!$A$192&gt;35,EJ49+EI50-ER49,IF(A50&lt;'Données projet'!$A$192,$EG$205^A50,IF(A50='Données projet'!$A$192,'Données projet'!$B$192,EJ49+EI50-ER49)))</f>
        <v>262.78363636363645</v>
      </c>
      <c r="EK50" s="18">
        <f>EJ50*VLOOKUP('Données projet'!$B$15,Paramètres!$A$1:$I$89,3,0)*VLOOKUP('Données projet'!$B$15,Paramètres!$A$1:$I$89,5,0)</f>
        <v>254.1643330909092</v>
      </c>
      <c r="EL50" s="14">
        <f t="shared" si="45"/>
        <v>61.476810926927065</v>
      </c>
      <c r="EM50" s="22">
        <f t="shared" si="19"/>
        <v>549.74165916439813</v>
      </c>
      <c r="EN50" s="62">
        <f t="shared" si="20"/>
        <v>843.0749924977315</v>
      </c>
      <c r="EO50" s="62">
        <f ca="1">AVERAGE(OFFSET($EN$3,0,0,'Données projet'!$E$15+1,1))-AVERAGE(OFFSET($H$3,0,0,'Données projet'!$E$15+1,1))</f>
        <v>301.18531163828169</v>
      </c>
      <c r="EP50" s="62">
        <f t="shared" si="46"/>
        <v>192.30530273268101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18.297272727272727</v>
      </c>
      <c r="FE50" s="13">
        <f>IF('Données projet'!$A$218&gt;35,FE49+FD50-FM49,IF(A50&lt;'Données projet'!$A$218,$FB$205^A50,IF(A50='Données projet'!$A$218,'Données projet'!$B$218,FE49+FD50-FM49)))</f>
        <v>262.78363636363645</v>
      </c>
      <c r="FF50" s="18">
        <f>FE50*VLOOKUP('Données projet'!$B$16,Paramètres!$A$1:$I$89,3,0)*VLOOKUP('Données projet'!$B$16,Paramètres!$A$1:$I$89,5,0)</f>
        <v>204.97123636363642</v>
      </c>
      <c r="FG50" s="14">
        <f t="shared" si="47"/>
        <v>50.835128961075043</v>
      </c>
      <c r="FH50" s="22">
        <f t="shared" si="22"/>
        <v>445.52941960720585</v>
      </c>
      <c r="FI50" s="62">
        <f t="shared" si="23"/>
        <v>738.86275294053917</v>
      </c>
      <c r="FJ50" s="62">
        <f ca="1">AVERAGE(OFFSET($FI$3,0,0,'Données projet'!$E$16+1,1))-AVERAGE(OFFSET($H$3,0,0,'Données projet'!$E$16+1,1))</f>
        <v>249.2899297828755</v>
      </c>
      <c r="FK50" s="62">
        <f t="shared" si="48"/>
        <v>162.88011837476813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18.297272727272727</v>
      </c>
      <c r="FZ50" s="13">
        <f>IF('Données projet'!$A$244&gt;35,FZ49+FY50-GH49,IF(A50&lt;'Données projet'!$A$244,$FW$205^A50,IF(A50='Données projet'!$A$244,'Données projet'!$B$244,FZ49+FY50-GH49)))</f>
        <v>262.78363636363645</v>
      </c>
      <c r="GA50" s="18">
        <f>FZ50*VLOOKUP('Données projet'!$B$17,Paramètres!$A$1:$I$89,3,0)*VLOOKUP('Données projet'!$B$17,Paramètres!$A$1:$I$89,5,0)</f>
        <v>176.27526327272733</v>
      </c>
      <c r="GB50" s="14">
        <f t="shared" si="49"/>
        <v>44.492495086623684</v>
      </c>
      <c r="GC50" s="22">
        <f t="shared" si="25"/>
        <v>384.50384580920303</v>
      </c>
      <c r="GD50" s="62">
        <f t="shared" si="26"/>
        <v>677.83717914253634</v>
      </c>
      <c r="GE50" s="62">
        <f ca="1">AVERAGE(OFFSET($GD$3,0,0,'Données projet'!$E$17+1,1))-AVERAGE(OFFSET($H$3,0,0,'Données projet'!$E$17+1,1))</f>
        <v>218.89895999738746</v>
      </c>
      <c r="GF50" s="62">
        <f t="shared" si="50"/>
        <v>145.64042897395763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18.297272727272727</v>
      </c>
      <c r="GU50" s="13">
        <f>IF('Données projet'!$A$270&gt;35,GU49+GT50-HC49,IF(A50&lt;'Données projet'!$A$270,$GR$205^A50,IF(A50='Données projet'!$A$270,'Données projet'!$B$270,GU49+GT50-HC49)))</f>
        <v>262.78363636363645</v>
      </c>
      <c r="GV50" s="18">
        <f>GU50*VLOOKUP('Données projet'!$B$18,Paramètres!$A$1:$I$89,3,0)*VLOOKUP('Données projet'!$B$18,Paramètres!$A$1:$I$89,5,0)</f>
        <v>282.86030618181826</v>
      </c>
      <c r="GW50" s="14">
        <f t="shared" si="51"/>
        <v>67.571115784626031</v>
      </c>
      <c r="GX50" s="22">
        <f t="shared" si="28"/>
        <v>610.33472659155711</v>
      </c>
      <c r="GY50" s="62">
        <f t="shared" si="29"/>
        <v>903.66805992489049</v>
      </c>
      <c r="GZ50" s="62">
        <f ca="1">AVERAGE(OFFSET($GY$3,0,0,'Données projet'!$E$18+1,1))-AVERAGE(OFFSET($H$3,0,0,'Données projet'!$E$18+1,1))</f>
        <v>331.3579800635751</v>
      </c>
      <c r="HA50" s="62">
        <f t="shared" si="52"/>
        <v>209.40702003535273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33.089285714285715</v>
      </c>
      <c r="N51" s="14">
        <f>IF('Données projet'!$A$36&gt;35,N50+M51-V50,IF(A51&lt;'Données projet'!$A$36,$K$205^A51,IF(A51='Données projet'!$A$36,'Données projet'!$B$36,N50+M51-V50)))</f>
        <v>507.71500000000015</v>
      </c>
      <c r="O51" s="14">
        <f>N51*VLOOKUP('Données projet'!$B$9,Paramètres!$A$1:$I$89,3,0)*VLOOKUP('Données projet'!$B$9,Paramètres!$A$1:$I$89,5,0)</f>
        <v>459.38053200000007</v>
      </c>
      <c r="P51" s="14">
        <f t="shared" si="33"/>
        <v>103.71647837956586</v>
      </c>
      <c r="Q51" s="22">
        <f t="shared" si="53"/>
        <v>980.72729307774398</v>
      </c>
      <c r="R51" s="62">
        <f t="shared" si="0"/>
        <v>1274.0606264110772</v>
      </c>
      <c r="S51" s="62">
        <f ca="1">AVERAGE(OFFSET($R$3,0,0,'Données projet'!$E$9+1,1))-AVERAGE(OFFSET($H$3,0,0,'Données projet'!$E$9+1,1))</f>
        <v>2472.5049373954762</v>
      </c>
      <c r="T51" s="62">
        <f t="shared" si="34"/>
        <v>286.98388307318311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33.089285714285715</v>
      </c>
      <c r="AI51" s="14">
        <f>IF('Données projet'!$A$62&gt;35,AI50+AH51-AQ50,IF(A51&lt;'Données projet'!$A$62,$AF$205^A51,IF(A51='Données projet'!$A$62,'Données projet'!$B$62,AI50+AH51-AQ50)))</f>
        <v>507.71500000000015</v>
      </c>
      <c r="AJ51" s="14">
        <f>AI51*VLOOKUP('Données projet'!$B$10,Paramètres!$A$1:$I$89,3,0)*VLOOKUP('Données projet'!$B$10,Paramètres!$A$1:$I$89,5,0)</f>
        <v>514.82301000000018</v>
      </c>
      <c r="AK51" s="14">
        <f t="shared" si="35"/>
        <v>114.70253838180456</v>
      </c>
      <c r="AL51" s="22">
        <f t="shared" si="4"/>
        <v>1096.4236634316433</v>
      </c>
      <c r="AM51" s="62">
        <f t="shared" si="5"/>
        <v>1389.7569967649765</v>
      </c>
      <c r="AN51" s="62">
        <f ca="1">AVERAGE(OFFSET($AM$3,0,0,'Données projet'!$E$10+1,1))-AVERAGE(OFFSET($H$3,0,0,'Données projet'!$E$10+1,1))</f>
        <v>2761.1400657295467</v>
      </c>
      <c r="AO51" s="62">
        <f t="shared" si="36"/>
        <v>316.41877504316409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33.089285714285715</v>
      </c>
      <c r="BD51" s="13">
        <f>IF('Données projet'!$A$88&gt;35,BD50+BC51-BL50,IF(A51&lt;'Données projet'!$A$88,$BA$205^A51,IF(A51='Données projet'!$A$88,'Données projet'!$B$88,BD50+BC51-BL50)))</f>
        <v>507.71500000000015</v>
      </c>
      <c r="BE51" s="14">
        <f>BD51*VLOOKUP('Données projet'!$B$11,Paramètres!$A$1:$I$89,3,0)*VLOOKUP('Données projet'!$B$11,Paramètres!$A$1:$I$89,5,0)</f>
        <v>530.66371800000024</v>
      </c>
      <c r="BF51" s="14">
        <f t="shared" si="37"/>
        <v>117.81551411579609</v>
      </c>
      <c r="BG51" s="22">
        <f t="shared" si="7"/>
        <v>1129.4346626016786</v>
      </c>
      <c r="BH51" s="62">
        <f t="shared" si="8"/>
        <v>1422.7679959350119</v>
      </c>
      <c r="BI51" s="62">
        <f ca="1">AVERAGE(OFFSET($BH$3,0,0,'Données projet'!$E$11+1,1))-AVERAGE(OFFSET($H$3,0,0,'Données projet'!$E$11+1,1))</f>
        <v>2843.5086223152098</v>
      </c>
      <c r="BJ51" s="62">
        <f t="shared" si="38"/>
        <v>324.81562437645522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33.089285714285715</v>
      </c>
      <c r="BY51" s="13">
        <f>IF('Données projet'!$A$114&gt;35,BY50+BX51-CG50,IF(A51&lt;'Données projet'!$A$114,$BV$205^A51,IF(A51='Données projet'!$A$114,'Données projet'!$B$114,BY50+BX51-CG50)))</f>
        <v>507.71500000000015</v>
      </c>
      <c r="BZ51" s="14">
        <f>BY51*VLOOKUP('Données projet'!$B$12,Paramètres!$A$1:$I$89,3,0)*VLOOKUP('Données projet'!$B$12,Paramètres!$A$1:$I$89,5,0)</f>
        <v>506.90265600000015</v>
      </c>
      <c r="CA51" s="14">
        <f t="shared" si="39"/>
        <v>113.14188553562353</v>
      </c>
      <c r="CB51" s="22">
        <f t="shared" si="10"/>
        <v>1079.9109098412112</v>
      </c>
      <c r="CC51" s="62">
        <f t="shared" si="11"/>
        <v>1373.2442431745444</v>
      </c>
      <c r="CD51" s="62">
        <f ca="1">AVERAGE(OFFSET($CC$3,0,0,'Données projet'!$E$12+1,1))-AVERAGE(OFFSET($H$3,0,0,'Données projet'!$E$12+1,1))</f>
        <v>2719.939926994799</v>
      </c>
      <c r="CE51" s="62">
        <f t="shared" si="40"/>
        <v>312.21824046329749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35.283571428571427</v>
      </c>
      <c r="CT51" s="13">
        <f>IF('Données projet'!$A$140&gt;35,CT50+CS51-DB50,IF(A51&lt;'Données projet'!$A$140,$CQ$205^A51,IF(A51='Données projet'!$A$140,'Données projet'!$B$140,CT50+CS51-DB50)))</f>
        <v>589.89499999999998</v>
      </c>
      <c r="CU51" s="18">
        <f>CT51*VLOOKUP('Données projet'!$B$13,Paramètres!$A$1:$I$89,3,0)*VLOOKUP('Données projet'!$B$13,Paramètres!$A$1:$I$89,5,0)</f>
        <v>515.33227199999999</v>
      </c>
      <c r="CV51" s="14">
        <f t="shared" si="41"/>
        <v>114.80278900097808</v>
      </c>
      <c r="CW51" s="22">
        <f t="shared" si="13"/>
        <v>1097.4852312433702</v>
      </c>
      <c r="CX51" s="62">
        <f t="shared" si="14"/>
        <v>1390.8185645767035</v>
      </c>
      <c r="CY51" s="62">
        <f ca="1">AVERAGE(OFFSET($CX$3,0,0,'Données projet'!$E$13+1,1))-AVERAGE(OFFSET($H$3,0,0,'Données projet'!$E$13+1,1))</f>
        <v>1036.0130072090849</v>
      </c>
      <c r="CZ51" s="62">
        <f t="shared" si="42"/>
        <v>346.56593355696174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18.581818181818178</v>
      </c>
      <c r="DO51" s="13">
        <f>IF('Données projet'!$A$166&gt;35,DO50+DN51-DW50,IF(A51&lt;'Données projet'!$A$166,$DL$205^A51,IF(A51='Données projet'!$A$166,'Données projet'!$B$166,DO50+DN51-DW50)))</f>
        <v>635.47272727272764</v>
      </c>
      <c r="DP51" s="18">
        <f>DO51*VLOOKUP('Données projet'!$B$14,Paramètres!$A$1:$I$89,3,0)*VLOOKUP('Données projet'!$B$14,Paramètres!$A$1:$I$89,5,0)</f>
        <v>355.22925454545475</v>
      </c>
      <c r="DQ51" s="14">
        <f t="shared" si="43"/>
        <v>82.638337927321146</v>
      </c>
      <c r="DR51" s="22">
        <f t="shared" si="16"/>
        <v>762.61939022341801</v>
      </c>
      <c r="DS51" s="62">
        <f t="shared" si="17"/>
        <v>1055.9527235567514</v>
      </c>
      <c r="DT51" s="62">
        <f ca="1">AVERAGE(OFFSET($DS$3,0,0,'Données projet'!$E$14+1,1))-AVERAGE(OFFSET($H$3,0,0,'Données projet'!$E$14+1,1))</f>
        <v>446.48069057792151</v>
      </c>
      <c r="DU51" s="62">
        <f t="shared" si="44"/>
        <v>561.75656782935948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22.430662728122137</v>
      </c>
      <c r="EB51" s="23">
        <f>EXP(-LN(2)/25)*EB50+(1-EXP(-LN(2)/25))/(LN(2)/25)*Calculateur!DW51*Calculateur!DY51*VLOOKUP('Données projet'!$B$14,Paramètres!$A$1:$I$89,3,0)*0.475*44/12</f>
        <v>21.077660705126931</v>
      </c>
      <c r="EC51" s="23">
        <f>EXP(-LN(2)/2)*EC50+(1-EXP(-LN(2)/2))/(LN(2)/2)*DW51*DZ51*VLOOKUP('Données projet'!$B$14,Paramètres!$A$1:$I$89,3,0)*0.475*44/12</f>
        <v>2.294991214879591</v>
      </c>
      <c r="ED51" s="24">
        <f t="shared" si="18"/>
        <v>45.803314648128662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18.297272727272727</v>
      </c>
      <c r="EJ51" s="13">
        <f>IF('Données projet'!$A$192&gt;35,EJ50+EI51-ER50,IF(A51&lt;'Données projet'!$A$192,$EG$205^A51,IF(A51='Données projet'!$A$192,'Données projet'!$B$192,EJ50+EI51-ER50)))</f>
        <v>281.08090909090919</v>
      </c>
      <c r="EK51" s="18">
        <f>EJ51*VLOOKUP('Données projet'!$B$15,Paramètres!$A$1:$I$89,3,0)*VLOOKUP('Données projet'!$B$15,Paramètres!$A$1:$I$89,5,0)</f>
        <v>271.86145527272737</v>
      </c>
      <c r="EL51" s="14">
        <f t="shared" si="45"/>
        <v>65.244158970139026</v>
      </c>
      <c r="EM51" s="22">
        <f t="shared" si="19"/>
        <v>587.12561147299232</v>
      </c>
      <c r="EN51" s="62">
        <f t="shared" si="20"/>
        <v>880.45894480632569</v>
      </c>
      <c r="EO51" s="62">
        <f ca="1">AVERAGE(OFFSET($EN$3,0,0,'Données projet'!$E$15+1,1))-AVERAGE(OFFSET($H$3,0,0,'Données projet'!$E$15+1,1))</f>
        <v>301.18531163828169</v>
      </c>
      <c r="EP51" s="62">
        <f t="shared" si="46"/>
        <v>192.30530273268101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18.297272727272727</v>
      </c>
      <c r="FE51" s="13">
        <f>IF('Données projet'!$A$218&gt;35,FE50+FD51-FM50,IF(A51&lt;'Données projet'!$A$218,$FB$205^A51,IF(A51='Données projet'!$A$218,'Données projet'!$B$218,FE50+FD51-FM50)))</f>
        <v>281.08090909090919</v>
      </c>
      <c r="FF51" s="18">
        <f>FE51*VLOOKUP('Données projet'!$B$16,Paramètres!$A$1:$I$89,3,0)*VLOOKUP('Données projet'!$B$16,Paramètres!$A$1:$I$89,5,0)</f>
        <v>219.24310909090917</v>
      </c>
      <c r="FG51" s="14">
        <f t="shared" si="47"/>
        <v>53.950346239433451</v>
      </c>
      <c r="FH51" s="22">
        <f t="shared" si="22"/>
        <v>475.81193470034668</v>
      </c>
      <c r="FI51" s="62">
        <f t="shared" si="23"/>
        <v>769.14526803367994</v>
      </c>
      <c r="FJ51" s="62">
        <f ca="1">AVERAGE(OFFSET($FI$3,0,0,'Données projet'!$E$16+1,1))-AVERAGE(OFFSET($H$3,0,0,'Données projet'!$E$16+1,1))</f>
        <v>249.2899297828755</v>
      </c>
      <c r="FK51" s="62">
        <f t="shared" si="48"/>
        <v>162.88011837476813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18.297272727272727</v>
      </c>
      <c r="FZ51" s="13">
        <f>IF('Données projet'!$A$244&gt;35,FZ50+FY51-GH50,IF(A51&lt;'Données projet'!$A$244,$FW$205^A51,IF(A51='Données projet'!$A$244,'Données projet'!$B$244,FZ50+FY51-GH50)))</f>
        <v>281.08090909090919</v>
      </c>
      <c r="GA51" s="18">
        <f>FZ51*VLOOKUP('Données projet'!$B$17,Paramètres!$A$1:$I$89,3,0)*VLOOKUP('Données projet'!$B$17,Paramètres!$A$1:$I$89,5,0)</f>
        <v>188.54907381818188</v>
      </c>
      <c r="GB51" s="14">
        <f t="shared" si="49"/>
        <v>47.219030698587154</v>
      </c>
      <c r="GC51" s="22">
        <f t="shared" si="25"/>
        <v>410.62944870003935</v>
      </c>
      <c r="GD51" s="62">
        <f t="shared" si="26"/>
        <v>703.9627820333726</v>
      </c>
      <c r="GE51" s="62">
        <f ca="1">AVERAGE(OFFSET($GD$3,0,0,'Données projet'!$E$17+1,1))-AVERAGE(OFFSET($H$3,0,0,'Données projet'!$E$17+1,1))</f>
        <v>218.89895999738746</v>
      </c>
      <c r="GF51" s="62">
        <f t="shared" si="50"/>
        <v>145.64042897395763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18.297272727272727</v>
      </c>
      <c r="GU51" s="13">
        <f>IF('Données projet'!$A$270&gt;35,GU50+GT51-HC50,IF(A51&lt;'Données projet'!$A$270,$GR$205^A51,IF(A51='Données projet'!$A$270,'Données projet'!$B$270,GU50+GT51-HC50)))</f>
        <v>281.08090909090919</v>
      </c>
      <c r="GV51" s="18">
        <f>GU51*VLOOKUP('Données projet'!$B$18,Paramètres!$A$1:$I$89,3,0)*VLOOKUP('Données projet'!$B$18,Paramètres!$A$1:$I$89,5,0)</f>
        <v>302.55549054545463</v>
      </c>
      <c r="GW51" s="14">
        <f t="shared" si="51"/>
        <v>71.71192769387487</v>
      </c>
      <c r="GX51" s="22">
        <f t="shared" si="28"/>
        <v>651.84908676683222</v>
      </c>
      <c r="GY51" s="62">
        <f t="shared" si="29"/>
        <v>945.18242010016547</v>
      </c>
      <c r="GZ51" s="62">
        <f ca="1">AVERAGE(OFFSET($GY$3,0,0,'Données projet'!$E$18+1,1))-AVERAGE(OFFSET($H$3,0,0,'Données projet'!$E$18+1,1))</f>
        <v>331.3579800635751</v>
      </c>
      <c r="HA51" s="62">
        <f t="shared" si="52"/>
        <v>209.40702003535273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33.089285714285715</v>
      </c>
      <c r="N52" s="14">
        <f>IF('Données projet'!$A$36&gt;35,N51+M52-V51,IF(A52&lt;'Données projet'!$A$36,$K$205^A52,IF(A52='Données projet'!$A$36,'Données projet'!$B$36,N51+M52-V51)))</f>
        <v>540.80428571428581</v>
      </c>
      <c r="O52" s="14">
        <f>N52*VLOOKUP('Données projet'!$B$9,Paramètres!$A$1:$I$89,3,0)*VLOOKUP('Données projet'!$B$9,Paramètres!$A$1:$I$89,5,0)</f>
        <v>489.31971771428573</v>
      </c>
      <c r="P52" s="14">
        <f t="shared" si="33"/>
        <v>109.66705704738575</v>
      </c>
      <c r="Q52" s="22">
        <f t="shared" si="53"/>
        <v>1043.2352993765778</v>
      </c>
      <c r="R52" s="62">
        <f t="shared" si="0"/>
        <v>1336.5686327099111</v>
      </c>
      <c r="S52" s="62">
        <f ca="1">AVERAGE(OFFSET($R$3,0,0,'Données projet'!$E$9+1,1))-AVERAGE(OFFSET($H$3,0,0,'Données projet'!$E$9+1,1))</f>
        <v>2472.5049373954762</v>
      </c>
      <c r="T52" s="62">
        <f t="shared" si="34"/>
        <v>286.98388307318311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33.089285714285715</v>
      </c>
      <c r="AI52" s="14">
        <f>IF('Données projet'!$A$62&gt;35,AI51+AH52-AQ51,IF(A52&lt;'Données projet'!$A$62,$AF$205^A52,IF(A52='Données projet'!$A$62,'Données projet'!$B$62,AI51+AH52-AQ51)))</f>
        <v>540.80428571428581</v>
      </c>
      <c r="AJ52" s="14">
        <f>AI52*VLOOKUP('Données projet'!$B$10,Paramètres!$A$1:$I$89,3,0)*VLOOKUP('Données projet'!$B$10,Paramètres!$A$1:$I$89,5,0)</f>
        <v>548.37554571428586</v>
      </c>
      <c r="AK52" s="14">
        <f t="shared" si="35"/>
        <v>121.28342590038832</v>
      </c>
      <c r="AL52" s="22">
        <f t="shared" si="4"/>
        <v>1166.3227088955575</v>
      </c>
      <c r="AM52" s="62">
        <f t="shared" si="5"/>
        <v>1459.6560422288908</v>
      </c>
      <c r="AN52" s="62">
        <f ca="1">AVERAGE(OFFSET($AM$3,0,0,'Données projet'!$E$10+1,1))-AVERAGE(OFFSET($H$3,0,0,'Données projet'!$E$10+1,1))</f>
        <v>2761.1400657295467</v>
      </c>
      <c r="AO52" s="62">
        <f t="shared" si="36"/>
        <v>316.41877504316409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33.089285714285715</v>
      </c>
      <c r="BD52" s="13">
        <f>IF('Données projet'!$A$88&gt;35,BD51+BC52-BL51,IF(A52&lt;'Données projet'!$A$88,$BA$205^A52,IF(A52='Données projet'!$A$88,'Données projet'!$B$88,BD51+BC52-BL51)))</f>
        <v>540.80428571428581</v>
      </c>
      <c r="BE52" s="14">
        <f>BD52*VLOOKUP('Données projet'!$B$11,Paramètres!$A$1:$I$89,3,0)*VLOOKUP('Données projet'!$B$11,Paramètres!$A$1:$I$89,5,0)</f>
        <v>565.24863942857155</v>
      </c>
      <c r="BF52" s="14">
        <f t="shared" si="37"/>
        <v>124.57500398653781</v>
      </c>
      <c r="BG52" s="22">
        <f t="shared" si="7"/>
        <v>1201.4428456146488</v>
      </c>
      <c r="BH52" s="62">
        <f t="shared" si="8"/>
        <v>1494.7761789479821</v>
      </c>
      <c r="BI52" s="62">
        <f ca="1">AVERAGE(OFFSET($BH$3,0,0,'Données projet'!$E$11+1,1))-AVERAGE(OFFSET($H$3,0,0,'Données projet'!$E$11+1,1))</f>
        <v>2843.5086223152098</v>
      </c>
      <c r="BJ52" s="62">
        <f t="shared" si="38"/>
        <v>324.81562437645522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33.089285714285715</v>
      </c>
      <c r="BY52" s="13">
        <f>IF('Données projet'!$A$114&gt;35,BY51+BX52-CG51,IF(A52&lt;'Données projet'!$A$114,$BV$205^A52,IF(A52='Données projet'!$A$114,'Données projet'!$B$114,BY51+BX52-CG51)))</f>
        <v>540.80428571428581</v>
      </c>
      <c r="BZ52" s="14">
        <f>BY52*VLOOKUP('Données projet'!$B$12,Paramètres!$A$1:$I$89,3,0)*VLOOKUP('Données projet'!$B$12,Paramètres!$A$1:$I$89,5,0)</f>
        <v>539.93899885714302</v>
      </c>
      <c r="CA52" s="14">
        <f t="shared" si="39"/>
        <v>119.63323291864312</v>
      </c>
      <c r="CB52" s="22">
        <f t="shared" si="10"/>
        <v>1148.7549703428274</v>
      </c>
      <c r="CC52" s="62">
        <f t="shared" si="11"/>
        <v>1442.0883036761606</v>
      </c>
      <c r="CD52" s="62">
        <f ca="1">AVERAGE(OFFSET($CC$3,0,0,'Données projet'!$E$12+1,1))-AVERAGE(OFFSET($H$3,0,0,'Données projet'!$E$12+1,1))</f>
        <v>2719.939926994799</v>
      </c>
      <c r="CE52" s="62">
        <f t="shared" si="40"/>
        <v>312.21824046329749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35.283571428571427</v>
      </c>
      <c r="CT52" s="13">
        <f>IF('Données projet'!$A$140&gt;35,CT51+CS52-DB51,IF(A52&lt;'Données projet'!$A$140,$CQ$205^A52,IF(A52='Données projet'!$A$140,'Données projet'!$B$140,CT51+CS52-DB51)))</f>
        <v>625.17857142857144</v>
      </c>
      <c r="CU52" s="18">
        <f>CT52*VLOOKUP('Données projet'!$B$13,Paramètres!$A$1:$I$89,3,0)*VLOOKUP('Données projet'!$B$13,Paramètres!$A$1:$I$89,5,0)</f>
        <v>546.15600000000006</v>
      </c>
      <c r="CV52" s="14">
        <f t="shared" si="41"/>
        <v>120.84956988390817</v>
      </c>
      <c r="CW52" s="22">
        <f t="shared" si="13"/>
        <v>1161.7013675478067</v>
      </c>
      <c r="CX52" s="62">
        <f t="shared" si="14"/>
        <v>1455.03470088114</v>
      </c>
      <c r="CY52" s="62">
        <f ca="1">AVERAGE(OFFSET($CX$3,0,0,'Données projet'!$E$13+1,1))-AVERAGE(OFFSET($H$3,0,0,'Données projet'!$E$13+1,1))</f>
        <v>1036.0130072090849</v>
      </c>
      <c r="CZ52" s="62">
        <f t="shared" si="42"/>
        <v>346.56593355696174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18.581818181818178</v>
      </c>
      <c r="DO52" s="13">
        <f>IF('Données projet'!$A$166&gt;35,DO51+DN52-DW51,IF(A52&lt;'Données projet'!$A$166,$DL$205^A52,IF(A52='Données projet'!$A$166,'Données projet'!$B$166,DO51+DN52-DW51)))</f>
        <v>654.05454545454586</v>
      </c>
      <c r="DP52" s="18">
        <f>DO52*VLOOKUP('Données projet'!$B$14,Paramètres!$A$1:$I$89,3,0)*VLOOKUP('Données projet'!$B$14,Paramètres!$A$1:$I$89,5,0)</f>
        <v>365.61649090909111</v>
      </c>
      <c r="DQ52" s="14">
        <f t="shared" si="43"/>
        <v>84.769894102933378</v>
      </c>
      <c r="DR52" s="22">
        <f t="shared" si="16"/>
        <v>784.42295389594256</v>
      </c>
      <c r="DS52" s="62">
        <f t="shared" si="17"/>
        <v>1077.7562872292758</v>
      </c>
      <c r="DT52" s="62">
        <f ca="1">AVERAGE(OFFSET($DS$3,0,0,'Données projet'!$E$14+1,1))-AVERAGE(OFFSET($H$3,0,0,'Données projet'!$E$14+1,1))</f>
        <v>446.48069057792151</v>
      </c>
      <c r="DU52" s="62">
        <f t="shared" si="44"/>
        <v>561.75656782935948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21.990811113377003</v>
      </c>
      <c r="EB52" s="23">
        <f>EXP(-LN(2)/25)*EB51+(1-EXP(-LN(2)/25))/(LN(2)/25)*Calculateur!DW52*Calculateur!DY52*VLOOKUP('Données projet'!$B$14,Paramètres!$A$1:$I$89,3,0)*0.475*44/12</f>
        <v>20.501290964719232</v>
      </c>
      <c r="EC52" s="23">
        <f>EXP(-LN(2)/2)*EC51+(1-EXP(-LN(2)/2))/(LN(2)/2)*DW52*DZ52*VLOOKUP('Données projet'!$B$14,Paramètres!$A$1:$I$89,3,0)*0.475*44/12</f>
        <v>1.6228038508049119</v>
      </c>
      <c r="ED52" s="24">
        <f t="shared" si="18"/>
        <v>44.114905928901152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18.297272727272727</v>
      </c>
      <c r="EJ52" s="13">
        <f>IF('Données projet'!$A$192&gt;35,EJ51+EI52-ER51,IF(A52&lt;'Données projet'!$A$192,$EG$205^A52,IF(A52='Données projet'!$A$192,'Données projet'!$B$192,EJ51+EI52-ER51)))</f>
        <v>299.37818181818193</v>
      </c>
      <c r="EK52" s="18">
        <f>EJ52*VLOOKUP('Données projet'!$B$15,Paramètres!$A$1:$I$89,3,0)*VLOOKUP('Données projet'!$B$15,Paramètres!$A$1:$I$89,5,0)</f>
        <v>289.55857745454557</v>
      </c>
      <c r="EL52" s="14">
        <f t="shared" si="45"/>
        <v>68.983047779312798</v>
      </c>
      <c r="EM52" s="22">
        <f t="shared" si="19"/>
        <v>624.45999728230333</v>
      </c>
      <c r="EN52" s="62">
        <f t="shared" si="20"/>
        <v>917.79333061563671</v>
      </c>
      <c r="EO52" s="62">
        <f ca="1">AVERAGE(OFFSET($EN$3,0,0,'Données projet'!$E$15+1,1))-AVERAGE(OFFSET($H$3,0,0,'Données projet'!$E$15+1,1))</f>
        <v>301.18531163828169</v>
      </c>
      <c r="EP52" s="62">
        <f t="shared" si="46"/>
        <v>192.30530273268101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18.297272727272727</v>
      </c>
      <c r="FE52" s="13">
        <f>IF('Données projet'!$A$218&gt;35,FE51+FD52-FM51,IF(A52&lt;'Données projet'!$A$218,$FB$205^A52,IF(A52='Données projet'!$A$218,'Données projet'!$B$218,FE51+FD52-FM51)))</f>
        <v>299.37818181818193</v>
      </c>
      <c r="FF52" s="18">
        <f>FE52*VLOOKUP('Données projet'!$B$16,Paramètres!$A$1:$I$89,3,0)*VLOOKUP('Données projet'!$B$16,Paramètres!$A$1:$I$89,5,0)</f>
        <v>233.51498181818192</v>
      </c>
      <c r="FG52" s="14">
        <f t="shared" si="47"/>
        <v>57.042030598457721</v>
      </c>
      <c r="FH52" s="22">
        <f t="shared" si="22"/>
        <v>506.05346329231401</v>
      </c>
      <c r="FI52" s="62">
        <f t="shared" si="23"/>
        <v>799.38679662564732</v>
      </c>
      <c r="FJ52" s="62">
        <f ca="1">AVERAGE(OFFSET($FI$3,0,0,'Données projet'!$E$16+1,1))-AVERAGE(OFFSET($H$3,0,0,'Données projet'!$E$16+1,1))</f>
        <v>249.2899297828755</v>
      </c>
      <c r="FK52" s="62">
        <f t="shared" si="48"/>
        <v>162.88011837476813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18.297272727272727</v>
      </c>
      <c r="FZ52" s="13">
        <f>IF('Données projet'!$A$244&gt;35,FZ51+FY52-GH51,IF(A52&lt;'Données projet'!$A$244,$FW$205^A52,IF(A52='Données projet'!$A$244,'Données projet'!$B$244,FZ51+FY52-GH51)))</f>
        <v>299.37818181818193</v>
      </c>
      <c r="GA52" s="18">
        <f>FZ52*VLOOKUP('Données projet'!$B$17,Paramètres!$A$1:$I$89,3,0)*VLOOKUP('Données projet'!$B$17,Paramètres!$A$1:$I$89,5,0)</f>
        <v>200.82288436363643</v>
      </c>
      <c r="GB52" s="14">
        <f t="shared" si="49"/>
        <v>49.92496956339469</v>
      </c>
      <c r="GC52" s="22">
        <f t="shared" si="25"/>
        <v>436.71917892291253</v>
      </c>
      <c r="GD52" s="62">
        <f t="shared" si="26"/>
        <v>730.05251225624579</v>
      </c>
      <c r="GE52" s="62">
        <f ca="1">AVERAGE(OFFSET($GD$3,0,0,'Données projet'!$E$17+1,1))-AVERAGE(OFFSET($H$3,0,0,'Données projet'!$E$17+1,1))</f>
        <v>218.89895999738746</v>
      </c>
      <c r="GF52" s="62">
        <f t="shared" si="50"/>
        <v>145.64042897395763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18.297272727272727</v>
      </c>
      <c r="GU52" s="13">
        <f>IF('Données projet'!$A$270&gt;35,GU51+GT52-HC51,IF(A52&lt;'Données projet'!$A$270,$GR$205^A52,IF(A52='Données projet'!$A$270,'Données projet'!$B$270,GU51+GT52-HC51)))</f>
        <v>299.37818181818193</v>
      </c>
      <c r="GV52" s="18">
        <f>GU52*VLOOKUP('Données projet'!$B$18,Paramètres!$A$1:$I$89,3,0)*VLOOKUP('Données projet'!$B$18,Paramètres!$A$1:$I$89,5,0)</f>
        <v>322.250674909091</v>
      </c>
      <c r="GW52" s="14">
        <f t="shared" si="51"/>
        <v>75.821459154945998</v>
      </c>
      <c r="GX52" s="22">
        <f t="shared" si="28"/>
        <v>693.30896682819775</v>
      </c>
      <c r="GY52" s="62">
        <f t="shared" si="29"/>
        <v>986.64230016153101</v>
      </c>
      <c r="GZ52" s="62">
        <f ca="1">AVERAGE(OFFSET($GY$3,0,0,'Données projet'!$E$18+1,1))-AVERAGE(OFFSET($H$3,0,0,'Données projet'!$E$18+1,1))</f>
        <v>331.3579800635751</v>
      </c>
      <c r="HA52" s="62">
        <f t="shared" si="52"/>
        <v>209.40702003535273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33.089285714285715</v>
      </c>
      <c r="N53" s="14">
        <f>IF('Données projet'!$A$36&gt;35,N52+M53-V52,IF(A53&lt;'Données projet'!$A$36,$K$205^A53,IF(A53='Données projet'!$A$36,'Données projet'!$B$36,N52+M53-V52)))</f>
        <v>573.89357142857148</v>
      </c>
      <c r="O53" s="14">
        <f>N53*VLOOKUP('Données projet'!$B$9,Paramètres!$A$1:$I$89,3,0)*VLOOKUP('Données projet'!$B$9,Paramètres!$A$1:$I$89,5,0)</f>
        <v>519.25890342857144</v>
      </c>
      <c r="P53" s="14">
        <f t="shared" si="33"/>
        <v>115.57537859186183</v>
      </c>
      <c r="Q53" s="22">
        <f t="shared" si="53"/>
        <v>1105.6697078522545</v>
      </c>
      <c r="R53" s="62">
        <f t="shared" si="0"/>
        <v>1399.0030411855878</v>
      </c>
      <c r="S53" s="62">
        <f ca="1">AVERAGE(OFFSET($R$3,0,0,'Données projet'!$E$9+1,1))-AVERAGE(OFFSET($H$3,0,0,'Données projet'!$E$9+1,1))</f>
        <v>2472.5049373954762</v>
      </c>
      <c r="T53" s="62">
        <f t="shared" si="34"/>
        <v>286.98388307318311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33.089285714285715</v>
      </c>
      <c r="AI53" s="14">
        <f>IF('Données projet'!$A$62&gt;35,AI52+AH53-AQ52,IF(A53&lt;'Données projet'!$A$62,$AF$205^A53,IF(A53='Données projet'!$A$62,'Données projet'!$B$62,AI52+AH53-AQ52)))</f>
        <v>573.89357142857148</v>
      </c>
      <c r="AJ53" s="14">
        <f>AI53*VLOOKUP('Données projet'!$B$10,Paramètres!$A$1:$I$89,3,0)*VLOOKUP('Données projet'!$B$10,Paramètres!$A$1:$I$89,5,0)</f>
        <v>581.92808142857155</v>
      </c>
      <c r="AK53" s="14">
        <f t="shared" si="35"/>
        <v>127.81758025382837</v>
      </c>
      <c r="AL53" s="22">
        <f t="shared" si="4"/>
        <v>1236.1403607635132</v>
      </c>
      <c r="AM53" s="62">
        <f t="shared" si="5"/>
        <v>1529.4736940968464</v>
      </c>
      <c r="AN53" s="62">
        <f ca="1">AVERAGE(OFFSET($AM$3,0,0,'Données projet'!$E$10+1,1))-AVERAGE(OFFSET($H$3,0,0,'Données projet'!$E$10+1,1))</f>
        <v>2761.1400657295467</v>
      </c>
      <c r="AO53" s="62">
        <f t="shared" si="36"/>
        <v>316.41877504316409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33.089285714285715</v>
      </c>
      <c r="BD53" s="13">
        <f>IF('Données projet'!$A$88&gt;35,BD52+BC53-BL52,IF(A53&lt;'Données projet'!$A$88,$BA$205^A53,IF(A53='Données projet'!$A$88,'Données projet'!$B$88,BD52+BC53-BL52)))</f>
        <v>573.89357142857148</v>
      </c>
      <c r="BE53" s="14">
        <f>BD53*VLOOKUP('Données projet'!$B$11,Paramètres!$A$1:$I$89,3,0)*VLOOKUP('Données projet'!$B$11,Paramètres!$A$1:$I$89,5,0)</f>
        <v>599.83356085714297</v>
      </c>
      <c r="BF53" s="14">
        <f t="shared" si="37"/>
        <v>131.28649237487684</v>
      </c>
      <c r="BG53" s="22">
        <f t="shared" si="7"/>
        <v>1273.3674260457676</v>
      </c>
      <c r="BH53" s="62">
        <f t="shared" si="8"/>
        <v>1566.7007593791009</v>
      </c>
      <c r="BI53" s="62">
        <f ca="1">AVERAGE(OFFSET($BH$3,0,0,'Données projet'!$E$11+1,1))-AVERAGE(OFFSET($H$3,0,0,'Données projet'!$E$11+1,1))</f>
        <v>2843.5086223152098</v>
      </c>
      <c r="BJ53" s="62">
        <f t="shared" si="38"/>
        <v>324.81562437645522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33.089285714285715</v>
      </c>
      <c r="BY53" s="13">
        <f>IF('Données projet'!$A$114&gt;35,BY52+BX53-CG52,IF(A53&lt;'Données projet'!$A$114,$BV$205^A53,IF(A53='Données projet'!$A$114,'Données projet'!$B$114,BY52+BX53-CG52)))</f>
        <v>573.89357142857148</v>
      </c>
      <c r="BZ53" s="14">
        <f>BY53*VLOOKUP('Données projet'!$B$12,Paramètres!$A$1:$I$89,3,0)*VLOOKUP('Données projet'!$B$12,Paramètres!$A$1:$I$89,5,0)</f>
        <v>572.97534171428572</v>
      </c>
      <c r="CA53" s="14">
        <f t="shared" si="39"/>
        <v>126.0784829920824</v>
      </c>
      <c r="CB53" s="22">
        <f t="shared" si="10"/>
        <v>1217.5187446969246</v>
      </c>
      <c r="CC53" s="62">
        <f t="shared" si="11"/>
        <v>1510.8520780302579</v>
      </c>
      <c r="CD53" s="62">
        <f ca="1">AVERAGE(OFFSET($CC$3,0,0,'Données projet'!$E$12+1,1))-AVERAGE(OFFSET($H$3,0,0,'Données projet'!$E$12+1,1))</f>
        <v>2719.939926994799</v>
      </c>
      <c r="CE53" s="62">
        <f t="shared" si="40"/>
        <v>312.21824046329749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35.283571428571427</v>
      </c>
      <c r="CT53" s="13">
        <f>IF('Données projet'!$A$140&gt;35,CT52+CS53-DB52,IF(A53&lt;'Données projet'!$A$140,$CQ$205^A53,IF(A53='Données projet'!$A$140,'Données projet'!$B$140,CT52+CS53-DB52)))</f>
        <v>660.46214285714291</v>
      </c>
      <c r="CU53" s="18">
        <f>CT53*VLOOKUP('Données projet'!$B$13,Paramètres!$A$1:$I$89,3,0)*VLOOKUP('Données projet'!$B$13,Paramètres!$A$1:$I$89,5,0)</f>
        <v>576.97972800000014</v>
      </c>
      <c r="CV53" s="14">
        <f t="shared" si="41"/>
        <v>126.85673542930624</v>
      </c>
      <c r="CW53" s="22">
        <f t="shared" si="13"/>
        <v>1225.8485071393752</v>
      </c>
      <c r="CX53" s="62">
        <f t="shared" si="14"/>
        <v>1519.1818404727085</v>
      </c>
      <c r="CY53" s="62">
        <f ca="1">AVERAGE(OFFSET($CX$3,0,0,'Données projet'!$E$13+1,1))-AVERAGE(OFFSET($H$3,0,0,'Données projet'!$E$13+1,1))</f>
        <v>1036.0130072090849</v>
      </c>
      <c r="CZ53" s="62">
        <f t="shared" si="42"/>
        <v>346.56593355696174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18.581818181818178</v>
      </c>
      <c r="DO53" s="13">
        <f>IF('Données projet'!$A$166&gt;35,DO52+DN53-DW52,IF(A53&lt;'Données projet'!$A$166,$DL$205^A53,IF(A53='Données projet'!$A$166,'Données projet'!$B$166,DO52+DN53-DW52)))</f>
        <v>672.63636363636408</v>
      </c>
      <c r="DP53" s="18">
        <f>DO53*VLOOKUP('Données projet'!$B$14,Paramètres!$A$1:$I$89,3,0)*VLOOKUP('Données projet'!$B$14,Paramètres!$A$1:$I$89,5,0)</f>
        <v>376.00372727272753</v>
      </c>
      <c r="DQ53" s="14">
        <f t="shared" si="43"/>
        <v>86.894411977451426</v>
      </c>
      <c r="DR53" s="22">
        <f t="shared" si="16"/>
        <v>806.21425919406158</v>
      </c>
      <c r="DS53" s="62">
        <f t="shared" si="17"/>
        <v>1099.547592527395</v>
      </c>
      <c r="DT53" s="62">
        <f ca="1">AVERAGE(OFFSET($DS$3,0,0,'Données projet'!$E$14+1,1))-AVERAGE(OFFSET($H$3,0,0,'Données projet'!$E$14+1,1))</f>
        <v>446.48069057792151</v>
      </c>
      <c r="DU53" s="62">
        <f t="shared" si="44"/>
        <v>561.75656782935948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21.559584720514028</v>
      </c>
      <c r="EB53" s="23">
        <f>EXP(-LN(2)/25)*EB52+(1-EXP(-LN(2)/25))/(LN(2)/25)*Calculateur!DW53*Calculateur!DY53*VLOOKUP('Données projet'!$B$14,Paramètres!$A$1:$I$89,3,0)*0.475*44/12</f>
        <v>19.940682085172948</v>
      </c>
      <c r="EC53" s="23">
        <f>EXP(-LN(2)/2)*EC52+(1-EXP(-LN(2)/2))/(LN(2)/2)*DW53*DZ53*VLOOKUP('Données projet'!$B$14,Paramètres!$A$1:$I$89,3,0)*0.475*44/12</f>
        <v>1.1474956074397955</v>
      </c>
      <c r="ED53" s="24">
        <f t="shared" si="18"/>
        <v>42.64776241312677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18.297272727272727</v>
      </c>
      <c r="EJ53" s="13">
        <f>IF('Données projet'!$A$192&gt;35,EJ52+EI53-ER52,IF(A53&lt;'Données projet'!$A$192,$EG$205^A53,IF(A53='Données projet'!$A$192,'Données projet'!$B$192,EJ52+EI53-ER52)))</f>
        <v>317.67545454545467</v>
      </c>
      <c r="EK53" s="18">
        <f>EJ53*VLOOKUP('Données projet'!$B$15,Paramètres!$A$1:$I$89,3,0)*VLOOKUP('Données projet'!$B$15,Paramètres!$A$1:$I$89,5,0)</f>
        <v>307.25569963636377</v>
      </c>
      <c r="EL53" s="14">
        <f t="shared" si="45"/>
        <v>72.69541476975354</v>
      </c>
      <c r="EM53" s="22">
        <f t="shared" si="19"/>
        <v>661.74819092398764</v>
      </c>
      <c r="EN53" s="62">
        <f t="shared" si="20"/>
        <v>955.08152425732101</v>
      </c>
      <c r="EO53" s="62">
        <f ca="1">AVERAGE(OFFSET($EN$3,0,0,'Données projet'!$E$15+1,1))-AVERAGE(OFFSET($H$3,0,0,'Données projet'!$E$15+1,1))</f>
        <v>301.18531163828169</v>
      </c>
      <c r="EP53" s="62">
        <f t="shared" si="46"/>
        <v>192.30530273268101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18.297272727272727</v>
      </c>
      <c r="FE53" s="13">
        <f>IF('Données projet'!$A$218&gt;35,FE52+FD53-FM52,IF(A53&lt;'Données projet'!$A$218,$FB$205^A53,IF(A53='Données projet'!$A$218,'Données projet'!$B$218,FE52+FD53-FM52)))</f>
        <v>317.67545454545467</v>
      </c>
      <c r="FF53" s="18">
        <f>FE53*VLOOKUP('Données projet'!$B$16,Paramètres!$A$1:$I$89,3,0)*VLOOKUP('Données projet'!$B$16,Paramètres!$A$1:$I$89,5,0)</f>
        <v>247.78685454545464</v>
      </c>
      <c r="FG53" s="14">
        <f t="shared" si="47"/>
        <v>60.111784085414065</v>
      </c>
      <c r="FH53" s="22">
        <f t="shared" si="22"/>
        <v>536.25679561542972</v>
      </c>
      <c r="FI53" s="62">
        <f t="shared" si="23"/>
        <v>829.59012894876309</v>
      </c>
      <c r="FJ53" s="62">
        <f ca="1">AVERAGE(OFFSET($FI$3,0,0,'Données projet'!$E$16+1,1))-AVERAGE(OFFSET($H$3,0,0,'Données projet'!$E$16+1,1))</f>
        <v>249.2899297828755</v>
      </c>
      <c r="FK53" s="62">
        <f t="shared" si="48"/>
        <v>162.88011837476813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18.297272727272727</v>
      </c>
      <c r="FZ53" s="13">
        <f>IF('Données projet'!$A$244&gt;35,FZ52+FY53-GH52,IF(A53&lt;'Données projet'!$A$244,$FW$205^A53,IF(A53='Données projet'!$A$244,'Données projet'!$B$244,FZ52+FY53-GH52)))</f>
        <v>317.67545454545467</v>
      </c>
      <c r="GA53" s="18">
        <f>FZ53*VLOOKUP('Données projet'!$B$17,Paramètres!$A$1:$I$89,3,0)*VLOOKUP('Données projet'!$B$17,Paramètres!$A$1:$I$89,5,0)</f>
        <v>213.09669490909098</v>
      </c>
      <c r="GB53" s="14">
        <f t="shared" si="49"/>
        <v>52.611713842928928</v>
      </c>
      <c r="GC53" s="22">
        <f t="shared" si="25"/>
        <v>462.77547857643464</v>
      </c>
      <c r="GD53" s="62">
        <f t="shared" si="26"/>
        <v>756.10881190976795</v>
      </c>
      <c r="GE53" s="62">
        <f ca="1">AVERAGE(OFFSET($GD$3,0,0,'Données projet'!$E$17+1,1))-AVERAGE(OFFSET($H$3,0,0,'Données projet'!$E$17+1,1))</f>
        <v>218.89895999738746</v>
      </c>
      <c r="GF53" s="62">
        <f t="shared" si="50"/>
        <v>145.64042897395763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18.297272727272727</v>
      </c>
      <c r="GU53" s="13">
        <f>IF('Données projet'!$A$270&gt;35,GU52+GT53-HC52,IF(A53&lt;'Données projet'!$A$270,$GR$205^A53,IF(A53='Données projet'!$A$270,'Données projet'!$B$270,GU52+GT53-HC52)))</f>
        <v>317.67545454545467</v>
      </c>
      <c r="GV53" s="18">
        <f>GU53*VLOOKUP('Données projet'!$B$18,Paramètres!$A$1:$I$89,3,0)*VLOOKUP('Données projet'!$B$18,Paramètres!$A$1:$I$89,5,0)</f>
        <v>341.94585927272738</v>
      </c>
      <c r="GW53" s="14">
        <f t="shared" si="51"/>
        <v>79.901839642545738</v>
      </c>
      <c r="GX53" s="22">
        <f t="shared" si="28"/>
        <v>734.7180756107673</v>
      </c>
      <c r="GY53" s="62">
        <f t="shared" si="29"/>
        <v>1028.0514089441006</v>
      </c>
      <c r="GZ53" s="62">
        <f ca="1">AVERAGE(OFFSET($GY$3,0,0,'Données projet'!$E$18+1,1))-AVERAGE(OFFSET($H$3,0,0,'Données projet'!$E$18+1,1))</f>
        <v>331.3579800635751</v>
      </c>
      <c r="HA53" s="62">
        <f t="shared" si="52"/>
        <v>209.40702003535273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33.089285714285715</v>
      </c>
      <c r="N54" s="14">
        <f>IF('Données projet'!$A$36&gt;35,N53+M54-V53,IF(A54&lt;'Données projet'!$A$36,$K$205^A54,IF(A54='Données projet'!$A$36,'Données projet'!$B$36,N53+M54-V53)))</f>
        <v>606.98285714285714</v>
      </c>
      <c r="O54" s="14">
        <f>N54*VLOOKUP('Données projet'!$B$9,Paramètres!$A$1:$I$89,3,0)*VLOOKUP('Données projet'!$B$9,Paramètres!$A$1:$I$89,5,0)</f>
        <v>549.19808914285704</v>
      </c>
      <c r="P54" s="14">
        <f t="shared" si="33"/>
        <v>121.44415704119574</v>
      </c>
      <c r="Q54" s="22">
        <f t="shared" si="53"/>
        <v>1168.0352454372251</v>
      </c>
      <c r="R54" s="62">
        <f t="shared" si="0"/>
        <v>1461.3685787705583</v>
      </c>
      <c r="S54" s="62">
        <f ca="1">AVERAGE(OFFSET($R$3,0,0,'Données projet'!$E$9+1,1))-AVERAGE(OFFSET($H$3,0,0,'Données projet'!$E$9+1,1))</f>
        <v>2472.5049373954762</v>
      </c>
      <c r="T54" s="62">
        <f t="shared" si="34"/>
        <v>286.98388307318311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33.089285714285715</v>
      </c>
      <c r="AI54" s="14">
        <f>IF('Données projet'!$A$62&gt;35,AI53+AH54-AQ53,IF(A54&lt;'Données projet'!$A$62,$AF$205^A54,IF(A54='Données projet'!$A$62,'Données projet'!$B$62,AI53+AH54-AQ53)))</f>
        <v>606.98285714285714</v>
      </c>
      <c r="AJ54" s="14">
        <f>AI54*VLOOKUP('Données projet'!$B$10,Paramètres!$A$1:$I$89,3,0)*VLOOKUP('Données projet'!$B$10,Paramètres!$A$1:$I$89,5,0)</f>
        <v>615.48061714285723</v>
      </c>
      <c r="AK54" s="14">
        <f t="shared" si="35"/>
        <v>134.30800295093826</v>
      </c>
      <c r="AL54" s="22">
        <f t="shared" si="4"/>
        <v>1305.8818466633604</v>
      </c>
      <c r="AM54" s="62">
        <f t="shared" si="5"/>
        <v>1599.2151799966937</v>
      </c>
      <c r="AN54" s="62">
        <f ca="1">AVERAGE(OFFSET($AM$3,0,0,'Données projet'!$E$10+1,1))-AVERAGE(OFFSET($H$3,0,0,'Données projet'!$E$10+1,1))</f>
        <v>2761.1400657295467</v>
      </c>
      <c r="AO54" s="62">
        <f t="shared" si="36"/>
        <v>316.41877504316409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33.089285714285715</v>
      </c>
      <c r="BD54" s="13">
        <f>IF('Données projet'!$A$88&gt;35,BD53+BC54-BL53,IF(A54&lt;'Données projet'!$A$88,$BA$205^A54,IF(A54='Données projet'!$A$88,'Données projet'!$B$88,BD53+BC54-BL53)))</f>
        <v>606.98285714285714</v>
      </c>
      <c r="BE54" s="14">
        <f>BD54*VLOOKUP('Données projet'!$B$11,Paramètres!$A$1:$I$89,3,0)*VLOOKUP('Données projet'!$B$11,Paramètres!$A$1:$I$89,5,0)</f>
        <v>634.41848228571428</v>
      </c>
      <c r="BF54" s="14">
        <f t="shared" si="37"/>
        <v>137.95306224923749</v>
      </c>
      <c r="BG54" s="22">
        <f t="shared" si="7"/>
        <v>1345.2137733983743</v>
      </c>
      <c r="BH54" s="62">
        <f t="shared" si="8"/>
        <v>1638.5471067317076</v>
      </c>
      <c r="BI54" s="62">
        <f ca="1">AVERAGE(OFFSET($BH$3,0,0,'Données projet'!$E$11+1,1))-AVERAGE(OFFSET($H$3,0,0,'Données projet'!$E$11+1,1))</f>
        <v>2843.5086223152098</v>
      </c>
      <c r="BJ54" s="62">
        <f t="shared" si="38"/>
        <v>324.81562437645522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33.089285714285715</v>
      </c>
      <c r="BY54" s="13">
        <f>IF('Données projet'!$A$114&gt;35,BY53+BX54-CG53,IF(A54&lt;'Données projet'!$A$114,$BV$205^A54,IF(A54='Données projet'!$A$114,'Données projet'!$B$114,BY53+BX54-CG53)))</f>
        <v>606.98285714285714</v>
      </c>
      <c r="BZ54" s="14">
        <f>BY54*VLOOKUP('Données projet'!$B$12,Paramètres!$A$1:$I$89,3,0)*VLOOKUP('Données projet'!$B$12,Paramètres!$A$1:$I$89,5,0)</f>
        <v>606.01168457142853</v>
      </c>
      <c r="CA54" s="14">
        <f t="shared" si="39"/>
        <v>132.48059642596181</v>
      </c>
      <c r="CB54" s="22">
        <f t="shared" si="10"/>
        <v>1286.2073894037883</v>
      </c>
      <c r="CC54" s="62">
        <f t="shared" si="11"/>
        <v>1579.5407227371215</v>
      </c>
      <c r="CD54" s="62">
        <f ca="1">AVERAGE(OFFSET($CC$3,0,0,'Données projet'!$E$12+1,1))-AVERAGE(OFFSET($H$3,0,0,'Données projet'!$E$12+1,1))</f>
        <v>2719.939926994799</v>
      </c>
      <c r="CE54" s="62">
        <f t="shared" si="40"/>
        <v>312.21824046329749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35.283571428571427</v>
      </c>
      <c r="CT54" s="13">
        <f>IF('Données projet'!$A$140&gt;35,CT53+CS54-DB53,IF(A54&lt;'Données projet'!$A$140,$CQ$205^A54,IF(A54='Données projet'!$A$140,'Données projet'!$B$140,CT53+CS54-DB53)))</f>
        <v>695.74571428571437</v>
      </c>
      <c r="CU54" s="18">
        <f>CT54*VLOOKUP('Données projet'!$B$13,Paramètres!$A$1:$I$89,3,0)*VLOOKUP('Données projet'!$B$13,Paramètres!$A$1:$I$89,5,0)</f>
        <v>607.80345600000021</v>
      </c>
      <c r="CV54" s="14">
        <f t="shared" si="41"/>
        <v>132.82664330304658</v>
      </c>
      <c r="CW54" s="22">
        <f t="shared" si="13"/>
        <v>1289.9307562861397</v>
      </c>
      <c r="CX54" s="62">
        <f t="shared" si="14"/>
        <v>1583.264089619473</v>
      </c>
      <c r="CY54" s="62">
        <f ca="1">AVERAGE(OFFSET($CX$3,0,0,'Données projet'!$E$13+1,1))-AVERAGE(OFFSET($H$3,0,0,'Données projet'!$E$13+1,1))</f>
        <v>1036.0130072090849</v>
      </c>
      <c r="CZ54" s="62">
        <f t="shared" si="42"/>
        <v>346.56593355696174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18.581818181818178</v>
      </c>
      <c r="DO54" s="13">
        <f>IF('Données projet'!$A$166&gt;35,DO53+DN54-DW53,IF(A54&lt;'Données projet'!$A$166,$DL$205^A54,IF(A54='Données projet'!$A$166,'Données projet'!$B$166,DO53+DN54-DW53)))</f>
        <v>691.2181818181823</v>
      </c>
      <c r="DP54" s="18">
        <f>DO54*VLOOKUP('Données projet'!$B$14,Paramètres!$A$1:$I$89,3,0)*VLOOKUP('Données projet'!$B$14,Paramètres!$A$1:$I$89,5,0)</f>
        <v>386.39096363636389</v>
      </c>
      <c r="DQ54" s="14">
        <f t="shared" si="43"/>
        <v>89.012108325962117</v>
      </c>
      <c r="DR54" s="22">
        <f t="shared" si="16"/>
        <v>827.99368366771762</v>
      </c>
      <c r="DS54" s="62">
        <f t="shared" si="17"/>
        <v>1121.327017001051</v>
      </c>
      <c r="DT54" s="62">
        <f ca="1">AVERAGE(OFFSET($DS$3,0,0,'Données projet'!$E$14+1,1))-AVERAGE(OFFSET($H$3,0,0,'Données projet'!$E$14+1,1))</f>
        <v>446.48069057792151</v>
      </c>
      <c r="DU54" s="62">
        <f t="shared" si="44"/>
        <v>561.75656782935948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21.136814414192969</v>
      </c>
      <c r="EB54" s="23">
        <f>EXP(-LN(2)/25)*EB53+(1-EXP(-LN(2)/25))/(LN(2)/25)*Calculateur!DW54*Calculateur!DY54*VLOOKUP('Données projet'!$B$14,Paramètres!$A$1:$I$89,3,0)*0.475*44/12</f>
        <v>19.395403084919</v>
      </c>
      <c r="EC54" s="23">
        <f>EXP(-LN(2)/2)*EC53+(1-EXP(-LN(2)/2))/(LN(2)/2)*DW54*DZ54*VLOOKUP('Données projet'!$B$14,Paramètres!$A$1:$I$89,3,0)*0.475*44/12</f>
        <v>0.81140192540245593</v>
      </c>
      <c r="ED54" s="24">
        <f t="shared" si="18"/>
        <v>41.343619424514422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18.297272727272727</v>
      </c>
      <c r="EJ54" s="13">
        <f>IF('Données projet'!$A$192&gt;35,EJ53+EI54-ER53,IF(A54&lt;'Données projet'!$A$192,$EG$205^A54,IF(A54='Données projet'!$A$192,'Données projet'!$B$192,EJ53+EI54-ER53)))</f>
        <v>335.97272727272741</v>
      </c>
      <c r="EK54" s="18">
        <f>EJ54*VLOOKUP('Données projet'!$B$15,Paramètres!$A$1:$I$89,3,0)*VLOOKUP('Données projet'!$B$15,Paramètres!$A$1:$I$89,5,0)</f>
        <v>324.95282181818197</v>
      </c>
      <c r="EL54" s="14">
        <f t="shared" si="45"/>
        <v>76.382961570422523</v>
      </c>
      <c r="EM54" s="22">
        <f t="shared" si="19"/>
        <v>698.9931560684862</v>
      </c>
      <c r="EN54" s="62">
        <f t="shared" si="20"/>
        <v>992.32648940181957</v>
      </c>
      <c r="EO54" s="62">
        <f ca="1">AVERAGE(OFFSET($EN$3,0,0,'Données projet'!$E$15+1,1))-AVERAGE(OFFSET($H$3,0,0,'Données projet'!$E$15+1,1))</f>
        <v>301.18531163828169</v>
      </c>
      <c r="EP54" s="62">
        <f t="shared" si="46"/>
        <v>192.30530273268101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18.297272727272727</v>
      </c>
      <c r="FE54" s="13">
        <f>IF('Données projet'!$A$218&gt;35,FE53+FD54-FM53,IF(A54&lt;'Données projet'!$A$218,$FB$205^A54,IF(A54='Données projet'!$A$218,'Données projet'!$B$218,FE53+FD54-FM53)))</f>
        <v>335.97272727272741</v>
      </c>
      <c r="FF54" s="18">
        <f>FE54*VLOOKUP('Données projet'!$B$16,Paramètres!$A$1:$I$89,3,0)*VLOOKUP('Données projet'!$B$16,Paramètres!$A$1:$I$89,5,0)</f>
        <v>262.05872727272737</v>
      </c>
      <c r="FG54" s="14">
        <f t="shared" si="47"/>
        <v>63.161013776017676</v>
      </c>
      <c r="FH54" s="22">
        <f t="shared" si="22"/>
        <v>566.42438232656434</v>
      </c>
      <c r="FI54" s="62">
        <f t="shared" si="23"/>
        <v>859.75771565989771</v>
      </c>
      <c r="FJ54" s="62">
        <f ca="1">AVERAGE(OFFSET($FI$3,0,0,'Données projet'!$E$16+1,1))-AVERAGE(OFFSET($H$3,0,0,'Données projet'!$E$16+1,1))</f>
        <v>249.2899297828755</v>
      </c>
      <c r="FK54" s="62">
        <f t="shared" si="48"/>
        <v>162.88011837476813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18.297272727272727</v>
      </c>
      <c r="FZ54" s="13">
        <f>IF('Données projet'!$A$244&gt;35,FZ53+FY54-GH53,IF(A54&lt;'Données projet'!$A$244,$FW$205^A54,IF(A54='Données projet'!$A$244,'Données projet'!$B$244,FZ53+FY54-GH53)))</f>
        <v>335.97272727272741</v>
      </c>
      <c r="GA54" s="18">
        <f>FZ54*VLOOKUP('Données projet'!$B$17,Paramètres!$A$1:$I$89,3,0)*VLOOKUP('Données projet'!$B$17,Paramètres!$A$1:$I$89,5,0)</f>
        <v>225.37050545454557</v>
      </c>
      <c r="GB54" s="14">
        <f t="shared" si="49"/>
        <v>55.280495053871618</v>
      </c>
      <c r="GC54" s="22">
        <f t="shared" si="25"/>
        <v>488.80049255215994</v>
      </c>
      <c r="GD54" s="62">
        <f t="shared" si="26"/>
        <v>782.13382588549325</v>
      </c>
      <c r="GE54" s="62">
        <f ca="1">AVERAGE(OFFSET($GD$3,0,0,'Données projet'!$E$17+1,1))-AVERAGE(OFFSET($H$3,0,0,'Données projet'!$E$17+1,1))</f>
        <v>218.89895999738746</v>
      </c>
      <c r="GF54" s="62">
        <f t="shared" si="50"/>
        <v>145.64042897395763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18.297272727272727</v>
      </c>
      <c r="GU54" s="13">
        <f>IF('Données projet'!$A$270&gt;35,GU53+GT54-HC53,IF(A54&lt;'Données projet'!$A$270,$GR$205^A54,IF(A54='Données projet'!$A$270,'Données projet'!$B$270,GU53+GT54-HC53)))</f>
        <v>335.97272727272741</v>
      </c>
      <c r="GV54" s="18">
        <f>GU54*VLOOKUP('Données projet'!$B$18,Paramètres!$A$1:$I$89,3,0)*VLOOKUP('Données projet'!$B$18,Paramètres!$A$1:$I$89,5,0)</f>
        <v>361.64104363636375</v>
      </c>
      <c r="GW54" s="14">
        <f t="shared" si="51"/>
        <v>83.954939471120227</v>
      </c>
      <c r="GX54" s="22">
        <f t="shared" si="28"/>
        <v>776.07967057886788</v>
      </c>
      <c r="GY54" s="62">
        <f t="shared" si="29"/>
        <v>1069.4130039122012</v>
      </c>
      <c r="GZ54" s="62">
        <f ca="1">AVERAGE(OFFSET($GY$3,0,0,'Données projet'!$E$18+1,1))-AVERAGE(OFFSET($H$3,0,0,'Données projet'!$E$18+1,1))</f>
        <v>331.3579800635751</v>
      </c>
      <c r="HA54" s="62">
        <f t="shared" si="52"/>
        <v>209.40702003535273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33.089285714285715</v>
      </c>
      <c r="N55" s="14">
        <f>IF('Données projet'!$A$36&gt;35,N54+M55-V54,IF(A55&lt;'Données projet'!$A$36,$K$205^A55,IF(A55='Données projet'!$A$36,'Données projet'!$B$36,N54+M55-V54)))</f>
        <v>640.07214285714281</v>
      </c>
      <c r="O55" s="14">
        <f>N55*VLOOKUP('Données projet'!$B$9,Paramètres!$A$1:$I$89,3,0)*VLOOKUP('Données projet'!$B$9,Paramètres!$A$1:$I$89,5,0)</f>
        <v>579.13727485714276</v>
      </c>
      <c r="P55" s="14">
        <f t="shared" si="33"/>
        <v>127.27579380429454</v>
      </c>
      <c r="Q55" s="22">
        <f t="shared" si="53"/>
        <v>1230.3360945853365</v>
      </c>
      <c r="R55" s="62">
        <f t="shared" si="0"/>
        <v>1523.6694279186697</v>
      </c>
      <c r="S55" s="62">
        <f ca="1">AVERAGE(OFFSET($R$3,0,0,'Données projet'!$E$9+1,1))-AVERAGE(OFFSET($H$3,0,0,'Données projet'!$E$9+1,1))</f>
        <v>2472.5049373954762</v>
      </c>
      <c r="T55" s="62">
        <f t="shared" si="34"/>
        <v>286.98388307318311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33.089285714285715</v>
      </c>
      <c r="AI55" s="14">
        <f>IF('Données projet'!$A$62&gt;35,AI54+AH55-AQ54,IF(A55&lt;'Données projet'!$A$62,$AF$205^A55,IF(A55='Données projet'!$A$62,'Données projet'!$B$62,AI54+AH55-AQ54)))</f>
        <v>640.07214285714281</v>
      </c>
      <c r="AJ55" s="14">
        <f>AI55*VLOOKUP('Données projet'!$B$10,Paramètres!$A$1:$I$89,3,0)*VLOOKUP('Données projet'!$B$10,Paramètres!$A$1:$I$89,5,0)</f>
        <v>649.0331528571428</v>
      </c>
      <c r="AK55" s="14">
        <f t="shared" si="35"/>
        <v>140.75734976736342</v>
      </c>
      <c r="AL55" s="22">
        <f t="shared" si="4"/>
        <v>1375.5517920710147</v>
      </c>
      <c r="AM55" s="62">
        <f t="shared" si="5"/>
        <v>1668.8851254043479</v>
      </c>
      <c r="AN55" s="62">
        <f ca="1">AVERAGE(OFFSET($AM$3,0,0,'Données projet'!$E$10+1,1))-AVERAGE(OFFSET($H$3,0,0,'Données projet'!$E$10+1,1))</f>
        <v>2761.1400657295467</v>
      </c>
      <c r="AO55" s="62">
        <f t="shared" si="36"/>
        <v>316.41877504316409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33.089285714285715</v>
      </c>
      <c r="BD55" s="13">
        <f>IF('Données projet'!$A$88&gt;35,BD54+BC55-BL54,IF(A55&lt;'Données projet'!$A$88,$BA$205^A55,IF(A55='Données projet'!$A$88,'Données projet'!$B$88,BD54+BC55-BL54)))</f>
        <v>640.07214285714281</v>
      </c>
      <c r="BE55" s="14">
        <f>BD55*VLOOKUP('Données projet'!$B$11,Paramètres!$A$1:$I$89,3,0)*VLOOKUP('Données projet'!$B$11,Paramètres!$A$1:$I$89,5,0)</f>
        <v>669.00340371428581</v>
      </c>
      <c r="BF55" s="14">
        <f t="shared" si="37"/>
        <v>144.57744146183157</v>
      </c>
      <c r="BG55" s="22">
        <f t="shared" si="7"/>
        <v>1416.9866386817375</v>
      </c>
      <c r="BH55" s="62">
        <f t="shared" si="8"/>
        <v>1710.3199720150708</v>
      </c>
      <c r="BI55" s="62">
        <f ca="1">AVERAGE(OFFSET($BH$3,0,0,'Données projet'!$E$11+1,1))-AVERAGE(OFFSET($H$3,0,0,'Données projet'!$E$11+1,1))</f>
        <v>2843.5086223152098</v>
      </c>
      <c r="BJ55" s="62">
        <f t="shared" si="38"/>
        <v>324.81562437645522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33.089285714285715</v>
      </c>
      <c r="BY55" s="13">
        <f>IF('Données projet'!$A$114&gt;35,BY54+BX55-CG54,IF(A55&lt;'Données projet'!$A$114,$BV$205^A55,IF(A55='Données projet'!$A$114,'Données projet'!$B$114,BY54+BX55-CG54)))</f>
        <v>640.07214285714281</v>
      </c>
      <c r="BZ55" s="14">
        <f>BY55*VLOOKUP('Données projet'!$B$12,Paramètres!$A$1:$I$89,3,0)*VLOOKUP('Données projet'!$B$12,Paramètres!$A$1:$I$89,5,0)</f>
        <v>639.04802742857134</v>
      </c>
      <c r="CA55" s="14">
        <f t="shared" si="39"/>
        <v>138.84219286120918</v>
      </c>
      <c r="CB55" s="22">
        <f t="shared" si="10"/>
        <v>1354.8254670047011</v>
      </c>
      <c r="CC55" s="62">
        <f t="shared" si="11"/>
        <v>1648.1588003380343</v>
      </c>
      <c r="CD55" s="62">
        <f ca="1">AVERAGE(OFFSET($CC$3,0,0,'Données projet'!$E$12+1,1))-AVERAGE(OFFSET($H$3,0,0,'Données projet'!$E$12+1,1))</f>
        <v>2719.939926994799</v>
      </c>
      <c r="CE55" s="62">
        <f t="shared" si="40"/>
        <v>312.21824046329749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35.283571428571427</v>
      </c>
      <c r="CT55" s="13">
        <f>IF('Données projet'!$A$140&gt;35,CT54+CS55-DB54,IF(A55&lt;'Données projet'!$A$140,$CQ$205^A55,IF(A55='Données projet'!$A$140,'Données projet'!$B$140,CT54+CS55-DB54)))</f>
        <v>731.02928571428583</v>
      </c>
      <c r="CU55" s="18">
        <f>CT55*VLOOKUP('Données projet'!$B$13,Paramètres!$A$1:$I$89,3,0)*VLOOKUP('Données projet'!$B$13,Paramètres!$A$1:$I$89,5,0)</f>
        <v>638.62718400000017</v>
      </c>
      <c r="CV55" s="14">
        <f t="shared" si="41"/>
        <v>138.76139853339504</v>
      </c>
      <c r="CW55" s="22">
        <f t="shared" si="13"/>
        <v>1353.9517812456631</v>
      </c>
      <c r="CX55" s="62">
        <f t="shared" si="14"/>
        <v>1647.2851145789964</v>
      </c>
      <c r="CY55" s="62">
        <f ca="1">AVERAGE(OFFSET($CX$3,0,0,'Données projet'!$E$13+1,1))-AVERAGE(OFFSET($H$3,0,0,'Données projet'!$E$13+1,1))</f>
        <v>1036.0130072090849</v>
      </c>
      <c r="CZ55" s="62">
        <f t="shared" si="42"/>
        <v>346.56593355696174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>
        <f>VLOOKUP(A55,'Données projet'!$A$165:$I$185,2,0)</f>
        <v>709.8</v>
      </c>
      <c r="DM55" s="13">
        <f>VLOOKUP(A55,'Données projet'!$A$165:$I$185,9,0)</f>
        <v>18.581818181818178</v>
      </c>
      <c r="DN55" s="13">
        <f t="array" ref="DN55">INDEX(DM:DM,MIN(IF(ISNUMBER(DM55:DM251),ROW(DM55:DM251),"")))</f>
        <v>18.581818181818178</v>
      </c>
      <c r="DO55" s="13">
        <f>IF('Données projet'!$A$166&gt;35,DO54+DN55-DW54,IF(A55&lt;'Données projet'!$A$166,$DL$205^A55,IF(A55='Données projet'!$A$166,'Données projet'!$B$166,DO54+DN55-DW54)))</f>
        <v>709.80000000000052</v>
      </c>
      <c r="DP55" s="18">
        <f>DO55*VLOOKUP('Données projet'!$B$14,Paramètres!$A$1:$I$89,3,0)*VLOOKUP('Données projet'!$B$14,Paramètres!$A$1:$I$89,5,0)</f>
        <v>396.77820000000031</v>
      </c>
      <c r="DQ55" s="14">
        <f t="shared" si="43"/>
        <v>91.12318760502184</v>
      </c>
      <c r="DR55" s="22">
        <f t="shared" si="16"/>
        <v>849.7615834120802</v>
      </c>
      <c r="DS55" s="62">
        <f t="shared" si="17"/>
        <v>1143.0949167454135</v>
      </c>
      <c r="DT55" s="62">
        <f ca="1">AVERAGE(OFFSET($DS$3,0,0,'Données projet'!$E$14+1,1))-AVERAGE(OFFSET($H$3,0,0,'Données projet'!$E$14+1,1))</f>
        <v>446.48069057792151</v>
      </c>
      <c r="DU55" s="62">
        <f t="shared" si="44"/>
        <v>561.75656782935948</v>
      </c>
      <c r="DV55" s="16">
        <f>IF(ISNA(VLOOKUP(A55,'Données projet'!$A$165:$I$185,3,0)),0,VLOOKUP(A55,'Données projet'!$A$165:$I$185,3,0))</f>
        <v>4</v>
      </c>
      <c r="DW55" s="16">
        <f>IF(ISNA(VLOOKUP(A55,'Données projet'!$A$165:$I$185,4,0)),0,VLOOKUP(A55,'Données projet'!$A$165:$I$185,4,0))</f>
        <v>141.96</v>
      </c>
      <c r="DX55" s="17">
        <f>IF(ISNA(VLOOKUP(A55,'Données projet'!$A$165:$I$185,5,0)),0%,VLOOKUP(A55,'Données projet'!$A$165:$I$185,5,0)*VLOOKUP('Données projet'!$B$14,Paramètres!$A$1:$I$89,7,0))</f>
        <v>0.27500000000000002</v>
      </c>
      <c r="DY55" s="17">
        <f>IF(ISNA(VLOOKUP(A55,'Données projet'!$A$165:$I$185,6,0)),0%,VLOOKUP(A55,'Données projet'!$A$165:$I$185,6,0)*VLOOKUP('Données projet'!$B$14,Paramètres!$A$1:$I$89,7,0))</f>
        <v>0.11000000000000001</v>
      </c>
      <c r="DZ55" s="17">
        <f>IF(ISNA(VLOOKUP(A55,'Données projet'!$A$165:$I$185,7,0)),0%,VLOOKUP(A55,'Données projet'!$A$165:$I$185,7,0))</f>
        <v>0.3</v>
      </c>
      <c r="EA55" s="23">
        <f>EXP(-LN(2)/35)*EA54+(1-EXP(-LN(2)/35))/(LN(2)/35)*DW55*DX55*VLOOKUP('Données projet'!$B$14,Paramètres!$A$1:$I$89,3,0)*0.475*44/12</f>
        <v>49.671686500444906</v>
      </c>
      <c r="EB55" s="23">
        <f>EXP(-LN(2)/25)*EB54+(1-EXP(-LN(2)/25))/(LN(2)/25)*Calculateur!DW55*Calculateur!DY55*VLOOKUP('Données projet'!$B$14,Paramètres!$A$1:$I$89,3,0)*0.475*44/12</f>
        <v>30.399181765540945</v>
      </c>
      <c r="EC55" s="23">
        <f>EXP(-LN(2)/2)*EC54+(1-EXP(-LN(2)/2))/(LN(2)/2)*DW55*DZ55*VLOOKUP('Données projet'!$B$14,Paramètres!$A$1:$I$89,3,0)*0.475*44/12</f>
        <v>27.528453383384829</v>
      </c>
      <c r="ED55" s="24">
        <f t="shared" si="18"/>
        <v>107.59932164937068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>
        <f>VLOOKUP(A55,'Données projet'!$A$191:$I$211,2,0)</f>
        <v>354.27</v>
      </c>
      <c r="EH55" s="13">
        <f>VLOOKUP(A55,'Données projet'!$A$191:$I$211,9,0)</f>
        <v>18.297272727272727</v>
      </c>
      <c r="EI55" s="13">
        <f t="array" ref="EI55">INDEX(EH:EH,MIN(IF(ISNUMBER(EH55:EH251),ROW(EH55:EH251),"")))</f>
        <v>18.297272727272727</v>
      </c>
      <c r="EJ55" s="13">
        <f>IF('Données projet'!$A$192&gt;35,EJ54+EI55-ER54,IF(A55&lt;'Données projet'!$A$192,$EG$205^A55,IF(A55='Données projet'!$A$192,'Données projet'!$B$192,EJ54+EI55-ER54)))</f>
        <v>354.27000000000015</v>
      </c>
      <c r="EK55" s="18">
        <f>EJ55*VLOOKUP('Données projet'!$B$15,Paramètres!$A$1:$I$89,3,0)*VLOOKUP('Données projet'!$B$15,Paramètres!$A$1:$I$89,5,0)</f>
        <v>342.64994400000018</v>
      </c>
      <c r="EL55" s="14">
        <f t="shared" si="45"/>
        <v>80.047193999023705</v>
      </c>
      <c r="EM55" s="22">
        <f t="shared" si="19"/>
        <v>736.19751534829993</v>
      </c>
      <c r="EN55" s="62">
        <f t="shared" si="20"/>
        <v>1029.5308486816332</v>
      </c>
      <c r="EO55" s="62">
        <f ca="1">AVERAGE(OFFSET($EN$3,0,0,'Données projet'!$E$15+1,1))-AVERAGE(OFFSET($H$3,0,0,'Données projet'!$E$15+1,1))</f>
        <v>301.18531163828169</v>
      </c>
      <c r="EP55" s="62">
        <f t="shared" si="46"/>
        <v>192.30530273268101</v>
      </c>
      <c r="EQ55" s="16">
        <f>IF(ISNA(VLOOKUP(A55,'Données projet'!$A$191:$I$211,3,0)),0,VLOOKUP(A55,'Données projet'!$A$191:$I$211,3,0))</f>
        <v>3</v>
      </c>
      <c r="ER55" s="16">
        <f>IF(ISNA(VLOOKUP(A55,'Données projet'!$A$191:$I$211,4,0)),0,VLOOKUP(A55,'Données projet'!$A$191:$I$211,4,0))</f>
        <v>70.849999999999994</v>
      </c>
      <c r="ES55" s="17">
        <f>IF(ISNA(VLOOKUP(A55,'Données projet'!$A$191:$I$211,5,0)),0%,VLOOKUP(A55,'Données projet'!$A$191:$I$211,5,0)*VLOOKUP('Données projet'!$B$15,Paramètres!$A$1:$I$89,7,0))</f>
        <v>0.43</v>
      </c>
      <c r="ET55" s="17">
        <f>IF(ISNA(VLOOKUP(A55,'Données projet'!$A$191:$I$211,6,0)),0%,VLOOKUP(A55,'Données projet'!$A$191:$I$211,6,0)*VLOOKUP('Données projet'!$B$15,Paramètres!$A$1:$I$89,7,0))</f>
        <v>4.3000000000000003E-2</v>
      </c>
      <c r="EU55" s="17">
        <f>IF(ISNA(VLOOKUP(A55,'Données projet'!$A$191:$I$211,7,0)),0%,VLOOKUP(A55,'Données projet'!$A$191:$I$211,7,0))</f>
        <v>0.15</v>
      </c>
      <c r="EV55" s="23">
        <f>EXP(-LN(2)/35)*EV54+(1-EXP(-LN(2)/35))/(LN(2)/35)*ER55*ES55*VLOOKUP('Données projet'!$B$15,Paramètres!$A$1:$I$89,3,0)*0.475*44/12</f>
        <v>32.574046230257807</v>
      </c>
      <c r="EW55" s="23">
        <f>EXP(-LN(2)/25)*EW54+(1-EXP(-LN(2)/25))/(LN(2)/25)*Calculateur!ER55*Calculateur!ET55*VLOOKUP('Données projet'!$B$15,Paramètres!$A$1:$I$89,3,0)*0.475*44/12</f>
        <v>3.244578979856461</v>
      </c>
      <c r="EX55" s="23">
        <f>EXP(-LN(2)/2)*EX54+(1-EXP(-LN(2)/2))/(LN(2)/2)*ER55*EU55*VLOOKUP('Données projet'!$B$15,Paramètres!$A$1:$I$89,3,0)*0.475*44/12</f>
        <v>9.698435786021788</v>
      </c>
      <c r="EY55" s="24">
        <f t="shared" si="21"/>
        <v>45.51706099613606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>
        <f>VLOOKUP(A55,'Données projet'!$A$217:$I$237,2,0)</f>
        <v>354.27</v>
      </c>
      <c r="FC55" s="13">
        <f>VLOOKUP(A55,'Données projet'!$A$217:$I$237,9,0)</f>
        <v>18.297272727272727</v>
      </c>
      <c r="FD55" s="13">
        <f t="array" ref="FD55">INDEX(FC:FC,MIN(IF(ISNUMBER(FC55:FC251),ROW(FC55:FC251),"")))</f>
        <v>18.297272727272727</v>
      </c>
      <c r="FE55" s="13">
        <f>IF('Données projet'!$A$218&gt;35,FE54+FD55-FM54,IF(A55&lt;'Données projet'!$A$218,$FB$205^A55,IF(A55='Données projet'!$A$218,'Données projet'!$B$218,FE54+FD55-FM54)))</f>
        <v>354.27000000000015</v>
      </c>
      <c r="FF55" s="18">
        <f>FE55*VLOOKUP('Données projet'!$B$16,Paramètres!$A$1:$I$89,3,0)*VLOOKUP('Données projet'!$B$16,Paramètres!$A$1:$I$89,5,0)</f>
        <v>276.33060000000012</v>
      </c>
      <c r="FG55" s="14">
        <f t="shared" si="47"/>
        <v>66.190964829801175</v>
      </c>
      <c r="FH55" s="22">
        <f t="shared" si="22"/>
        <v>596.55839207857059</v>
      </c>
      <c r="FI55" s="62">
        <f t="shared" si="23"/>
        <v>889.89172541190396</v>
      </c>
      <c r="FJ55" s="62">
        <f ca="1">AVERAGE(OFFSET($FI$3,0,0,'Données projet'!$E$16+1,1))-AVERAGE(OFFSET($H$3,0,0,'Données projet'!$E$16+1,1))</f>
        <v>249.2899297828755</v>
      </c>
      <c r="FK55" s="62">
        <f t="shared" si="48"/>
        <v>162.88011837476813</v>
      </c>
      <c r="FL55" s="16">
        <f>IF(ISNA(VLOOKUP(A55,'Données projet'!$A$217:$I$237,3,0)),0,VLOOKUP(A55,'Données projet'!$A$217:$I$237,3,0))</f>
        <v>3</v>
      </c>
      <c r="FM55" s="16">
        <f>IF(ISNA(VLOOKUP(A55,'Données projet'!$A$217:$I$237,4,0)),0,VLOOKUP(A55,'Données projet'!$A$217:$I$237,4,0))</f>
        <v>70.849999999999994</v>
      </c>
      <c r="FN55" s="17">
        <f>IF(ISNA(VLOOKUP(A55,'Données projet'!$A$217:$I$237,5,0)),0%,VLOOKUP(A55,'Données projet'!$A$217:$I$237,5,0)*VLOOKUP('Données projet'!$B$16,Paramètres!$A$1:$I$89,7,0))</f>
        <v>0.43</v>
      </c>
      <c r="FO55" s="17">
        <f>IF(ISNA(VLOOKUP(A55,'Données projet'!$A$217:$I$237,6,0)),0%,VLOOKUP(A55,'Données projet'!$A$217:$I$237,6,0)*VLOOKUP('Données projet'!$B$16,Paramètres!$A$1:$I$89,7,0))</f>
        <v>4.3000000000000003E-2</v>
      </c>
      <c r="FP55" s="17">
        <f>IF(ISNA(VLOOKUP(A55,'Données projet'!$A$217:$I$237,7,0)),0%,VLOOKUP(A55,'Données projet'!$A$217:$I$237,7,0))</f>
        <v>0.15</v>
      </c>
      <c r="FQ55" s="23">
        <f>EXP(-LN(2)/35)*FQ54+(1-EXP(-LN(2)/35))/(LN(2)/35)*FM55*FN55*VLOOKUP('Données projet'!$B$16,Paramètres!$A$1:$I$89,3,0)*0.475*44/12</f>
        <v>26.269392121175652</v>
      </c>
      <c r="FR55" s="23">
        <f>EXP(-LN(2)/25)*FR54+(1-EXP(-LN(2)/25))/(LN(2)/25)*Calculateur!FM55*Calculateur!FO55*VLOOKUP('Données projet'!$B$16,Paramètres!$A$1:$I$89,3,0)*0.475*44/12</f>
        <v>2.6165959514971457</v>
      </c>
      <c r="FS55" s="23">
        <f>EXP(-LN(2)/2)*FS54+(1-EXP(-LN(2)/2))/(LN(2)/2)*FM55*FP55*VLOOKUP('Données projet'!$B$16,Paramètres!$A$1:$I$89,3,0)*0.475*44/12</f>
        <v>7.8213191822756345</v>
      </c>
      <c r="FT55" s="24">
        <f t="shared" si="24"/>
        <v>36.707307254948432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>
        <f>VLOOKUP(A55,'Données projet'!$A$243:$I$263,2,0)</f>
        <v>354.27</v>
      </c>
      <c r="FX55" s="13">
        <f>VLOOKUP(A55,'Données projet'!$A$243:$I$263,9,0)</f>
        <v>18.297272727272727</v>
      </c>
      <c r="FY55" s="13">
        <f t="array" ref="FY55">INDEX(FX:FX,MIN(IF(ISNUMBER(FX55:FX251),ROW(FX55:FX251),"")))</f>
        <v>18.297272727272727</v>
      </c>
      <c r="FZ55" s="13">
        <f>IF('Données projet'!$A$244&gt;35,FZ54+FY55-GH54,IF(A55&lt;'Données projet'!$A$244,$FW$205^A55,IF(A55='Données projet'!$A$244,'Données projet'!$B$244,FZ54+FY55-GH54)))</f>
        <v>354.27000000000015</v>
      </c>
      <c r="GA55" s="18">
        <f>FZ55*VLOOKUP('Données projet'!$B$17,Paramètres!$A$1:$I$89,3,0)*VLOOKUP('Données projet'!$B$17,Paramètres!$A$1:$I$89,5,0)</f>
        <v>237.64431600000012</v>
      </c>
      <c r="GB55" s="14">
        <f t="shared" si="49"/>
        <v>57.932402998796874</v>
      </c>
      <c r="GC55" s="22">
        <f t="shared" si="25"/>
        <v>514.79611892290461</v>
      </c>
      <c r="GD55" s="62">
        <f t="shared" si="26"/>
        <v>808.12945225623798</v>
      </c>
      <c r="GE55" s="62">
        <f ca="1">AVERAGE(OFFSET($GD$3,0,0,'Données projet'!$E$17+1,1))-AVERAGE(OFFSET($H$3,0,0,'Données projet'!$E$17+1,1))</f>
        <v>218.89895999738746</v>
      </c>
      <c r="GF55" s="62">
        <f t="shared" si="50"/>
        <v>145.64042897395763</v>
      </c>
      <c r="GG55" s="16">
        <f>IF(ISNA(VLOOKUP(A55,'Données projet'!$A$243:$I$263,3,0)),0,VLOOKUP(A55,'Données projet'!$A$243:$I$263,3,0))</f>
        <v>3</v>
      </c>
      <c r="GH55" s="16">
        <f>IF(ISNA(VLOOKUP(A55,'Données projet'!$A$243:$I$263,4,0)),0,VLOOKUP(A55,'Données projet'!$A$243:$I$263,4,0))</f>
        <v>70.849999999999994</v>
      </c>
      <c r="GI55" s="17">
        <f>IF(ISNA(VLOOKUP(A55,'Données projet'!$A$243:$I$263,5,0)),0%,VLOOKUP(A55,'Données projet'!$A$243:$I$263,5,0)*VLOOKUP('Données projet'!$B$17,Paramètres!$A$1:$I$89,7,0))</f>
        <v>0.53</v>
      </c>
      <c r="GJ55" s="17">
        <f>IF(ISNA(VLOOKUP(A55,'Données projet'!$A$243:$I$263,6,0)),0%,VLOOKUP(A55,'Données projet'!$A$243:$I$263,6,0)*VLOOKUP('Données projet'!$B$17,Paramètres!$A$1:$I$89,7,0))</f>
        <v>5.3000000000000005E-2</v>
      </c>
      <c r="GK55" s="17">
        <f>IF(ISNA(VLOOKUP(A55,'Données projet'!$A$243:$I$263,7,0)),0%,VLOOKUP(A55,'Données projet'!$A$243:$I$263,7,0))</f>
        <v>0.15</v>
      </c>
      <c r="GL55" s="23">
        <f>EXP(-LN(2)/35)*GL54+(1-EXP(-LN(2)/35))/(LN(2)/35)*GH55*GI55*VLOOKUP('Données projet'!$B$17,Paramètres!$A$1:$I$89,3,0)*0.475*44/12</f>
        <v>27.84555564844619</v>
      </c>
      <c r="GM55" s="23">
        <f>EXP(-LN(2)/25)*GM54+(1-EXP(-LN(2)/25))/(LN(2)/25)*Calculateur!GH55*Calculateur!GJ55*VLOOKUP('Données projet'!$B$17,Paramètres!$A$1:$I$89,3,0)*0.475*44/12</f>
        <v>2.773591708586975</v>
      </c>
      <c r="GN55" s="23">
        <f>EXP(-LN(2)/2)*GN54+(1-EXP(-LN(2)/2))/(LN(2)/2)*GH55*GK55*VLOOKUP('Données projet'!$B$17,Paramètres!$A$1:$I$89,3,0)*0.475*44/12</f>
        <v>6.7263344967570466</v>
      </c>
      <c r="GO55" s="23">
        <f t="shared" si="27"/>
        <v>37.345481853790211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>
        <f>VLOOKUP(A55,'Données projet'!$A$269:$I$289,2,0)</f>
        <v>354.27</v>
      </c>
      <c r="GS55" s="13">
        <f>VLOOKUP(A55,'Données projet'!$A$269:$I$289,9,0)</f>
        <v>18.297272727272727</v>
      </c>
      <c r="GT55" s="13">
        <f t="array" ref="GT55">INDEX(GS:GS,MIN(IF(ISNUMBER(GS55:GS251),ROW(GS55:GS251),"")))</f>
        <v>18.297272727272727</v>
      </c>
      <c r="GU55" s="13">
        <f>IF('Données projet'!$A$270&gt;35,GU54+GT55-HC54,IF(A55&lt;'Données projet'!$A$270,$GR$205^A55,IF(A55='Données projet'!$A$270,'Données projet'!$B$270,GU54+GT55-HC54)))</f>
        <v>354.27000000000015</v>
      </c>
      <c r="GV55" s="18">
        <f>GU55*VLOOKUP('Données projet'!$B$18,Paramètres!$A$1:$I$89,3,0)*VLOOKUP('Données projet'!$B$18,Paramètres!$A$1:$I$89,5,0)</f>
        <v>381.33622800000018</v>
      </c>
      <c r="GW55" s="14">
        <f t="shared" si="51"/>
        <v>87.982413732742017</v>
      </c>
      <c r="GX55" s="22">
        <f t="shared" si="28"/>
        <v>817.39663435119257</v>
      </c>
      <c r="GY55" s="62">
        <f t="shared" si="29"/>
        <v>1110.7299676845259</v>
      </c>
      <c r="GZ55" s="62">
        <f ca="1">AVERAGE(OFFSET($GY$3,0,0,'Données projet'!$E$18+1,1))-AVERAGE(OFFSET($H$3,0,0,'Données projet'!$E$18+1,1))</f>
        <v>331.3579800635751</v>
      </c>
      <c r="HA55" s="62">
        <f t="shared" si="52"/>
        <v>209.40702003535273</v>
      </c>
      <c r="HB55" s="16">
        <f>IF(ISNA(VLOOKUP(A55,'Données projet'!$A$269:$I$289,3,0)),0,VLOOKUP(A55,'Données projet'!$A$269:$I$289,3,0))</f>
        <v>3</v>
      </c>
      <c r="HC55" s="16">
        <f>IF(ISNA(VLOOKUP(A55,'Données projet'!$A$269:$I$289,4,0)),0,VLOOKUP(A55,'Données projet'!$A$269:$I$289,4,0))</f>
        <v>70.849999999999994</v>
      </c>
      <c r="HD55" s="17">
        <f>IF(ISNA(VLOOKUP(A55,'Données projet'!$A$269:$I$289,5,0)),0%,VLOOKUP(A55,'Données projet'!$A$269:$I$289,5,0)*VLOOKUP('Données projet'!$B$18,Paramètres!$A$1:$I$89,7,0))</f>
        <v>0.43</v>
      </c>
      <c r="HE55" s="17">
        <f>IF(ISNA(VLOOKUP(A55,'Données projet'!$A$269:$I$289,6,0)),0%,VLOOKUP(A55,'Données projet'!$A$269:$I$289,6,0)*VLOOKUP('Données projet'!$B$18,Paramètres!$A$1:$I$89,7,0))</f>
        <v>4.3000000000000003E-2</v>
      </c>
      <c r="HF55" s="17">
        <f>IF(ISNA(VLOOKUP(A55,'Données projet'!$A$269:$I$289,7,0)),0%,VLOOKUP(A55,'Données projet'!$A$269:$I$289,7,0))</f>
        <v>0.15</v>
      </c>
      <c r="HG55" s="23">
        <f>EXP(-LN(2)/35)*HG54+(1-EXP(-LN(2)/35))/(LN(2)/35)*HC55*HD55*VLOOKUP('Données projet'!$B$18,Paramètres!$A$1:$I$89,3,0)*0.475*44/12</f>
        <v>36.251761127222402</v>
      </c>
      <c r="HH55" s="23">
        <f>EXP(-LN(2)/25)*HH54+(1-EXP(-LN(2)/25))/(LN(2)/25)*Calculateur!HC55*Calculateur!HE55*VLOOKUP('Données projet'!$B$18,Paramètres!$A$1:$I$89,3,0)*0.475*44/12</f>
        <v>3.6109024130660607</v>
      </c>
      <c r="HI55" s="23">
        <f>EXP(-LN(2)/2)*HI54+(1-EXP(-LN(2)/2))/(LN(2)/2)*HC55*HF55*VLOOKUP('Données projet'!$B$18,Paramètres!$A$1:$I$89,3,0)*0.475*44/12</f>
        <v>10.793420471540374</v>
      </c>
      <c r="HJ55" s="24">
        <f t="shared" si="30"/>
        <v>50.656084011828838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33.089285714285715</v>
      </c>
      <c r="N56" s="14">
        <f>IF('Données projet'!$A$36&gt;35,N55+M56-V55,IF(A56&lt;'Données projet'!$A$36,$K$205^A56,IF(A56='Données projet'!$A$36,'Données projet'!$B$36,N55+M56-V55)))</f>
        <v>673.16142857142847</v>
      </c>
      <c r="O56" s="14">
        <f>N56*VLOOKUP('Données projet'!$B$9,Paramètres!$A$1:$I$89,3,0)*VLOOKUP('Données projet'!$B$9,Paramètres!$A$1:$I$89,5,0)</f>
        <v>609.07646057142847</v>
      </c>
      <c r="P56" s="14">
        <f t="shared" si="33"/>
        <v>133.07242797890086</v>
      </c>
      <c r="Q56" s="22">
        <f t="shared" si="53"/>
        <v>1292.5759808918235</v>
      </c>
      <c r="R56" s="62">
        <f t="shared" si="0"/>
        <v>1585.9093142251568</v>
      </c>
      <c r="S56" s="62">
        <f ca="1">AVERAGE(OFFSET($R$3,0,0,'Données projet'!$E$9+1,1))-AVERAGE(OFFSET($H$3,0,0,'Données projet'!$E$9+1,1))</f>
        <v>2472.5049373954762</v>
      </c>
      <c r="T56" s="62">
        <f t="shared" si="34"/>
        <v>286.98388307318311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33.089285714285715</v>
      </c>
      <c r="AI56" s="14">
        <f>IF('Données projet'!$A$62&gt;35,AI55+AH56-AQ55,IF(A56&lt;'Données projet'!$A$62,$AF$205^A56,IF(A56='Données projet'!$A$62,'Données projet'!$B$62,AI55+AH56-AQ55)))</f>
        <v>673.16142857142847</v>
      </c>
      <c r="AJ56" s="14">
        <f>AI56*VLOOKUP('Données projet'!$B$10,Paramètres!$A$1:$I$89,3,0)*VLOOKUP('Données projet'!$B$10,Paramètres!$A$1:$I$89,5,0)</f>
        <v>682.58568857142859</v>
      </c>
      <c r="AK56" s="14">
        <f t="shared" si="35"/>
        <v>147.16798638254804</v>
      </c>
      <c r="AL56" s="22">
        <f t="shared" si="4"/>
        <v>1445.1543172115091</v>
      </c>
      <c r="AM56" s="62">
        <f t="shared" si="5"/>
        <v>1738.4876505448424</v>
      </c>
      <c r="AN56" s="62">
        <f ca="1">AVERAGE(OFFSET($AM$3,0,0,'Données projet'!$E$10+1,1))-AVERAGE(OFFSET($H$3,0,0,'Données projet'!$E$10+1,1))</f>
        <v>2761.1400657295467</v>
      </c>
      <c r="AO56" s="62">
        <f t="shared" si="36"/>
        <v>316.41877504316409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33.089285714285715</v>
      </c>
      <c r="BD56" s="13">
        <f>IF('Données projet'!$A$88&gt;35,BD55+BC56-BL55,IF(A56&lt;'Données projet'!$A$88,$BA$205^A56,IF(A56='Données projet'!$A$88,'Données projet'!$B$88,BD55+BC56-BL55)))</f>
        <v>673.16142857142847</v>
      </c>
      <c r="BE56" s="14">
        <f>BD56*VLOOKUP('Données projet'!$B$11,Paramètres!$A$1:$I$89,3,0)*VLOOKUP('Données projet'!$B$11,Paramètres!$A$1:$I$89,5,0)</f>
        <v>703.58832514285712</v>
      </c>
      <c r="BF56" s="14">
        <f t="shared" si="37"/>
        <v>151.16205989558833</v>
      </c>
      <c r="BG56" s="22">
        <f t="shared" si="7"/>
        <v>1488.6902539419589</v>
      </c>
      <c r="BH56" s="62">
        <f t="shared" si="8"/>
        <v>1782.0235872752921</v>
      </c>
      <c r="BI56" s="62">
        <f ca="1">AVERAGE(OFFSET($BH$3,0,0,'Données projet'!$E$11+1,1))-AVERAGE(OFFSET($H$3,0,0,'Données projet'!$E$11+1,1))</f>
        <v>2843.5086223152098</v>
      </c>
      <c r="BJ56" s="62">
        <f t="shared" si="38"/>
        <v>324.81562437645522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33.089285714285715</v>
      </c>
      <c r="BY56" s="13">
        <f>IF('Données projet'!$A$114&gt;35,BY55+BX56-CG55,IF(A56&lt;'Données projet'!$A$114,$BV$205^A56,IF(A56='Données projet'!$A$114,'Données projet'!$B$114,BY55+BX56-CG55)))</f>
        <v>673.16142857142847</v>
      </c>
      <c r="BZ56" s="14">
        <f>BY56*VLOOKUP('Données projet'!$B$12,Paramètres!$A$1:$I$89,3,0)*VLOOKUP('Données projet'!$B$12,Paramètres!$A$1:$I$89,5,0)</f>
        <v>672.08437028571416</v>
      </c>
      <c r="CA56" s="14">
        <f t="shared" si="39"/>
        <v>145.16560578962572</v>
      </c>
      <c r="CB56" s="22">
        <f t="shared" si="10"/>
        <v>1423.3770416645502</v>
      </c>
      <c r="CC56" s="62">
        <f t="shared" si="11"/>
        <v>1716.7103749978835</v>
      </c>
      <c r="CD56" s="62">
        <f ca="1">AVERAGE(OFFSET($CC$3,0,0,'Données projet'!$E$12+1,1))-AVERAGE(OFFSET($H$3,0,0,'Données projet'!$E$12+1,1))</f>
        <v>2719.939926994799</v>
      </c>
      <c r="CE56" s="62">
        <f t="shared" si="40"/>
        <v>312.21824046329749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35.283571428571427</v>
      </c>
      <c r="CT56" s="13">
        <f>IF('Données projet'!$A$140&gt;35,CT55+CS56-DB55,IF(A56&lt;'Données projet'!$A$140,$CQ$205^A56,IF(A56='Données projet'!$A$140,'Données projet'!$B$140,CT55+CS56-DB55)))</f>
        <v>766.3128571428573</v>
      </c>
      <c r="CU56" s="18">
        <f>CT56*VLOOKUP('Données projet'!$B$13,Paramètres!$A$1:$I$89,3,0)*VLOOKUP('Données projet'!$B$13,Paramètres!$A$1:$I$89,5,0)</f>
        <v>669.45091200000024</v>
      </c>
      <c r="CV56" s="14">
        <f t="shared" si="41"/>
        <v>144.6628914667202</v>
      </c>
      <c r="CW56" s="22">
        <f t="shared" si="13"/>
        <v>1417.9148743712049</v>
      </c>
      <c r="CX56" s="62">
        <f t="shared" si="14"/>
        <v>1711.2482077045381</v>
      </c>
      <c r="CY56" s="62">
        <f ca="1">AVERAGE(OFFSET($CX$3,0,0,'Données projet'!$E$13+1,1))-AVERAGE(OFFSET($H$3,0,0,'Données projet'!$E$13+1,1))</f>
        <v>1036.0130072090849</v>
      </c>
      <c r="CZ56" s="62">
        <f t="shared" si="42"/>
        <v>346.56593355696174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16.225000000000009</v>
      </c>
      <c r="DO56" s="13">
        <f>IF('Données projet'!$A$166&gt;35,DO55+DN56-DW55,IF(A56&lt;'Données projet'!$A$166,$DL$205^A56,IF(A56='Données projet'!$A$166,'Données projet'!$B$166,DO55+DN56-DW55)))</f>
        <v>584.06500000000051</v>
      </c>
      <c r="DP56" s="18">
        <f>DO56*VLOOKUP('Données projet'!$B$14,Paramètres!$A$1:$I$89,3,0)*VLOOKUP('Données projet'!$B$14,Paramètres!$A$1:$I$89,5,0)</f>
        <v>326.49233500000025</v>
      </c>
      <c r="DQ56" s="14">
        <f t="shared" si="43"/>
        <v>76.702627053954572</v>
      </c>
      <c r="DR56" s="22">
        <f t="shared" si="16"/>
        <v>702.2312255773046</v>
      </c>
      <c r="DS56" s="62">
        <f t="shared" si="17"/>
        <v>995.56455891063797</v>
      </c>
      <c r="DT56" s="62">
        <f ca="1">AVERAGE(OFFSET($DS$3,0,0,'Données projet'!$E$14+1,1))-AVERAGE(OFFSET($H$3,0,0,'Données projet'!$E$14+1,1))</f>
        <v>446.48069057792151</v>
      </c>
      <c r="DU56" s="62">
        <f t="shared" si="44"/>
        <v>561.75656782935948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48.697655024908393</v>
      </c>
      <c r="EB56" s="23">
        <f>EXP(-LN(2)/25)*EB55+(1-EXP(-LN(2)/25))/(LN(2)/25)*Calculateur!DW56*Calculateur!DY56*VLOOKUP('Données projet'!$B$14,Paramètres!$A$1:$I$89,3,0)*0.475*44/12</f>
        <v>29.567914541538737</v>
      </c>
      <c r="EC56" s="23">
        <f>EXP(-LN(2)/2)*EC55+(1-EXP(-LN(2)/2))/(LN(2)/2)*DW56*DZ56*VLOOKUP('Données projet'!$B$14,Paramètres!$A$1:$I$89,3,0)*0.475*44/12</f>
        <v>19.465556062969171</v>
      </c>
      <c r="ED56" s="24">
        <f t="shared" si="18"/>
        <v>97.731125629416297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21.848750000000003</v>
      </c>
      <c r="EJ56" s="13">
        <f>IF('Données projet'!$A$192&gt;35,EJ55+EI56-ER55,IF(A56&lt;'Données projet'!$A$192,$EG$205^A56,IF(A56='Données projet'!$A$192,'Données projet'!$B$192,EJ55+EI56-ER55)))</f>
        <v>305.26875000000018</v>
      </c>
      <c r="EK56" s="18">
        <f>EJ56*VLOOKUP('Données projet'!$B$15,Paramètres!$A$1:$I$89,3,0)*VLOOKUP('Données projet'!$B$15,Paramètres!$A$1:$I$89,5,0)</f>
        <v>295.25593500000019</v>
      </c>
      <c r="EL56" s="14">
        <f t="shared" si="45"/>
        <v>70.181004476292799</v>
      </c>
      <c r="EM56" s="22">
        <f t="shared" si="19"/>
        <v>636.46933625454358</v>
      </c>
      <c r="EN56" s="62">
        <f t="shared" si="20"/>
        <v>929.80266958787684</v>
      </c>
      <c r="EO56" s="62">
        <f ca="1">AVERAGE(OFFSET($EN$3,0,0,'Données projet'!$E$15+1,1))-AVERAGE(OFFSET($H$3,0,0,'Données projet'!$E$15+1,1))</f>
        <v>301.18531163828169</v>
      </c>
      <c r="EP56" s="62">
        <f t="shared" si="46"/>
        <v>192.30530273268101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31.93528905188883</v>
      </c>
      <c r="EW56" s="23">
        <f>EXP(-LN(2)/25)*EW55+(1-EXP(-LN(2)/25))/(LN(2)/25)*Calculateur!ER56*Calculateur!ET56*VLOOKUP('Données projet'!$B$15,Paramètres!$A$1:$I$89,3,0)*0.475*44/12</f>
        <v>3.1558557970272934</v>
      </c>
      <c r="EX56" s="23">
        <f>EXP(-LN(2)/2)*EX55+(1-EXP(-LN(2)/2))/(LN(2)/2)*ER56*EU56*VLOOKUP('Données projet'!$B$15,Paramètres!$A$1:$I$89,3,0)*0.475*44/12</f>
        <v>6.8578297111982911</v>
      </c>
      <c r="EY56" s="24">
        <f t="shared" si="21"/>
        <v>41.948974560114415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21.848750000000003</v>
      </c>
      <c r="FE56" s="13">
        <f>IF('Données projet'!$A$218&gt;35,FE55+FD56-FM55,IF(A56&lt;'Données projet'!$A$218,$FB$205^A56,IF(A56='Données projet'!$A$218,'Données projet'!$B$218,FE55+FD56-FM55)))</f>
        <v>305.26875000000018</v>
      </c>
      <c r="FF56" s="18">
        <f>FE56*VLOOKUP('Données projet'!$B$16,Paramètres!$A$1:$I$89,3,0)*VLOOKUP('Données projet'!$B$16,Paramètres!$A$1:$I$89,5,0)</f>
        <v>238.10962500000014</v>
      </c>
      <c r="FG56" s="14">
        <f t="shared" si="47"/>
        <v>58.032620094928909</v>
      </c>
      <c r="FH56" s="22">
        <f t="shared" si="22"/>
        <v>515.78107687366798</v>
      </c>
      <c r="FI56" s="62">
        <f t="shared" si="23"/>
        <v>809.11441020700136</v>
      </c>
      <c r="FJ56" s="62">
        <f ca="1">AVERAGE(OFFSET($FI$3,0,0,'Données projet'!$E$16+1,1))-AVERAGE(OFFSET($H$3,0,0,'Données projet'!$E$16+1,1))</f>
        <v>249.2899297828755</v>
      </c>
      <c r="FK56" s="62">
        <f t="shared" si="48"/>
        <v>162.88011837476813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25.754265364426477</v>
      </c>
      <c r="FR56" s="23">
        <f>EXP(-LN(2)/25)*FR55+(1-EXP(-LN(2)/25))/(LN(2)/25)*Calculateur!FM56*Calculateur!FO56*VLOOKUP('Données projet'!$B$16,Paramètres!$A$1:$I$89,3,0)*0.475*44/12</f>
        <v>2.5450449976026555</v>
      </c>
      <c r="FS56" s="23">
        <f>EXP(-LN(2)/2)*FS55+(1-EXP(-LN(2)/2))/(LN(2)/2)*FM56*FP56*VLOOKUP('Données projet'!$B$16,Paramètres!$A$1:$I$89,3,0)*0.475*44/12</f>
        <v>5.5305078316115246</v>
      </c>
      <c r="FT56" s="24">
        <f t="shared" si="24"/>
        <v>33.829818193640655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21.848750000000003</v>
      </c>
      <c r="FZ56" s="13">
        <f>IF('Données projet'!$A$244&gt;35,FZ55+FY56-GH55,IF(A56&lt;'Données projet'!$A$244,$FW$205^A56,IF(A56='Données projet'!$A$244,'Données projet'!$B$244,FZ55+FY56-GH55)))</f>
        <v>305.26875000000018</v>
      </c>
      <c r="GA56" s="18">
        <f>FZ56*VLOOKUP('Données projet'!$B$17,Paramètres!$A$1:$I$89,3,0)*VLOOKUP('Données projet'!$B$17,Paramètres!$A$1:$I$89,5,0)</f>
        <v>204.77427750000012</v>
      </c>
      <c r="GB56" s="14">
        <f t="shared" si="49"/>
        <v>50.791964478237048</v>
      </c>
      <c r="GC56" s="22">
        <f t="shared" si="25"/>
        <v>445.11120477876307</v>
      </c>
      <c r="GD56" s="62">
        <f t="shared" si="26"/>
        <v>738.44453811209632</v>
      </c>
      <c r="GE56" s="62">
        <f ca="1">AVERAGE(OFFSET($GD$3,0,0,'Données projet'!$E$17+1,1))-AVERAGE(OFFSET($H$3,0,0,'Données projet'!$E$17+1,1))</f>
        <v>218.89895999738746</v>
      </c>
      <c r="GF56" s="62">
        <f t="shared" si="50"/>
        <v>145.64042897395763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27.299521286292062</v>
      </c>
      <c r="GM56" s="23">
        <f>EXP(-LN(2)/25)*GM55+(1-EXP(-LN(2)/25))/(LN(2)/25)*Calculateur!GH56*Calculateur!GJ56*VLOOKUP('Données projet'!$B$17,Paramètres!$A$1:$I$89,3,0)*0.475*44/12</f>
        <v>2.6977476974588153</v>
      </c>
      <c r="GN56" s="23">
        <f>EXP(-LN(2)/2)*GN55+(1-EXP(-LN(2)/2))/(LN(2)/2)*GH56*GK56*VLOOKUP('Données projet'!$B$17,Paramètres!$A$1:$I$89,3,0)*0.475*44/12</f>
        <v>4.7562367351859116</v>
      </c>
      <c r="GO56" s="23">
        <f t="shared" si="27"/>
        <v>34.753505718936793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21.848750000000003</v>
      </c>
      <c r="GU56" s="13">
        <f>IF('Données projet'!$A$270&gt;35,GU55+GT56-HC55,IF(A56&lt;'Données projet'!$A$270,$GR$205^A56,IF(A56='Données projet'!$A$270,'Données projet'!$B$270,GU55+GT56-HC55)))</f>
        <v>305.26875000000018</v>
      </c>
      <c r="GV56" s="18">
        <f>GU56*VLOOKUP('Données projet'!$B$18,Paramètres!$A$1:$I$89,3,0)*VLOOKUP('Données projet'!$B$18,Paramètres!$A$1:$I$89,5,0)</f>
        <v>328.5912825000002</v>
      </c>
      <c r="GW56" s="14">
        <f t="shared" si="51"/>
        <v>77.138171415326852</v>
      </c>
      <c r="GX56" s="22">
        <f t="shared" si="28"/>
        <v>706.64546556919458</v>
      </c>
      <c r="GY56" s="62">
        <f t="shared" si="29"/>
        <v>999.97879890252784</v>
      </c>
      <c r="GZ56" s="62">
        <f ca="1">AVERAGE(OFFSET($GY$3,0,0,'Données projet'!$E$18+1,1))-AVERAGE(OFFSET($H$3,0,0,'Données projet'!$E$18+1,1))</f>
        <v>331.3579800635751</v>
      </c>
      <c r="HA56" s="62">
        <f t="shared" si="52"/>
        <v>209.40702003535273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35.540886202908538</v>
      </c>
      <c r="HH56" s="23">
        <f>EXP(-LN(2)/25)*HH55+(1-EXP(-LN(2)/25))/(LN(2)/25)*Calculateur!HC56*Calculateur!HE56*VLOOKUP('Données projet'!$B$18,Paramètres!$A$1:$I$89,3,0)*0.475*44/12</f>
        <v>3.5121620966916645</v>
      </c>
      <c r="HI56" s="23">
        <f>EXP(-LN(2)/2)*HI55+(1-EXP(-LN(2)/2))/(LN(2)/2)*HC56*HF56*VLOOKUP('Données projet'!$B$18,Paramètres!$A$1:$I$89,3,0)*0.475*44/12</f>
        <v>7.6321008076239023</v>
      </c>
      <c r="HJ56" s="24">
        <f t="shared" si="30"/>
        <v>46.685149107224106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33.089285714285715</v>
      </c>
      <c r="N57" s="14">
        <f>IF('Données projet'!$A$36&gt;35,N56+M57-V56,IF(A57&lt;'Données projet'!$A$36,$K$205^A57,IF(A57='Données projet'!$A$36,'Données projet'!$B$36,N56+M57-V56)))</f>
        <v>706.25071428571414</v>
      </c>
      <c r="O57" s="14">
        <f>N57*VLOOKUP('Données projet'!$B$9,Paramètres!$A$1:$I$89,3,0)*VLOOKUP('Données projet'!$B$9,Paramètres!$A$1:$I$89,5,0)</f>
        <v>639.01564628571407</v>
      </c>
      <c r="P57" s="14">
        <f t="shared" si="33"/>
        <v>138.83597648733925</v>
      </c>
      <c r="Q57" s="22">
        <f t="shared" si="53"/>
        <v>1354.7582429964011</v>
      </c>
      <c r="R57" s="62">
        <f t="shared" si="0"/>
        <v>1648.0915763297344</v>
      </c>
      <c r="S57" s="62">
        <f ca="1">AVERAGE(OFFSET($R$3,0,0,'Données projet'!$E$9+1,1))-AVERAGE(OFFSET($H$3,0,0,'Données projet'!$E$9+1,1))</f>
        <v>2472.5049373954762</v>
      </c>
      <c r="T57" s="62">
        <f t="shared" si="34"/>
        <v>286.98388307318311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33.089285714285715</v>
      </c>
      <c r="AI57" s="14">
        <f>IF('Données projet'!$A$62&gt;35,AI56+AH57-AQ56,IF(A57&lt;'Données projet'!$A$62,$AF$205^A57,IF(A57='Données projet'!$A$62,'Données projet'!$B$62,AI56+AH57-AQ56)))</f>
        <v>706.25071428571414</v>
      </c>
      <c r="AJ57" s="14">
        <f>AI57*VLOOKUP('Données projet'!$B$10,Paramètres!$A$1:$I$89,3,0)*VLOOKUP('Données projet'!$B$10,Paramètres!$A$1:$I$89,5,0)</f>
        <v>716.13822428571416</v>
      </c>
      <c r="AK57" s="14">
        <f t="shared" si="35"/>
        <v>153.54203276681872</v>
      </c>
      <c r="AL57" s="22">
        <f t="shared" si="4"/>
        <v>1514.6931143664945</v>
      </c>
      <c r="AM57" s="62">
        <f t="shared" si="5"/>
        <v>1808.0264476998277</v>
      </c>
      <c r="AN57" s="62">
        <f ca="1">AVERAGE(OFFSET($AM$3,0,0,'Données projet'!$E$10+1,1))-AVERAGE(OFFSET($H$3,0,0,'Données projet'!$E$10+1,1))</f>
        <v>2761.1400657295467</v>
      </c>
      <c r="AO57" s="62">
        <f t="shared" si="36"/>
        <v>316.41877504316409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33.089285714285715</v>
      </c>
      <c r="BD57" s="13">
        <f>IF('Données projet'!$A$88&gt;35,BD56+BC57-BL56,IF(A57&lt;'Données projet'!$A$88,$BA$205^A57,IF(A57='Données projet'!$A$88,'Données projet'!$B$88,BD56+BC57-BL56)))</f>
        <v>706.25071428571414</v>
      </c>
      <c r="BE57" s="14">
        <f>BD57*VLOOKUP('Données projet'!$B$11,Paramètres!$A$1:$I$89,3,0)*VLOOKUP('Données projet'!$B$11,Paramètres!$A$1:$I$89,5,0)</f>
        <v>738.17324657142854</v>
      </c>
      <c r="BF57" s="14">
        <f t="shared" si="37"/>
        <v>157.70909505588364</v>
      </c>
      <c r="BG57" s="22">
        <f t="shared" si="7"/>
        <v>1560.3284116675686</v>
      </c>
      <c r="BH57" s="62">
        <f t="shared" si="8"/>
        <v>1853.6617450009019</v>
      </c>
      <c r="BI57" s="62">
        <f ca="1">AVERAGE(OFFSET($BH$3,0,0,'Données projet'!$E$11+1,1))-AVERAGE(OFFSET($H$3,0,0,'Données projet'!$E$11+1,1))</f>
        <v>2843.5086223152098</v>
      </c>
      <c r="BJ57" s="62">
        <f t="shared" si="38"/>
        <v>324.81562437645522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33.089285714285715</v>
      </c>
      <c r="BY57" s="13">
        <f>IF('Données projet'!$A$114&gt;35,BY56+BX57-CG56,IF(A57&lt;'Données projet'!$A$114,$BV$205^A57,IF(A57='Données projet'!$A$114,'Données projet'!$B$114,BY56+BX57-CG56)))</f>
        <v>706.25071428571414</v>
      </c>
      <c r="BZ57" s="14">
        <f>BY57*VLOOKUP('Données projet'!$B$12,Paramètres!$A$1:$I$89,3,0)*VLOOKUP('Données projet'!$B$12,Paramètres!$A$1:$I$89,5,0)</f>
        <v>705.12071314285697</v>
      </c>
      <c r="CA57" s="14">
        <f t="shared" si="39"/>
        <v>151.45292633703502</v>
      </c>
      <c r="CB57" s="22">
        <f t="shared" si="10"/>
        <v>1491.8657554274785</v>
      </c>
      <c r="CC57" s="62">
        <f t="shared" si="11"/>
        <v>1785.1990887608117</v>
      </c>
      <c r="CD57" s="62">
        <f ca="1">AVERAGE(OFFSET($CC$3,0,0,'Données projet'!$E$12+1,1))-AVERAGE(OFFSET($H$3,0,0,'Données projet'!$E$12+1,1))</f>
        <v>2719.939926994799</v>
      </c>
      <c r="CE57" s="62">
        <f t="shared" si="40"/>
        <v>312.21824046329749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35.283571428571427</v>
      </c>
      <c r="CT57" s="13">
        <f>IF('Données projet'!$A$140&gt;35,CT56+CS57-DB56,IF(A57&lt;'Données projet'!$A$140,$CQ$205^A57,IF(A57='Données projet'!$A$140,'Données projet'!$B$140,CT56+CS57-DB56)))</f>
        <v>801.59642857142876</v>
      </c>
      <c r="CU57" s="18">
        <f>CT57*VLOOKUP('Données projet'!$B$13,Paramètres!$A$1:$I$89,3,0)*VLOOKUP('Données projet'!$B$13,Paramètres!$A$1:$I$89,5,0)</f>
        <v>700.27464000000032</v>
      </c>
      <c r="CV57" s="14">
        <f t="shared" si="41"/>
        <v>150.53282853505956</v>
      </c>
      <c r="CW57" s="22">
        <f t="shared" si="13"/>
        <v>1481.8230076985626</v>
      </c>
      <c r="CX57" s="62">
        <f t="shared" si="14"/>
        <v>1775.1563410318959</v>
      </c>
      <c r="CY57" s="62">
        <f ca="1">AVERAGE(OFFSET($CX$3,0,0,'Données projet'!$E$13+1,1))-AVERAGE(OFFSET($H$3,0,0,'Données projet'!$E$13+1,1))</f>
        <v>1036.0130072090849</v>
      </c>
      <c r="CZ57" s="62">
        <f t="shared" si="42"/>
        <v>346.56593355696174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16.225000000000009</v>
      </c>
      <c r="DO57" s="13">
        <f>IF('Données projet'!$A$166&gt;35,DO56+DN57-DW56,IF(A57&lt;'Données projet'!$A$166,$DL$205^A57,IF(A57='Données projet'!$A$166,'Données projet'!$B$166,DO56+DN57-DW56)))</f>
        <v>600.29000000000053</v>
      </c>
      <c r="DP57" s="18">
        <f>DO57*VLOOKUP('Données projet'!$B$14,Paramètres!$A$1:$I$89,3,0)*VLOOKUP('Données projet'!$B$14,Paramètres!$A$1:$I$89,5,0)</f>
        <v>335.56211000000036</v>
      </c>
      <c r="DQ57" s="14">
        <f t="shared" si="43"/>
        <v>78.582350311642486</v>
      </c>
      <c r="DR57" s="22">
        <f t="shared" si="16"/>
        <v>721.30160170944464</v>
      </c>
      <c r="DS57" s="62">
        <f t="shared" si="17"/>
        <v>1014.6349350427779</v>
      </c>
      <c r="DT57" s="62">
        <f ca="1">AVERAGE(OFFSET($DS$3,0,0,'Données projet'!$E$14+1,1))-AVERAGE(OFFSET($H$3,0,0,'Données projet'!$E$14+1,1))</f>
        <v>446.48069057792151</v>
      </c>
      <c r="DU57" s="62">
        <f t="shared" si="44"/>
        <v>561.75656782935948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47.74272371250661</v>
      </c>
      <c r="EB57" s="23">
        <f>EXP(-LN(2)/25)*EB56+(1-EXP(-LN(2)/25))/(LN(2)/25)*Calculateur!DW57*Calculateur!DY57*VLOOKUP('Données projet'!$B$14,Paramètres!$A$1:$I$89,3,0)*0.475*44/12</f>
        <v>28.759378363491312</v>
      </c>
      <c r="EC57" s="23">
        <f>EXP(-LN(2)/2)*EC56+(1-EXP(-LN(2)/2))/(LN(2)/2)*DW57*DZ57*VLOOKUP('Données projet'!$B$14,Paramètres!$A$1:$I$89,3,0)*0.475*44/12</f>
        <v>13.764226691692416</v>
      </c>
      <c r="ED57" s="24">
        <f t="shared" si="18"/>
        <v>90.266328767690339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21.848750000000003</v>
      </c>
      <c r="EJ57" s="13">
        <f>IF('Données projet'!$A$192&gt;35,EJ56+EI57-ER56,IF(A57&lt;'Données projet'!$A$192,$EG$205^A57,IF(A57='Données projet'!$A$192,'Données projet'!$B$192,EJ56+EI57-ER56)))</f>
        <v>327.11750000000018</v>
      </c>
      <c r="EK57" s="18">
        <f>EJ57*VLOOKUP('Données projet'!$B$15,Paramètres!$A$1:$I$89,3,0)*VLOOKUP('Données projet'!$B$15,Paramètres!$A$1:$I$89,5,0)</f>
        <v>316.3880460000002</v>
      </c>
      <c r="EL57" s="14">
        <f t="shared" si="45"/>
        <v>74.601320599368634</v>
      </c>
      <c r="EM57" s="22">
        <f t="shared" si="19"/>
        <v>680.97314682723402</v>
      </c>
      <c r="EN57" s="62">
        <f t="shared" si="20"/>
        <v>974.30648016056739</v>
      </c>
      <c r="EO57" s="62">
        <f ca="1">AVERAGE(OFFSET($EN$3,0,0,'Données projet'!$E$15+1,1))-AVERAGE(OFFSET($H$3,0,0,'Données projet'!$E$15+1,1))</f>
        <v>301.18531163828169</v>
      </c>
      <c r="EP57" s="62">
        <f t="shared" si="46"/>
        <v>192.30530273268101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31.30905751218426</v>
      </c>
      <c r="EW57" s="23">
        <f>EXP(-LN(2)/25)*EW56+(1-EXP(-LN(2)/25))/(LN(2)/25)*Calculateur!ER57*Calculateur!ET57*VLOOKUP('Données projet'!$B$15,Paramètres!$A$1:$I$89,3,0)*0.475*44/12</f>
        <v>3.0695587542983382</v>
      </c>
      <c r="EX57" s="23">
        <f>EXP(-LN(2)/2)*EX56+(1-EXP(-LN(2)/2))/(LN(2)/2)*ER57*EU57*VLOOKUP('Données projet'!$B$15,Paramètres!$A$1:$I$89,3,0)*0.475*44/12</f>
        <v>4.8492178930108949</v>
      </c>
      <c r="EY57" s="24">
        <f t="shared" si="21"/>
        <v>39.22783415949349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21.848750000000003</v>
      </c>
      <c r="FE57" s="13">
        <f>IF('Données projet'!$A$218&gt;35,FE56+FD57-FM56,IF(A57&lt;'Données projet'!$A$218,$FB$205^A57,IF(A57='Données projet'!$A$218,'Données projet'!$B$218,FE56+FD57-FM56)))</f>
        <v>327.11750000000018</v>
      </c>
      <c r="FF57" s="18">
        <f>FE57*VLOOKUP('Données projet'!$B$16,Paramètres!$A$1:$I$89,3,0)*VLOOKUP('Données projet'!$B$16,Paramètres!$A$1:$I$89,5,0)</f>
        <v>255.15165000000016</v>
      </c>
      <c r="FG57" s="14">
        <f t="shared" si="47"/>
        <v>61.68777619000312</v>
      </c>
      <c r="FH57" s="22">
        <f t="shared" si="22"/>
        <v>551.82866728092233</v>
      </c>
      <c r="FI57" s="62">
        <f t="shared" si="23"/>
        <v>845.1620006142557</v>
      </c>
      <c r="FJ57" s="62">
        <f ca="1">AVERAGE(OFFSET($FI$3,0,0,'Données projet'!$E$16+1,1))-AVERAGE(OFFSET($H$3,0,0,'Données projet'!$E$16+1,1))</f>
        <v>249.2899297828755</v>
      </c>
      <c r="FK57" s="62">
        <f t="shared" si="48"/>
        <v>162.88011837476813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25.249239929180856</v>
      </c>
      <c r="FR57" s="23">
        <f>EXP(-LN(2)/25)*FR56+(1-EXP(-LN(2)/25))/(LN(2)/25)*Calculateur!FM57*Calculateur!FO57*VLOOKUP('Données projet'!$B$16,Paramètres!$A$1:$I$89,3,0)*0.475*44/12</f>
        <v>2.4754506083051111</v>
      </c>
      <c r="FS57" s="23">
        <f>EXP(-LN(2)/2)*FS56+(1-EXP(-LN(2)/2))/(LN(2)/2)*FM57*FP57*VLOOKUP('Données projet'!$B$16,Paramètres!$A$1:$I$89,3,0)*0.475*44/12</f>
        <v>3.9106595911378181</v>
      </c>
      <c r="FT57" s="24">
        <f t="shared" si="24"/>
        <v>31.635350128623784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21.848750000000003</v>
      </c>
      <c r="FZ57" s="13">
        <f>IF('Données projet'!$A$244&gt;35,FZ56+FY57-GH56,IF(A57&lt;'Données projet'!$A$244,$FW$205^A57,IF(A57='Données projet'!$A$244,'Données projet'!$B$244,FZ56+FY57-GH56)))</f>
        <v>327.11750000000018</v>
      </c>
      <c r="GA57" s="18">
        <f>FZ57*VLOOKUP('Données projet'!$B$17,Paramètres!$A$1:$I$89,3,0)*VLOOKUP('Données projet'!$B$17,Paramètres!$A$1:$I$89,5,0)</f>
        <v>219.43041900000011</v>
      </c>
      <c r="GB57" s="14">
        <f t="shared" si="49"/>
        <v>53.991071432907205</v>
      </c>
      <c r="GC57" s="22">
        <f t="shared" si="25"/>
        <v>476.20909583731355</v>
      </c>
      <c r="GD57" s="62">
        <f t="shared" si="26"/>
        <v>769.54242917064687</v>
      </c>
      <c r="GE57" s="62">
        <f ca="1">AVERAGE(OFFSET($GD$3,0,0,'Données projet'!$E$17+1,1))-AVERAGE(OFFSET($H$3,0,0,'Données projet'!$E$17+1,1))</f>
        <v>218.89895999738746</v>
      </c>
      <c r="GF57" s="62">
        <f t="shared" si="50"/>
        <v>145.64042897395763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26.764194324931704</v>
      </c>
      <c r="GM57" s="23">
        <f>EXP(-LN(2)/25)*GM56+(1-EXP(-LN(2)/25))/(LN(2)/25)*Calculateur!GH57*Calculateur!GJ57*VLOOKUP('Données projet'!$B$17,Paramètres!$A$1:$I$89,3,0)*0.475*44/12</f>
        <v>2.6239776448034182</v>
      </c>
      <c r="GN57" s="23">
        <f>EXP(-LN(2)/2)*GN56+(1-EXP(-LN(2)/2))/(LN(2)/2)*GH57*GK57*VLOOKUP('Données projet'!$B$17,Paramètres!$A$1:$I$89,3,0)*0.475*44/12</f>
        <v>3.3631672483785238</v>
      </c>
      <c r="GO57" s="23">
        <f t="shared" si="27"/>
        <v>32.751339218113642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21.848750000000003</v>
      </c>
      <c r="GU57" s="13">
        <f>IF('Données projet'!$A$270&gt;35,GU56+GT57-HC56,IF(A57&lt;'Données projet'!$A$270,$GR$205^A57,IF(A57='Données projet'!$A$270,'Données projet'!$B$270,GU56+GT57-HC56)))</f>
        <v>327.11750000000018</v>
      </c>
      <c r="GV57" s="18">
        <f>GU57*VLOOKUP('Données projet'!$B$18,Paramètres!$A$1:$I$89,3,0)*VLOOKUP('Données projet'!$B$18,Paramètres!$A$1:$I$89,5,0)</f>
        <v>352.10927700000019</v>
      </c>
      <c r="GW57" s="14">
        <f t="shared" si="51"/>
        <v>81.996681283576777</v>
      </c>
      <c r="GX57" s="22">
        <f t="shared" si="28"/>
        <v>756.06787734389661</v>
      </c>
      <c r="GY57" s="62">
        <f t="shared" si="29"/>
        <v>1049.40121067723</v>
      </c>
      <c r="GZ57" s="62">
        <f ca="1">AVERAGE(OFFSET($GY$3,0,0,'Données projet'!$E$18+1,1))-AVERAGE(OFFSET($H$3,0,0,'Données projet'!$E$18+1,1))</f>
        <v>331.3579800635751</v>
      </c>
      <c r="HA57" s="62">
        <f t="shared" si="52"/>
        <v>209.40702003535273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34.843951102269578</v>
      </c>
      <c r="HH57" s="23">
        <f>EXP(-LN(2)/25)*HH56+(1-EXP(-LN(2)/25))/(LN(2)/25)*Calculateur!HC57*Calculateur!HE57*VLOOKUP('Données projet'!$B$18,Paramètres!$A$1:$I$89,3,0)*0.475*44/12</f>
        <v>3.4161218394610535</v>
      </c>
      <c r="HI57" s="23">
        <f>EXP(-LN(2)/2)*HI56+(1-EXP(-LN(2)/2))/(LN(2)/2)*HC57*HF57*VLOOKUP('Données projet'!$B$18,Paramètres!$A$1:$I$89,3,0)*0.475*44/12</f>
        <v>5.3967102357701879</v>
      </c>
      <c r="HJ57" s="24">
        <f t="shared" si="30"/>
        <v>43.65678317750082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739.34</v>
      </c>
      <c r="L58" s="13">
        <f>VLOOKUP(A58,'Données projet'!$A$35:$I$55,9,0)</f>
        <v>33.089285714285715</v>
      </c>
      <c r="M58" s="13">
        <f t="array" ref="M58">INDEX(L:L,MIN(IF(ISNUMBER(L58:L254),ROW(L58:L254),"")))</f>
        <v>33.089285714285715</v>
      </c>
      <c r="N58" s="14">
        <f>IF('Données projet'!$A$36&gt;35,N57+M58-V57,IF(A58&lt;'Données projet'!$A$36,$K$205^A58,IF(A58='Données projet'!$A$36,'Données projet'!$B$36,N57+M58-V57)))</f>
        <v>739.3399999999998</v>
      </c>
      <c r="O58" s="14">
        <f>N58*VLOOKUP('Données projet'!$B$9,Paramètres!$A$1:$I$89,3,0)*VLOOKUP('Données projet'!$B$9,Paramètres!$A$1:$I$89,5,0)</f>
        <v>668.95483199999978</v>
      </c>
      <c r="P58" s="14">
        <f t="shared" si="33"/>
        <v>144.5681664775642</v>
      </c>
      <c r="Q58" s="22">
        <f t="shared" si="53"/>
        <v>1416.8858890150905</v>
      </c>
      <c r="R58" s="62">
        <f t="shared" si="0"/>
        <v>1710.2192223484237</v>
      </c>
      <c r="S58" s="62">
        <f ca="1">AVERAGE(OFFSET($R$3,0,0,'Données projet'!$E$9+1,1))-AVERAGE(OFFSET($H$3,0,0,'Données projet'!$E$9+1,1))</f>
        <v>2472.5049373954762</v>
      </c>
      <c r="T58" s="62">
        <f t="shared" si="34"/>
        <v>286.98388307318311</v>
      </c>
      <c r="U58" s="16">
        <f>IF(ISNA(VLOOKUP(A58,'Données projet'!$A$35:$I$55,3,0)),0,VLOOKUP(A58,'Données projet'!$A$35:$I$55,3,0))</f>
        <v>3</v>
      </c>
      <c r="V58" s="16">
        <f>IF(ISNA(VLOOKUP(A58,'Données projet'!$A$35:$I$55,4,0)),0,VLOOKUP(A58,'Données projet'!$A$35:$I$55,4,0))</f>
        <v>147.87</v>
      </c>
      <c r="W58" s="17">
        <f>IF(ISNA(VLOOKUP(A58,'Données projet'!$A$35:$I$55,5,0)),0%,VLOOKUP(A58,'Données projet'!$A$35:$I$55,5,0)*VLOOKUP('Données projet'!$B$9,Paramètres!$A$1:$I$89,7,0))</f>
        <v>0.215</v>
      </c>
      <c r="X58" s="17">
        <f>IF(ISNA(VLOOKUP(A58,'Données projet'!$A$35:$I$55,6,0)),0%,VLOOKUP(A58,'Données projet'!$A$35:$I$55,6,0)*VLOOKUP('Données projet'!$B$9,Paramètres!$A$1:$I$89,7,0))</f>
        <v>4.3000000000000003E-2</v>
      </c>
      <c r="Y58" s="17">
        <f>IF(ISNA(VLOOKUP(A58,'Données projet'!$A$35:$I$55,7,0)),0%,VLOOKUP(A58,'Données projet'!$A$35:$I$55,7,0))</f>
        <v>0.15</v>
      </c>
      <c r="Z58" s="23">
        <f>EXP(-LN(2)/35)*Z57+(1-EXP(-LN(2)/35))/(LN(2)/35)*V58*W58*VLOOKUP('Données projet'!$B$9,Paramètres!$A$1:$I$89,3,0)*0.475*44/12</f>
        <v>31.799349435649702</v>
      </c>
      <c r="AA58" s="23">
        <f>EXP(-LN(2)/25)*AA57+(1-EXP(-LN(2)/25))/(LN(2)/25)*Calculateur!V58*Calculateur!X58*VLOOKUP('Données projet'!$B$9,Paramètres!$A$1:$I$89,3,0)*0.475*44/12</f>
        <v>6.3348286560838991</v>
      </c>
      <c r="AB58" s="23">
        <f>EXP(-LN(2)/2)*AB57+(1-EXP(-LN(2)/2))/(LN(2)/2)*V58*Y58*VLOOKUP('Données projet'!$B$9,Paramètres!$A$1:$I$89,3,0)*0.475*44/12</f>
        <v>18.935562770365475</v>
      </c>
      <c r="AC58" s="24">
        <f t="shared" si="3"/>
        <v>57.069740862099081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739.34</v>
      </c>
      <c r="AG58" s="13">
        <f>VLOOKUP(A58,'Données projet'!$A$61:$I$81,9,0)</f>
        <v>33.089285714285715</v>
      </c>
      <c r="AH58" s="13">
        <f t="array" ref="AH58">INDEX(AG:AG,MIN(IF(ISNUMBER(AG58:AG254),ROW(AG58:AG254),"")))</f>
        <v>33.089285714285715</v>
      </c>
      <c r="AI58" s="14">
        <f>IF('Données projet'!$A$62&gt;35,AI57+AH58-AQ57,IF(A58&lt;'Données projet'!$A$62,$AF$205^A58,IF(A58='Données projet'!$A$62,'Données projet'!$B$62,AI57+AH58-AQ57)))</f>
        <v>739.3399999999998</v>
      </c>
      <c r="AJ58" s="14">
        <f>AI58*VLOOKUP('Données projet'!$B$10,Paramètres!$A$1:$I$89,3,0)*VLOOKUP('Données projet'!$B$10,Paramètres!$A$1:$I$89,5,0)</f>
        <v>749.69075999999984</v>
      </c>
      <c r="AK58" s="14">
        <f t="shared" si="35"/>
        <v>159.88139901447869</v>
      </c>
      <c r="AL58" s="22">
        <f t="shared" si="4"/>
        <v>1584.1715102835503</v>
      </c>
      <c r="AM58" s="62">
        <f t="shared" si="5"/>
        <v>1877.5048436168836</v>
      </c>
      <c r="AN58" s="62">
        <f ca="1">AVERAGE(OFFSET($AM$3,0,0,'Données projet'!$E$10+1,1))-AVERAGE(OFFSET($H$3,0,0,'Données projet'!$E$10+1,1))</f>
        <v>2761.1400657295467</v>
      </c>
      <c r="AO58" s="62">
        <f t="shared" si="36"/>
        <v>316.41877504316409</v>
      </c>
      <c r="AP58" s="16">
        <f>IF(ISNA(VLOOKUP(A58,'Données projet'!$A$61:$I$81,3,0)),0,VLOOKUP(A58,'Données projet'!$A$61:$I$81,3,0))</f>
        <v>3</v>
      </c>
      <c r="AQ58" s="16">
        <f>IF(ISNA(VLOOKUP(A58,'Données projet'!$A$61:$I$81,4,0)),0,VLOOKUP(A58,'Données projet'!$A$61:$I$81,4,0))</f>
        <v>147.87</v>
      </c>
      <c r="AR58" s="17">
        <f>IF(ISNA(VLOOKUP(A58,'Données projet'!$A$61:$I$81,5,0)),0%,VLOOKUP(A58,'Données projet'!$A$61:$I$81,5,0)*VLOOKUP('Données projet'!$B$10,Paramètres!$A$1:$I$89,7,0))</f>
        <v>0.215</v>
      </c>
      <c r="AS58" s="17">
        <f>IF(ISNA(VLOOKUP(A58,'Données projet'!$A$61:$I$81,6,0)),0%,VLOOKUP(A58,'Données projet'!$A$61:$I$81,6,0)*VLOOKUP('Données projet'!$B$10,Paramètres!$A$1:$I$89,7,0))</f>
        <v>4.3000000000000003E-2</v>
      </c>
      <c r="AT58" s="17">
        <f>IF(ISNA(VLOOKUP(A58,'Données projet'!$A$61:$I$81,7,0)),0%,VLOOKUP(A58,'Données projet'!$A$61:$I$81,7,0))</f>
        <v>0.15</v>
      </c>
      <c r="AU58" s="23">
        <f>EXP(-LN(2)/35)*AU57+(1-EXP(-LN(2)/35))/(LN(2)/35)*AQ58*AR58*VLOOKUP('Données projet'!$B$10,Paramètres!$A$1:$I$89,3,0)*0.475*44/12</f>
        <v>35.637201953745354</v>
      </c>
      <c r="AV58" s="23">
        <f>EXP(-LN(2)/25)*AV57+(1-EXP(-LN(2)/25))/(LN(2)/25)*Calculateur!AQ58*Calculateur!AS58*VLOOKUP('Données projet'!$B$10,Paramètres!$A$1:$I$89,3,0)*0.475*44/12</f>
        <v>7.0993769421629906</v>
      </c>
      <c r="AW58" s="23">
        <f>EXP(-LN(2)/2)*AW57+(1-EXP(-LN(2)/2))/(LN(2)/2)*AQ58*AT58*VLOOKUP('Données projet'!$B$10,Paramètres!$A$1:$I$89,3,0)*0.475*44/12</f>
        <v>21.220889311616478</v>
      </c>
      <c r="AX58" s="23">
        <f t="shared" si="6"/>
        <v>63.957468207524826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739.34</v>
      </c>
      <c r="BB58" s="13">
        <f>VLOOKUP(A58,'Données projet'!$A$87:$I$107,9,0)</f>
        <v>33.089285714285715</v>
      </c>
      <c r="BC58" s="13">
        <f t="array" ref="BC58">INDEX(BB:BB,MIN(IF(ISNUMBER(BB58:BB254),ROW(BB58:BB254),"")))</f>
        <v>33.089285714285715</v>
      </c>
      <c r="BD58" s="13">
        <f>IF('Données projet'!$A$88&gt;35,BD57+BC58-BL57,IF(A58&lt;'Données projet'!$A$88,$BA$205^A58,IF(A58='Données projet'!$A$88,'Données projet'!$B$88,BD57+BC58-BL57)))</f>
        <v>739.3399999999998</v>
      </c>
      <c r="BE58" s="14">
        <f>BD58*VLOOKUP('Données projet'!$B$11,Paramètres!$A$1:$I$89,3,0)*VLOOKUP('Données projet'!$B$11,Paramètres!$A$1:$I$89,5,0)</f>
        <v>772.75816799999984</v>
      </c>
      <c r="BF58" s="14">
        <f t="shared" si="37"/>
        <v>164.22050887612778</v>
      </c>
      <c r="BG58" s="22">
        <f t="shared" si="7"/>
        <v>1631.9045288925888</v>
      </c>
      <c r="BH58" s="62">
        <f t="shared" si="8"/>
        <v>1925.2378622259221</v>
      </c>
      <c r="BI58" s="62">
        <f ca="1">AVERAGE(OFFSET($BH$3,0,0,'Données projet'!$E$11+1,1))-AVERAGE(OFFSET($H$3,0,0,'Données projet'!$E$11+1,1))</f>
        <v>2843.5086223152098</v>
      </c>
      <c r="BJ58" s="62">
        <f t="shared" si="38"/>
        <v>324.81562437645522</v>
      </c>
      <c r="BK58" s="16">
        <f>IF(ISNA(VLOOKUP(A58,'Données projet'!$A$87:$I$107,3,0)),0,VLOOKUP(A58,'Données projet'!$A$87:$I$107,3,0))</f>
        <v>3</v>
      </c>
      <c r="BL58" s="16">
        <f>IF(ISNA(VLOOKUP(A58,'Données projet'!$A$87:$I$107,4,0)),0,VLOOKUP(A58,'Données projet'!$A$87:$I$107,4,0))</f>
        <v>147.87</v>
      </c>
      <c r="BM58" s="17">
        <f>IF(ISNA(VLOOKUP(A58,'Données projet'!$A$87:$I$107,5,0)),0%,VLOOKUP(A58,'Données projet'!$A$87:$I$107,5,0)*VLOOKUP('Données projet'!$B$11,Paramètres!$A$1:$I$89,7,0))</f>
        <v>0.215</v>
      </c>
      <c r="BN58" s="17">
        <f>IF(ISNA(VLOOKUP(A58,'Données projet'!$A$87:$I$107,6,0)),0%,VLOOKUP(A58,'Données projet'!$A$87:$I$107,6,0)*VLOOKUP('Données projet'!$B$11,Paramètres!$A$1:$I$89,7,0))</f>
        <v>4.3000000000000003E-2</v>
      </c>
      <c r="BO58" s="17">
        <f>IF(ISNA(VLOOKUP(A58,'Données projet'!$A$87:$I$107,7,0)),0%,VLOOKUP(A58,'Données projet'!$A$87:$I$107,7,0))</f>
        <v>0.15</v>
      </c>
      <c r="BP58" s="23">
        <f>EXP(-LN(2)/35)*BP57+(1-EXP(-LN(2)/35))/(LN(2)/35)*BL58*BM58*VLOOKUP('Données projet'!$B$11,Paramètres!$A$1:$I$89,3,0)*0.475*44/12</f>
        <v>36.73373124462983</v>
      </c>
      <c r="BQ58" s="23">
        <f>EXP(-LN(2)/25)*BQ57+(1-EXP(-LN(2)/25))/(LN(2)/25)*Calculateur!BL58*Calculateur!BN58*VLOOKUP('Données projet'!$B$11,Paramètres!$A$1:$I$89,3,0)*0.475*44/12</f>
        <v>7.3178193096141593</v>
      </c>
      <c r="BR58" s="23">
        <f>EXP(-LN(2)/2)*BR57+(1-EXP(-LN(2)/2))/(LN(2)/2)*BL58*BO58*VLOOKUP('Données projet'!$B$11,Paramètres!$A$1:$I$89,3,0)*0.475*44/12</f>
        <v>21.873839751973915</v>
      </c>
      <c r="BS58" s="24">
        <f t="shared" si="9"/>
        <v>65.925390306217906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739.34</v>
      </c>
      <c r="BW58" s="13">
        <f>VLOOKUP(A58,'Données projet'!$A$113:$I$133,9,0)</f>
        <v>33.089285714285715</v>
      </c>
      <c r="BX58" s="13">
        <f t="array" ref="BX58">INDEX(BW:BW,MIN(IF(ISNUMBER(BW58:BW254),ROW(BW58:BW254),"")))</f>
        <v>33.089285714285715</v>
      </c>
      <c r="BY58" s="13">
        <f>IF('Données projet'!$A$114&gt;35,BY57+BX58-CG57,IF(A58&lt;'Données projet'!$A$114,$BV$205^A58,IF(A58='Données projet'!$A$114,'Données projet'!$B$114,BY57+BX58-CG57)))</f>
        <v>739.3399999999998</v>
      </c>
      <c r="BZ58" s="14">
        <f>BY58*VLOOKUP('Données projet'!$B$12,Paramètres!$A$1:$I$89,3,0)*VLOOKUP('Données projet'!$B$12,Paramètres!$A$1:$I$89,5,0)</f>
        <v>738.15705599999978</v>
      </c>
      <c r="CA58" s="14">
        <f t="shared" si="39"/>
        <v>157.70603860882846</v>
      </c>
      <c r="CB58" s="22">
        <f t="shared" si="10"/>
        <v>1560.2948897770427</v>
      </c>
      <c r="CC58" s="62">
        <f t="shared" si="11"/>
        <v>1853.628223110376</v>
      </c>
      <c r="CD58" s="62">
        <f ca="1">AVERAGE(OFFSET($CC$3,0,0,'Données projet'!$E$12+1,1))-AVERAGE(OFFSET($H$3,0,0,'Données projet'!$E$12+1,1))</f>
        <v>2719.939926994799</v>
      </c>
      <c r="CE58" s="62">
        <f t="shared" si="40"/>
        <v>312.21824046329749</v>
      </c>
      <c r="CF58" s="16">
        <f>IF(ISNA(VLOOKUP(A58,'Données projet'!$A$113:$I$133,3,0)),0,VLOOKUP(A58,'Données projet'!$A$113:$I$133,3,0))</f>
        <v>3</v>
      </c>
      <c r="CG58" s="16">
        <f>IF(ISNA(VLOOKUP(A58,'Données projet'!$A$113:$I$133,4,0)),0,VLOOKUP(A58,'Données projet'!$A$113:$I$133,4,0))</f>
        <v>147.87</v>
      </c>
      <c r="CH58" s="17">
        <f>IF(ISNA(VLOOKUP(A58,'Données projet'!$A$113:$I$133,5,0)),0%,VLOOKUP(A58,'Données projet'!$A$113:$I$133,5,0)*VLOOKUP('Données projet'!$B$12,Paramètres!$A$1:$I$89,7,0))</f>
        <v>0.215</v>
      </c>
      <c r="CI58" s="17">
        <f>IF(ISNA(VLOOKUP(A58,'Données projet'!$A$113:$I$133,6,0)),0%,VLOOKUP(A58,'Données projet'!$A$113:$I$133,6,0)*VLOOKUP('Données projet'!$B$12,Paramètres!$A$1:$I$89,7,0))</f>
        <v>4.3000000000000003E-2</v>
      </c>
      <c r="CJ58" s="17">
        <f>IF(ISNA(VLOOKUP(A58,'Données projet'!$A$113:$I$133,7,0)),0%,VLOOKUP(A58,'Données projet'!$A$113:$I$133,7,0))</f>
        <v>0.15</v>
      </c>
      <c r="CK58" s="23">
        <f>EXP(-LN(2)/35)*CK57+(1-EXP(-LN(2)/35))/(LN(2)/35)*CG58*CH58*VLOOKUP('Données projet'!$B$12,Paramètres!$A$1:$I$89,3,0)*0.475*44/12</f>
        <v>35.088937308303123</v>
      </c>
      <c r="CL58" s="23">
        <f>EXP(-LN(2)/25)*CL57+(1-EXP(-LN(2)/25))/(LN(2)/25)*Calculateur!CG58*Calculateur!CI58*VLOOKUP('Données projet'!$B$12,Paramètres!$A$1:$I$89,3,0)*0.475*44/12</f>
        <v>6.9901557584374077</v>
      </c>
      <c r="CM58" s="23">
        <f>EXP(-LN(2)/2)*CM57+(1-EXP(-LN(2)/2))/(LN(2)/2)*CG58*CJ58*VLOOKUP('Données projet'!$B$12,Paramètres!$A$1:$I$89,3,0)*0.475*44/12</f>
        <v>20.894414091437763</v>
      </c>
      <c r="CN58" s="24">
        <f t="shared" si="12"/>
        <v>62.973507158178293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836.88</v>
      </c>
      <c r="CR58" s="13">
        <f>VLOOKUP(A58,'Données projet'!$A$139:$I$159,9,0)</f>
        <v>35.283571428571427</v>
      </c>
      <c r="CS58" s="13">
        <f t="array" ref="CS58">INDEX(CR:CR,MIN(IF(ISNUMBER(CR58:CR254),ROW(CR58:CR254),"")))</f>
        <v>35.283571428571427</v>
      </c>
      <c r="CT58" s="13">
        <f>IF('Données projet'!$A$140&gt;35,CT57+CS58-DB57,IF(A58&lt;'Données projet'!$A$140,$CQ$205^A58,IF(A58='Données projet'!$A$140,'Données projet'!$B$140,CT57+CS58-DB57)))</f>
        <v>836.88000000000022</v>
      </c>
      <c r="CU58" s="18">
        <f>CT58*VLOOKUP('Données projet'!$B$13,Paramètres!$A$1:$I$89,3,0)*VLOOKUP('Données projet'!$B$13,Paramètres!$A$1:$I$89,5,0)</f>
        <v>731.09836800000028</v>
      </c>
      <c r="CV58" s="14">
        <f t="shared" si="41"/>
        <v>156.37275745362237</v>
      </c>
      <c r="CW58" s="22">
        <f t="shared" si="13"/>
        <v>1545.6788768317263</v>
      </c>
      <c r="CX58" s="62">
        <f t="shared" si="14"/>
        <v>1839.0122101650595</v>
      </c>
      <c r="CY58" s="62">
        <f ca="1">AVERAGE(OFFSET($CX$3,0,0,'Données projet'!$E$13+1,1))-AVERAGE(OFFSET($H$3,0,0,'Données projet'!$E$13+1,1))</f>
        <v>1036.0130072090849</v>
      </c>
      <c r="CZ58" s="62">
        <f t="shared" si="42"/>
        <v>346.56593355696174</v>
      </c>
      <c r="DA58" s="16">
        <f>IF(ISNA(VLOOKUP(A58,'Données projet'!$A$139:$I$159,3,0)),0,VLOOKUP(A58,'Données projet'!$A$139:$I$159,3,0))</f>
        <v>3</v>
      </c>
      <c r="DB58" s="16">
        <f>IF(ISNA(VLOOKUP(A58,'Données projet'!$A$139:$I$159,4,0)),0,VLOOKUP(A58,'Données projet'!$A$139:$I$159,4,0))</f>
        <v>167.38</v>
      </c>
      <c r="DC58" s="17">
        <f>IF(ISNA(VLOOKUP(A58,'Données projet'!$A$139:$I$159,5,0)),0%,VLOOKUP(A58,'Données projet'!$A$139:$I$159,5,0)*VLOOKUP('Données projet'!$B$13,Paramètres!$A$1:$I$89,7,0))</f>
        <v>0.215</v>
      </c>
      <c r="DD58" s="17">
        <f>IF(ISNA(VLOOKUP(A58,'Données projet'!$A$139:$I$159,6,0)),0%,VLOOKUP(A58,'Données projet'!$A$139:$I$159,6,0)*VLOOKUP('Données projet'!$B$13,Paramètres!$A$1:$I$89,7,0))</f>
        <v>4.3000000000000003E-2</v>
      </c>
      <c r="DE58" s="17">
        <f>IF(ISNA(VLOOKUP(A58,'Données projet'!$A$139:$I$159,7,0)),0%,VLOOKUP(A58,'Données projet'!$A$139:$I$159,7,0))</f>
        <v>0.15</v>
      </c>
      <c r="DF58" s="23">
        <f>EXP(-LN(2)/35)*DF57+(1-EXP(-LN(2)/35))/(LN(2)/35)*DB58*DC58*VLOOKUP('Données projet'!$B$13,Paramètres!$A$1:$I$89,3,0)*0.475*44/12</f>
        <v>34.753756920476128</v>
      </c>
      <c r="DG58" s="23">
        <f>EXP(-LN(2)/25)*DG57+(1-EXP(-LN(2)/25))/(LN(2)/25)*Calculateur!DB58*Calculateur!DD58*VLOOKUP('Données projet'!$B$13,Paramètres!$A$1:$I$89,3,0)*0.475*44/12</f>
        <v>6.9233836274521297</v>
      </c>
      <c r="DH58" s="23">
        <f>EXP(-LN(2)/2)*DH57+(1-EXP(-LN(2)/2))/(LN(2)/2)*DB58*DE58*VLOOKUP('Données projet'!$B$13,Paramètres!$A$1:$I$89,3,0)*0.475*44/12</f>
        <v>20.694824182029802</v>
      </c>
      <c r="DI58" s="24">
        <f t="shared" si="15"/>
        <v>62.371964729958066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16.225000000000009</v>
      </c>
      <c r="DO58" s="13">
        <f>IF('Données projet'!$A$166&gt;35,DO57+DN58-DW57,IF(A58&lt;'Données projet'!$A$166,$DL$205^A58,IF(A58='Données projet'!$A$166,'Données projet'!$B$166,DO57+DN58-DW57)))</f>
        <v>616.51500000000055</v>
      </c>
      <c r="DP58" s="18">
        <f>DO58*VLOOKUP('Données projet'!$B$14,Paramètres!$A$1:$I$89,3,0)*VLOOKUP('Données projet'!$B$14,Paramètres!$A$1:$I$89,5,0)</f>
        <v>344.6318850000003</v>
      </c>
      <c r="DQ58" s="14">
        <f t="shared" si="43"/>
        <v>80.456168250102223</v>
      </c>
      <c r="DR58" s="22">
        <f t="shared" si="16"/>
        <v>740.36169274392853</v>
      </c>
      <c r="DS58" s="62">
        <f t="shared" si="17"/>
        <v>1033.6950260772619</v>
      </c>
      <c r="DT58" s="62">
        <f ca="1">AVERAGE(OFFSET($DS$3,0,0,'Données projet'!$E$14+1,1))-AVERAGE(OFFSET($H$3,0,0,'Données projet'!$E$14+1,1))</f>
        <v>446.48069057792151</v>
      </c>
      <c r="DU58" s="62">
        <f t="shared" si="44"/>
        <v>561.75656782935948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46.80651802069044</v>
      </c>
      <c r="EB58" s="23">
        <f>EXP(-LN(2)/25)*EB57+(1-EXP(-LN(2)/25))/(LN(2)/25)*Calculateur!DW58*Calculateur!DY58*VLOOKUP('Données projet'!$B$14,Paramètres!$A$1:$I$89,3,0)*0.475*44/12</f>
        <v>27.972951649751664</v>
      </c>
      <c r="EC58" s="23">
        <f>EXP(-LN(2)/2)*EC57+(1-EXP(-LN(2)/2))/(LN(2)/2)*DW58*DZ58*VLOOKUP('Données projet'!$B$14,Paramètres!$A$1:$I$89,3,0)*0.475*44/12</f>
        <v>9.7327780314845871</v>
      </c>
      <c r="ED58" s="24">
        <f t="shared" si="18"/>
        <v>84.512247701926682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21.848750000000003</v>
      </c>
      <c r="EJ58" s="13">
        <f>IF('Données projet'!$A$192&gt;35,EJ57+EI58-ER57,IF(A58&lt;'Données projet'!$A$192,$EG$205^A58,IF(A58='Données projet'!$A$192,'Données projet'!$B$192,EJ57+EI58-ER57)))</f>
        <v>348.96625000000017</v>
      </c>
      <c r="EK58" s="18">
        <f>EJ58*VLOOKUP('Données projet'!$B$15,Paramètres!$A$1:$I$89,3,0)*VLOOKUP('Données projet'!$B$15,Paramètres!$A$1:$I$89,5,0)</f>
        <v>337.52015700000015</v>
      </c>
      <c r="EL58" s="14">
        <f t="shared" si="45"/>
        <v>78.98737707626448</v>
      </c>
      <c r="EM58" s="22">
        <f t="shared" si="19"/>
        <v>725.41728851616074</v>
      </c>
      <c r="EN58" s="62">
        <f t="shared" si="20"/>
        <v>1018.7506218494941</v>
      </c>
      <c r="EO58" s="62">
        <f ca="1">AVERAGE(OFFSET($EN$3,0,0,'Données projet'!$E$15+1,1))-AVERAGE(OFFSET($H$3,0,0,'Données projet'!$E$15+1,1))</f>
        <v>301.18531163828169</v>
      </c>
      <c r="EP58" s="62">
        <f t="shared" si="46"/>
        <v>192.30530273268101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30.695105991009772</v>
      </c>
      <c r="EW58" s="23">
        <f>EXP(-LN(2)/25)*EW57+(1-EXP(-LN(2)/25))/(LN(2)/25)*Calculateur!ER58*Calculateur!ET58*VLOOKUP('Données projet'!$B$15,Paramètres!$A$1:$I$89,3,0)*0.475*44/12</f>
        <v>2.9856215087409708</v>
      </c>
      <c r="EX58" s="23">
        <f>EXP(-LN(2)/2)*EX57+(1-EXP(-LN(2)/2))/(LN(2)/2)*ER58*EU58*VLOOKUP('Données projet'!$B$15,Paramètres!$A$1:$I$89,3,0)*0.475*44/12</f>
        <v>3.428914855599146</v>
      </c>
      <c r="EY58" s="24">
        <f t="shared" si="21"/>
        <v>37.109642355349891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21.848750000000003</v>
      </c>
      <c r="FE58" s="13">
        <f>IF('Données projet'!$A$218&gt;35,FE57+FD58-FM57,IF(A58&lt;'Données projet'!$A$218,$FB$205^A58,IF(A58='Données projet'!$A$218,'Données projet'!$B$218,FE57+FD58-FM57)))</f>
        <v>348.96625000000017</v>
      </c>
      <c r="FF58" s="18">
        <f>FE58*VLOOKUP('Données projet'!$B$16,Paramètres!$A$1:$I$89,3,0)*VLOOKUP('Données projet'!$B$16,Paramètres!$A$1:$I$89,5,0)</f>
        <v>272.19367500000016</v>
      </c>
      <c r="FG58" s="14">
        <f t="shared" si="47"/>
        <v>65.314603009282649</v>
      </c>
      <c r="FH58" s="22">
        <f t="shared" si="22"/>
        <v>587.82691753283416</v>
      </c>
      <c r="FI58" s="62">
        <f t="shared" si="23"/>
        <v>881.16025086616742</v>
      </c>
      <c r="FJ58" s="62">
        <f ca="1">AVERAGE(OFFSET($FI$3,0,0,'Données projet'!$E$16+1,1))-AVERAGE(OFFSET($H$3,0,0,'Données projet'!$E$16+1,1))</f>
        <v>249.2899297828755</v>
      </c>
      <c r="FK58" s="62">
        <f t="shared" si="48"/>
        <v>162.88011837476813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24.754117734685302</v>
      </c>
      <c r="FR58" s="23">
        <f>EXP(-LN(2)/25)*FR57+(1-EXP(-LN(2)/25))/(LN(2)/25)*Calculateur!FM58*Calculateur!FO58*VLOOKUP('Données projet'!$B$16,Paramètres!$A$1:$I$89,3,0)*0.475*44/12</f>
        <v>2.407759281242718</v>
      </c>
      <c r="FS58" s="23">
        <f>EXP(-LN(2)/2)*FS57+(1-EXP(-LN(2)/2))/(LN(2)/2)*FM58*FP58*VLOOKUP('Données projet'!$B$16,Paramètres!$A$1:$I$89,3,0)*0.475*44/12</f>
        <v>2.7652539158057627</v>
      </c>
      <c r="FT58" s="24">
        <f t="shared" si="24"/>
        <v>29.927130931733782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21.848750000000003</v>
      </c>
      <c r="FZ58" s="13">
        <f>IF('Données projet'!$A$244&gt;35,FZ57+FY58-GH57,IF(A58&lt;'Données projet'!$A$244,$FW$205^A58,IF(A58='Données projet'!$A$244,'Données projet'!$B$244,FZ57+FY58-GH57)))</f>
        <v>348.96625000000017</v>
      </c>
      <c r="GA58" s="18">
        <f>FZ58*VLOOKUP('Données projet'!$B$17,Paramètres!$A$1:$I$89,3,0)*VLOOKUP('Données projet'!$B$17,Paramètres!$A$1:$I$89,5,0)</f>
        <v>234.08656050000013</v>
      </c>
      <c r="GB58" s="14">
        <f t="shared" si="49"/>
        <v>57.165383719208123</v>
      </c>
      <c r="GC58" s="22">
        <f t="shared" si="25"/>
        <v>507.26380284845442</v>
      </c>
      <c r="GD58" s="62">
        <f t="shared" si="26"/>
        <v>800.59713618178773</v>
      </c>
      <c r="GE58" s="62">
        <f ca="1">AVERAGE(OFFSET($GD$3,0,0,'Données projet'!$E$17+1,1))-AVERAGE(OFFSET($H$3,0,0,'Données projet'!$E$17+1,1))</f>
        <v>218.89895999738746</v>
      </c>
      <c r="GF58" s="62">
        <f t="shared" si="50"/>
        <v>145.64042897395763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26.239364798766417</v>
      </c>
      <c r="GM58" s="23">
        <f>EXP(-LN(2)/25)*GM57+(1-EXP(-LN(2)/25))/(LN(2)/25)*Calculateur!GH58*Calculateur!GJ58*VLOOKUP('Données projet'!$B$17,Paramètres!$A$1:$I$89,3,0)*0.475*44/12</f>
        <v>2.5522248381172816</v>
      </c>
      <c r="GN58" s="23">
        <f>EXP(-LN(2)/2)*GN57+(1-EXP(-LN(2)/2))/(LN(2)/2)*GH58*GK58*VLOOKUP('Données projet'!$B$17,Paramètres!$A$1:$I$89,3,0)*0.475*44/12</f>
        <v>2.3781183675929563</v>
      </c>
      <c r="GO58" s="23">
        <f t="shared" si="27"/>
        <v>31.169708004476657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21.848750000000003</v>
      </c>
      <c r="GU58" s="13">
        <f>IF('Données projet'!$A$270&gt;35,GU57+GT58-HC57,IF(A58&lt;'Données projet'!$A$270,$GR$205^A58,IF(A58='Données projet'!$A$270,'Données projet'!$B$270,GU57+GT58-HC57)))</f>
        <v>348.96625000000017</v>
      </c>
      <c r="GV58" s="18">
        <f>GU58*VLOOKUP('Données projet'!$B$18,Paramètres!$A$1:$I$89,3,0)*VLOOKUP('Données projet'!$B$18,Paramètres!$A$1:$I$89,5,0)</f>
        <v>375.62727150000018</v>
      </c>
      <c r="GW58" s="14">
        <f t="shared" si="51"/>
        <v>86.817535286405715</v>
      </c>
      <c r="GX58" s="22">
        <f t="shared" si="28"/>
        <v>805.4247051529901</v>
      </c>
      <c r="GY58" s="62">
        <f t="shared" si="29"/>
        <v>1098.7580384863234</v>
      </c>
      <c r="GZ58" s="62">
        <f ca="1">AVERAGE(OFFSET($GY$3,0,0,'Données projet'!$E$18+1,1))-AVERAGE(OFFSET($H$3,0,0,'Données projet'!$E$18+1,1))</f>
        <v>331.3579800635751</v>
      </c>
      <c r="HA58" s="62">
        <f t="shared" si="52"/>
        <v>209.40702003535273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34.160682473865712</v>
      </c>
      <c r="HH58" s="23">
        <f>EXP(-LN(2)/25)*HH57+(1-EXP(-LN(2)/25))/(LN(2)/25)*Calculateur!HC58*Calculateur!HE58*VLOOKUP('Données projet'!$B$18,Paramètres!$A$1:$I$89,3,0)*0.475*44/12</f>
        <v>3.3227078081149513</v>
      </c>
      <c r="HI58" s="23">
        <f>EXP(-LN(2)/2)*HI57+(1-EXP(-LN(2)/2))/(LN(2)/2)*HC58*HF58*VLOOKUP('Données projet'!$B$18,Paramètres!$A$1:$I$89,3,0)*0.475*44/12</f>
        <v>3.816050403811952</v>
      </c>
      <c r="HJ58" s="24">
        <f t="shared" si="30"/>
        <v>41.299440685792611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46.772666666666659</v>
      </c>
      <c r="N59" s="14">
        <f>IF('Données projet'!$A$36&gt;35,N58+M59-V58,IF(A59&lt;'Données projet'!$A$36,$K$205^A59,IF(A59='Données projet'!$A$36,'Données projet'!$B$36,N58+M59-V58)))</f>
        <v>638.24266666666642</v>
      </c>
      <c r="O59" s="14">
        <f>N59*VLOOKUP('Données projet'!$B$9,Paramètres!$A$1:$I$89,3,0)*VLOOKUP('Données projet'!$B$9,Paramètres!$A$1:$I$89,5,0)</f>
        <v>577.48196479999979</v>
      </c>
      <c r="P59" s="14">
        <f t="shared" si="33"/>
        <v>126.95430069232852</v>
      </c>
      <c r="Q59" s="22">
        <f t="shared" si="53"/>
        <v>1226.8931623991384</v>
      </c>
      <c r="R59" s="62">
        <f t="shared" si="0"/>
        <v>1520.2264957324717</v>
      </c>
      <c r="S59" s="62">
        <f ca="1">AVERAGE(OFFSET($R$3,0,0,'Données projet'!$E$9+1,1))-AVERAGE(OFFSET($H$3,0,0,'Données projet'!$E$9+1,1))</f>
        <v>2472.5049373954762</v>
      </c>
      <c r="T59" s="62">
        <f t="shared" si="34"/>
        <v>286.98388307318311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31.175783588904601</v>
      </c>
      <c r="AA59" s="23">
        <f>EXP(-LN(2)/25)*AA58+(1-EXP(-LN(2)/25))/(LN(2)/25)*Calculateur!V59*Calculateur!X59*VLOOKUP('Données projet'!$B$9,Paramètres!$A$1:$I$89,3,0)*0.475*44/12</f>
        <v>6.1616024333491239</v>
      </c>
      <c r="AB59" s="23">
        <f>EXP(-LN(2)/2)*AB58+(1-EXP(-LN(2)/2))/(LN(2)/2)*V59*Y59*VLOOKUP('Données projet'!$B$9,Paramètres!$A$1:$I$89,3,0)*0.475*44/12</f>
        <v>13.389464840508957</v>
      </c>
      <c r="AC59" s="24">
        <f t="shared" si="3"/>
        <v>50.726850862762682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46.772666666666659</v>
      </c>
      <c r="AI59" s="14">
        <f>IF('Données projet'!$A$62&gt;35,AI58+AH59-AQ58,IF(A59&lt;'Données projet'!$A$62,$AF$205^A59,IF(A59='Données projet'!$A$62,'Données projet'!$B$62,AI58+AH59-AQ58)))</f>
        <v>638.24266666666642</v>
      </c>
      <c r="AJ59" s="14">
        <f>AI59*VLOOKUP('Données projet'!$B$10,Paramètres!$A$1:$I$89,3,0)*VLOOKUP('Données projet'!$B$10,Paramètres!$A$1:$I$89,5,0)</f>
        <v>647.17806399999984</v>
      </c>
      <c r="AK59" s="14">
        <f t="shared" si="35"/>
        <v>140.4018028321905</v>
      </c>
      <c r="AL59" s="22">
        <f t="shared" si="4"/>
        <v>1371.701601399398</v>
      </c>
      <c r="AM59" s="62">
        <f t="shared" si="5"/>
        <v>1665.0349347327312</v>
      </c>
      <c r="AN59" s="62">
        <f ca="1">AVERAGE(OFFSET($AM$3,0,0,'Données projet'!$E$10+1,1))-AVERAGE(OFFSET($H$3,0,0,'Données projet'!$E$10+1,1))</f>
        <v>2761.1400657295467</v>
      </c>
      <c r="AO59" s="62">
        <f t="shared" si="36"/>
        <v>316.41877504316409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34.938378159979294</v>
      </c>
      <c r="AV59" s="23">
        <f>EXP(-LN(2)/25)*AV58+(1-EXP(-LN(2)/25))/(LN(2)/25)*Calculateur!AQ59*Calculateur!AS59*VLOOKUP('Données projet'!$B$10,Paramètres!$A$1:$I$89,3,0)*0.475*44/12</f>
        <v>6.905244106339536</v>
      </c>
      <c r="AW59" s="23">
        <f>EXP(-LN(2)/2)*AW58+(1-EXP(-LN(2)/2))/(LN(2)/2)*AQ59*AT59*VLOOKUP('Données projet'!$B$10,Paramètres!$A$1:$I$89,3,0)*0.475*44/12</f>
        <v>15.005434735053139</v>
      </c>
      <c r="AX59" s="23">
        <f t="shared" si="6"/>
        <v>56.849057001371975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46.772666666666659</v>
      </c>
      <c r="BD59" s="13">
        <f>IF('Données projet'!$A$88&gt;35,BD58+BC59-BL58,IF(A59&lt;'Données projet'!$A$88,$BA$205^A59,IF(A59='Données projet'!$A$88,'Données projet'!$B$88,BD58+BC59-BL58)))</f>
        <v>638.24266666666642</v>
      </c>
      <c r="BE59" s="14">
        <f>BD59*VLOOKUP('Données projet'!$B$11,Paramètres!$A$1:$I$89,3,0)*VLOOKUP('Données projet'!$B$11,Paramètres!$A$1:$I$89,5,0)</f>
        <v>667.0912351999998</v>
      </c>
      <c r="BF59" s="14">
        <f t="shared" si="37"/>
        <v>144.21224514141312</v>
      </c>
      <c r="BG59" s="22">
        <f t="shared" si="7"/>
        <v>1413.0202282612943</v>
      </c>
      <c r="BH59" s="62">
        <f t="shared" si="8"/>
        <v>1706.3535615946275</v>
      </c>
      <c r="BI59" s="62">
        <f ca="1">AVERAGE(OFFSET($BH$3,0,0,'Données projet'!$E$11+1,1))-AVERAGE(OFFSET($H$3,0,0,'Données projet'!$E$11+1,1))</f>
        <v>2843.5086223152098</v>
      </c>
      <c r="BJ59" s="62">
        <f t="shared" si="38"/>
        <v>324.81562437645522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36.013405180286355</v>
      </c>
      <c r="BQ59" s="23">
        <f>EXP(-LN(2)/25)*BQ58+(1-EXP(-LN(2)/25))/(LN(2)/25)*Calculateur!BL59*Calculateur!BN59*VLOOKUP('Données projet'!$B$11,Paramètres!$A$1:$I$89,3,0)*0.475*44/12</f>
        <v>7.1177131557653679</v>
      </c>
      <c r="BR59" s="23">
        <f>EXP(-LN(2)/2)*BR58+(1-EXP(-LN(2)/2))/(LN(2)/2)*BL59*BO59*VLOOKUP('Données projet'!$B$11,Paramètres!$A$1:$I$89,3,0)*0.475*44/12</f>
        <v>15.467140419208624</v>
      </c>
      <c r="BS59" s="24">
        <f t="shared" si="9"/>
        <v>58.598258755260346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46.772666666666659</v>
      </c>
      <c r="BY59" s="13">
        <f>IF('Données projet'!$A$114&gt;35,BY58+BX59-CG58,IF(A59&lt;'Données projet'!$A$114,$BV$205^A59,IF(A59='Données projet'!$A$114,'Données projet'!$B$114,BY58+BX59-CG58)))</f>
        <v>638.24266666666642</v>
      </c>
      <c r="BZ59" s="14">
        <f>BY59*VLOOKUP('Données projet'!$B$12,Paramètres!$A$1:$I$89,3,0)*VLOOKUP('Données projet'!$B$12,Paramètres!$A$1:$I$89,5,0)</f>
        <v>637.2214783999998</v>
      </c>
      <c r="CA59" s="14">
        <f t="shared" si="39"/>
        <v>138.4914835289714</v>
      </c>
      <c r="CB59" s="22">
        <f t="shared" si="10"/>
        <v>1351.0334086929581</v>
      </c>
      <c r="CC59" s="62">
        <f t="shared" si="11"/>
        <v>1644.3667420262914</v>
      </c>
      <c r="CD59" s="62">
        <f ca="1">AVERAGE(OFFSET($CC$3,0,0,'Données projet'!$E$12+1,1))-AVERAGE(OFFSET($H$3,0,0,'Données projet'!$E$12+1,1))</f>
        <v>2719.939926994799</v>
      </c>
      <c r="CE59" s="62">
        <f t="shared" si="40"/>
        <v>312.21824046329749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34.40086464982577</v>
      </c>
      <c r="CL59" s="23">
        <f>EXP(-LN(2)/25)*CL58+(1-EXP(-LN(2)/25))/(LN(2)/25)*Calculateur!CG59*Calculateur!CI59*VLOOKUP('Données projet'!$B$12,Paramètres!$A$1:$I$89,3,0)*0.475*44/12</f>
        <v>6.7990095816266214</v>
      </c>
      <c r="CM59" s="23">
        <f>EXP(-LN(2)/2)*CM58+(1-EXP(-LN(2)/2))/(LN(2)/2)*CG59*CJ59*VLOOKUP('Données projet'!$B$12,Paramètres!$A$1:$I$89,3,0)*0.475*44/12</f>
        <v>14.774581892975398</v>
      </c>
      <c r="CN59" s="24">
        <f t="shared" si="12"/>
        <v>55.974456124427789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51.041333333333327</v>
      </c>
      <c r="CT59" s="13">
        <f>IF('Données projet'!$A$140&gt;35,CT58+CS59-DB58,IF(A59&lt;'Données projet'!$A$140,$CQ$205^A59,IF(A59='Données projet'!$A$140,'Données projet'!$B$140,CT58+CS59-DB58)))</f>
        <v>720.54133333333357</v>
      </c>
      <c r="CU59" s="18">
        <f>CT59*VLOOKUP('Données projet'!$B$13,Paramètres!$A$1:$I$89,3,0)*VLOOKUP('Données projet'!$B$13,Paramètres!$A$1:$I$89,5,0)</f>
        <v>629.46490880000033</v>
      </c>
      <c r="CV59" s="14">
        <f t="shared" si="41"/>
        <v>137.00086324592331</v>
      </c>
      <c r="CW59" s="22">
        <f t="shared" si="13"/>
        <v>1334.927886313317</v>
      </c>
      <c r="CX59" s="62">
        <f t="shared" si="14"/>
        <v>1628.2612196466503</v>
      </c>
      <c r="CY59" s="62">
        <f ca="1">AVERAGE(OFFSET($CX$3,0,0,'Données projet'!$E$13+1,1))-AVERAGE(OFFSET($H$3,0,0,'Données projet'!$E$13+1,1))</f>
        <v>1036.0130072090849</v>
      </c>
      <c r="CZ59" s="62">
        <f t="shared" si="42"/>
        <v>346.56593355696174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34.072256944964217</v>
      </c>
      <c r="DG59" s="23">
        <f>EXP(-LN(2)/25)*DG58+(1-EXP(-LN(2)/25))/(LN(2)/25)*Calculateur!DB59*Calculateur!DD59*VLOOKUP('Données projet'!$B$13,Paramètres!$A$1:$I$89,3,0)*0.475*44/12</f>
        <v>6.7340633380745301</v>
      </c>
      <c r="DH59" s="23">
        <f>EXP(-LN(2)/2)*DH58+(1-EXP(-LN(2)/2))/(LN(2)/2)*DB59*DE59*VLOOKUP('Données projet'!$B$13,Paramètres!$A$1:$I$89,3,0)*0.475*44/12</f>
        <v>14.633450514576619</v>
      </c>
      <c r="DI59" s="24">
        <f t="shared" si="15"/>
        <v>55.439770797615367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16.225000000000009</v>
      </c>
      <c r="DO59" s="13">
        <f>IF('Données projet'!$A$166&gt;35,DO58+DN59-DW58,IF(A59&lt;'Données projet'!$A$166,$DL$205^A59,IF(A59='Données projet'!$A$166,'Données projet'!$B$166,DO58+DN59-DW58)))</f>
        <v>632.74000000000058</v>
      </c>
      <c r="DP59" s="18">
        <f>DO59*VLOOKUP('Données projet'!$B$14,Paramètres!$A$1:$I$89,3,0)*VLOOKUP('Données projet'!$B$14,Paramètres!$A$1:$I$89,5,0)</f>
        <v>353.70166000000035</v>
      </c>
      <c r="DQ59" s="14">
        <f t="shared" si="43"/>
        <v>82.324254146259761</v>
      </c>
      <c r="DR59" s="22">
        <f t="shared" si="16"/>
        <v>759.4118004714029</v>
      </c>
      <c r="DS59" s="62">
        <f t="shared" si="17"/>
        <v>1052.7451338047363</v>
      </c>
      <c r="DT59" s="62">
        <f ca="1">AVERAGE(OFFSET($DS$3,0,0,'Données projet'!$E$14+1,1))-AVERAGE(OFFSET($H$3,0,0,'Données projet'!$E$14+1,1))</f>
        <v>446.48069057792151</v>
      </c>
      <c r="DU59" s="62">
        <f t="shared" si="44"/>
        <v>561.75656782935948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45.888670751461696</v>
      </c>
      <c r="EB59" s="23">
        <f>EXP(-LN(2)/25)*EB58+(1-EXP(-LN(2)/25))/(LN(2)/25)*Calculateur!DW59*Calculateur!DY59*VLOOKUP('Données projet'!$B$14,Paramètres!$A$1:$I$89,3,0)*0.475*44/12</f>
        <v>27.20802981585561</v>
      </c>
      <c r="EC59" s="23">
        <f>EXP(-LN(2)/2)*EC58+(1-EXP(-LN(2)/2))/(LN(2)/2)*DW59*DZ59*VLOOKUP('Données projet'!$B$14,Paramètres!$A$1:$I$89,3,0)*0.475*44/12</f>
        <v>6.8821133458462089</v>
      </c>
      <c r="ED59" s="24">
        <f t="shared" si="18"/>
        <v>79.978813913163506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21.848750000000003</v>
      </c>
      <c r="EJ59" s="13">
        <f>IF('Données projet'!$A$192&gt;35,EJ58+EI59-ER58,IF(A59&lt;'Données projet'!$A$192,$EG$205^A59,IF(A59='Données projet'!$A$192,'Données projet'!$B$192,EJ58+EI59-ER58)))</f>
        <v>370.81500000000017</v>
      </c>
      <c r="EK59" s="18">
        <f>EJ59*VLOOKUP('Données projet'!$B$15,Paramètres!$A$1:$I$89,3,0)*VLOOKUP('Données projet'!$B$15,Paramètres!$A$1:$I$89,5,0)</f>
        <v>358.65226800000016</v>
      </c>
      <c r="EL59" s="14">
        <f t="shared" si="45"/>
        <v>83.341563091582927</v>
      </c>
      <c r="EM59" s="22">
        <f t="shared" si="19"/>
        <v>769.80592248450728</v>
      </c>
      <c r="EN59" s="62">
        <f t="shared" si="20"/>
        <v>1063.1392558178406</v>
      </c>
      <c r="EO59" s="62">
        <f ca="1">AVERAGE(OFFSET($EN$3,0,0,'Données projet'!$E$15+1,1))-AVERAGE(OFFSET($H$3,0,0,'Données projet'!$E$15+1,1))</f>
        <v>301.18531163828169</v>
      </c>
      <c r="EP59" s="62">
        <f t="shared" si="46"/>
        <v>192.30530273268101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30.093193684692064</v>
      </c>
      <c r="EW59" s="23">
        <f>EXP(-LN(2)/25)*EW58+(1-EXP(-LN(2)/25))/(LN(2)/25)*Calculateur!ER59*Calculateur!ET59*VLOOKUP('Données projet'!$B$15,Paramètres!$A$1:$I$89,3,0)*0.475*44/12</f>
        <v>2.9039795315774377</v>
      </c>
      <c r="EX59" s="23">
        <f>EXP(-LN(2)/2)*EX58+(1-EXP(-LN(2)/2))/(LN(2)/2)*ER59*EU59*VLOOKUP('Données projet'!$B$15,Paramètres!$A$1:$I$89,3,0)*0.475*44/12</f>
        <v>2.4246089465054479</v>
      </c>
      <c r="EY59" s="24">
        <f t="shared" si="21"/>
        <v>35.421782162774953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21.848750000000003</v>
      </c>
      <c r="FE59" s="13">
        <f>IF('Données projet'!$A$218&gt;35,FE58+FD59-FM58,IF(A59&lt;'Données projet'!$A$218,$FB$205^A59,IF(A59='Données projet'!$A$218,'Données projet'!$B$218,FE58+FD59-FM58)))</f>
        <v>370.81500000000017</v>
      </c>
      <c r="FF59" s="18">
        <f>FE59*VLOOKUP('Données projet'!$B$16,Paramètres!$A$1:$I$89,3,0)*VLOOKUP('Données projet'!$B$16,Paramètres!$A$1:$I$89,5,0)</f>
        <v>289.23570000000012</v>
      </c>
      <c r="FG59" s="14">
        <f t="shared" si="47"/>
        <v>68.915076167728031</v>
      </c>
      <c r="FH59" s="22">
        <f t="shared" si="22"/>
        <v>623.77926849212645</v>
      </c>
      <c r="FI59" s="62">
        <f t="shared" si="23"/>
        <v>917.11260182545971</v>
      </c>
      <c r="FJ59" s="62">
        <f ca="1">AVERAGE(OFFSET($FI$3,0,0,'Données projet'!$E$16+1,1))-AVERAGE(OFFSET($H$3,0,0,'Données projet'!$E$16+1,1))</f>
        <v>249.2899297828755</v>
      </c>
      <c r="FK59" s="62">
        <f t="shared" si="48"/>
        <v>162.88011837476813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24.268704584429088</v>
      </c>
      <c r="FR59" s="23">
        <f>EXP(-LN(2)/25)*FR58+(1-EXP(-LN(2)/25))/(LN(2)/25)*Calculateur!FM59*Calculateur!FO59*VLOOKUP('Données projet'!$B$16,Paramètres!$A$1:$I$89,3,0)*0.475*44/12</f>
        <v>2.3419189770785782</v>
      </c>
      <c r="FS59" s="23">
        <f>EXP(-LN(2)/2)*FS58+(1-EXP(-LN(2)/2))/(LN(2)/2)*FM59*FP59*VLOOKUP('Données projet'!$B$16,Paramètres!$A$1:$I$89,3,0)*0.475*44/12</f>
        <v>1.9553297955689093</v>
      </c>
      <c r="FT59" s="24">
        <f t="shared" si="24"/>
        <v>28.565953357076573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21.848750000000003</v>
      </c>
      <c r="FZ59" s="13">
        <f>IF('Données projet'!$A$244&gt;35,FZ58+FY59-GH58,IF(A59&lt;'Données projet'!$A$244,$FW$205^A59,IF(A59='Données projet'!$A$244,'Données projet'!$B$244,FZ58+FY59-GH58)))</f>
        <v>370.81500000000017</v>
      </c>
      <c r="GA59" s="18">
        <f>FZ59*VLOOKUP('Données projet'!$B$17,Paramètres!$A$1:$I$89,3,0)*VLOOKUP('Données projet'!$B$17,Paramètres!$A$1:$I$89,5,0)</f>
        <v>248.74270200000012</v>
      </c>
      <c r="GB59" s="14">
        <f t="shared" si="49"/>
        <v>60.316630457154069</v>
      </c>
      <c r="GC59" s="22">
        <f t="shared" si="25"/>
        <v>538.27833736287687</v>
      </c>
      <c r="GD59" s="62">
        <f t="shared" si="26"/>
        <v>831.61167069621024</v>
      </c>
      <c r="GE59" s="62">
        <f ca="1">AVERAGE(OFFSET($GD$3,0,0,'Données projet'!$E$17+1,1))-AVERAGE(OFFSET($H$3,0,0,'Données projet'!$E$17+1,1))</f>
        <v>218.89895999738746</v>
      </c>
      <c r="GF59" s="62">
        <f t="shared" si="50"/>
        <v>145.64042897395763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25.724826859494829</v>
      </c>
      <c r="GM59" s="23">
        <f>EXP(-LN(2)/25)*GM58+(1-EXP(-LN(2)/25))/(LN(2)/25)*Calculateur!GH59*Calculateur!GJ59*VLOOKUP('Données projet'!$B$17,Paramètres!$A$1:$I$89,3,0)*0.475*44/12</f>
        <v>2.4824341157032936</v>
      </c>
      <c r="GN59" s="23">
        <f>EXP(-LN(2)/2)*GN58+(1-EXP(-LN(2)/2))/(LN(2)/2)*GH59*GK59*VLOOKUP('Données projet'!$B$17,Paramètres!$A$1:$I$89,3,0)*0.475*44/12</f>
        <v>1.6815836241892623</v>
      </c>
      <c r="GO59" s="23">
        <f t="shared" si="27"/>
        <v>29.888844599387387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21.848750000000003</v>
      </c>
      <c r="GU59" s="13">
        <f>IF('Données projet'!$A$270&gt;35,GU58+GT59-HC58,IF(A59&lt;'Données projet'!$A$270,$GR$205^A59,IF(A59='Données projet'!$A$270,'Données projet'!$B$270,GU58+GT59-HC58)))</f>
        <v>370.81500000000017</v>
      </c>
      <c r="GV59" s="18">
        <f>GU59*VLOOKUP('Données projet'!$B$18,Paramètres!$A$1:$I$89,3,0)*VLOOKUP('Données projet'!$B$18,Paramètres!$A$1:$I$89,5,0)</f>
        <v>399.14526600000016</v>
      </c>
      <c r="GW59" s="14">
        <f t="shared" si="51"/>
        <v>91.603359452506268</v>
      </c>
      <c r="GX59" s="22">
        <f t="shared" si="28"/>
        <v>854.72052266311539</v>
      </c>
      <c r="GY59" s="62">
        <f t="shared" si="29"/>
        <v>1148.0538559964486</v>
      </c>
      <c r="GZ59" s="62">
        <f ca="1">AVERAGE(OFFSET($GY$3,0,0,'Données projet'!$E$18+1,1))-AVERAGE(OFFSET($H$3,0,0,'Données projet'!$E$18+1,1))</f>
        <v>331.3579800635751</v>
      </c>
      <c r="HA59" s="62">
        <f t="shared" si="52"/>
        <v>209.40702003535273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33.490812326512135</v>
      </c>
      <c r="HH59" s="23">
        <f>EXP(-LN(2)/25)*HH58+(1-EXP(-LN(2)/25))/(LN(2)/25)*Calculateur!HC59*Calculateur!HE59*VLOOKUP('Données projet'!$B$18,Paramètres!$A$1:$I$89,3,0)*0.475*44/12</f>
        <v>3.2318481883684385</v>
      </c>
      <c r="HI59" s="23">
        <f>EXP(-LN(2)/2)*HI58+(1-EXP(-LN(2)/2))/(LN(2)/2)*HC59*HF59*VLOOKUP('Données projet'!$B$18,Paramètres!$A$1:$I$89,3,0)*0.475*44/12</f>
        <v>2.6983551178850944</v>
      </c>
      <c r="HJ59" s="24">
        <f t="shared" si="30"/>
        <v>39.421015632765666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46.772666666666659</v>
      </c>
      <c r="N60" s="14">
        <f>IF('Données projet'!$A$36&gt;35,N59+M60-V59,IF(A60&lt;'Données projet'!$A$36,$K$205^A60,IF(A60='Données projet'!$A$36,'Données projet'!$B$36,N59+M60-V59)))</f>
        <v>685.01533333333305</v>
      </c>
      <c r="O60" s="14">
        <f>N60*VLOOKUP('Données projet'!$B$9,Paramètres!$A$1:$I$89,3,0)*VLOOKUP('Données projet'!$B$9,Paramètres!$A$1:$I$89,5,0)</f>
        <v>619.80187359999968</v>
      </c>
      <c r="P60" s="14">
        <f t="shared" si="33"/>
        <v>135.14087104365501</v>
      </c>
      <c r="Q60" s="22">
        <f t="shared" si="53"/>
        <v>1314.8586135876985</v>
      </c>
      <c r="R60" s="62">
        <f t="shared" si="0"/>
        <v>1608.1919469210318</v>
      </c>
      <c r="S60" s="62">
        <f ca="1">AVERAGE(OFFSET($R$3,0,0,'Données projet'!$E$9+1,1))-AVERAGE(OFFSET($H$3,0,0,'Données projet'!$E$9+1,1))</f>
        <v>2472.5049373954762</v>
      </c>
      <c r="T60" s="62">
        <f t="shared" si="34"/>
        <v>286.98388307318311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30.564445488076561</v>
      </c>
      <c r="AA60" s="23">
        <f>EXP(-LN(2)/25)*AA59+(1-EXP(-LN(2)/25))/(LN(2)/25)*Calculateur!V60*Calculateur!X60*VLOOKUP('Données projet'!$B$9,Paramètres!$A$1:$I$89,3,0)*0.475*44/12</f>
        <v>5.9931130907846031</v>
      </c>
      <c r="AB60" s="23">
        <f>EXP(-LN(2)/2)*AB59+(1-EXP(-LN(2)/2))/(LN(2)/2)*V60*Y60*VLOOKUP('Données projet'!$B$9,Paramètres!$A$1:$I$89,3,0)*0.475*44/12</f>
        <v>9.4677813851827395</v>
      </c>
      <c r="AC60" s="24">
        <f t="shared" si="3"/>
        <v>46.025339964043901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46.772666666666659</v>
      </c>
      <c r="AI60" s="14">
        <f>IF('Données projet'!$A$62&gt;35,AI59+AH60-AQ59,IF(A60&lt;'Données projet'!$A$62,$AF$205^A60,IF(A60='Données projet'!$A$62,'Données projet'!$B$62,AI59+AH60-AQ59)))</f>
        <v>685.01533333333305</v>
      </c>
      <c r="AJ60" s="14">
        <f>AI60*VLOOKUP('Données projet'!$B$10,Paramètres!$A$1:$I$89,3,0)*VLOOKUP('Données projet'!$B$10,Paramètres!$A$1:$I$89,5,0)</f>
        <v>694.60554799999977</v>
      </c>
      <c r="AK60" s="14">
        <f t="shared" si="35"/>
        <v>149.455527125662</v>
      </c>
      <c r="AL60" s="22">
        <f t="shared" si="4"/>
        <v>1470.0730391771942</v>
      </c>
      <c r="AM60" s="62">
        <f t="shared" si="5"/>
        <v>1763.4063725105275</v>
      </c>
      <c r="AN60" s="62">
        <f ca="1">AVERAGE(OFFSET($AM$3,0,0,'Données projet'!$E$10+1,1))-AVERAGE(OFFSET($H$3,0,0,'Données projet'!$E$10+1,1))</f>
        <v>2761.1400657295467</v>
      </c>
      <c r="AO60" s="62">
        <f t="shared" si="36"/>
        <v>316.41877504316409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34.253257874568561</v>
      </c>
      <c r="AV60" s="23">
        <f>EXP(-LN(2)/25)*AV59+(1-EXP(-LN(2)/25))/(LN(2)/25)*Calculateur!AQ60*Calculateur!AS60*VLOOKUP('Données projet'!$B$10,Paramètres!$A$1:$I$89,3,0)*0.475*44/12</f>
        <v>6.7164198431206756</v>
      </c>
      <c r="AW60" s="23">
        <f>EXP(-LN(2)/2)*AW59+(1-EXP(-LN(2)/2))/(LN(2)/2)*AQ60*AT60*VLOOKUP('Données projet'!$B$10,Paramètres!$A$1:$I$89,3,0)*0.475*44/12</f>
        <v>10.610444655808241</v>
      </c>
      <c r="AX60" s="23">
        <f t="shared" si="6"/>
        <v>51.580122373497474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46.772666666666659</v>
      </c>
      <c r="BD60" s="13">
        <f>IF('Données projet'!$A$88&gt;35,BD59+BC60-BL59,IF(A60&lt;'Données projet'!$A$88,$BA$205^A60,IF(A60='Données projet'!$A$88,'Données projet'!$B$88,BD59+BC60-BL59)))</f>
        <v>685.01533333333305</v>
      </c>
      <c r="BE60" s="14">
        <f>BD60*VLOOKUP('Données projet'!$B$11,Paramètres!$A$1:$I$89,3,0)*VLOOKUP('Données projet'!$B$11,Paramètres!$A$1:$I$89,5,0)</f>
        <v>715.97802639999975</v>
      </c>
      <c r="BF60" s="14">
        <f t="shared" si="37"/>
        <v>153.51168347422021</v>
      </c>
      <c r="BG60" s="22">
        <f t="shared" si="7"/>
        <v>1514.3612446975994</v>
      </c>
      <c r="BH60" s="62">
        <f t="shared" si="8"/>
        <v>1807.6945780309327</v>
      </c>
      <c r="BI60" s="62">
        <f ca="1">AVERAGE(OFFSET($BH$3,0,0,'Données projet'!$E$11+1,1))-AVERAGE(OFFSET($H$3,0,0,'Données projet'!$E$11+1,1))</f>
        <v>2843.5086223152098</v>
      </c>
      <c r="BJ60" s="62">
        <f t="shared" si="38"/>
        <v>324.81562437645522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35.307204270709136</v>
      </c>
      <c r="BQ60" s="23">
        <f>EXP(-LN(2)/25)*BQ59+(1-EXP(-LN(2)/25))/(LN(2)/25)*Calculateur!BL60*Calculateur!BN60*VLOOKUP('Données projet'!$B$11,Paramètres!$A$1:$I$89,3,0)*0.475*44/12</f>
        <v>6.9230789152166965</v>
      </c>
      <c r="BR60" s="23">
        <f>EXP(-LN(2)/2)*BR59+(1-EXP(-LN(2)/2))/(LN(2)/2)*BL60*BO60*VLOOKUP('Données projet'!$B$11,Paramètres!$A$1:$I$89,3,0)*0.475*44/12</f>
        <v>10.936919875986957</v>
      </c>
      <c r="BS60" s="24">
        <f t="shared" si="9"/>
        <v>53.167203061912794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46.772666666666659</v>
      </c>
      <c r="BY60" s="13">
        <f>IF('Données projet'!$A$114&gt;35,BY59+BX60-CG59,IF(A60&lt;'Données projet'!$A$114,$BV$205^A60,IF(A60='Données projet'!$A$114,'Données projet'!$B$114,BY59+BX60-CG59)))</f>
        <v>685.01533333333305</v>
      </c>
      <c r="BZ60" s="14">
        <f>BY60*VLOOKUP('Données projet'!$B$12,Paramètres!$A$1:$I$89,3,0)*VLOOKUP('Données projet'!$B$12,Paramètres!$A$1:$I$89,5,0)</f>
        <v>683.91930879999973</v>
      </c>
      <c r="CA60" s="14">
        <f t="shared" si="39"/>
        <v>147.42202205178356</v>
      </c>
      <c r="CB60" s="22">
        <f t="shared" si="10"/>
        <v>1447.919484566856</v>
      </c>
      <c r="CC60" s="62">
        <f t="shared" si="11"/>
        <v>1741.2528179001893</v>
      </c>
      <c r="CD60" s="62">
        <f ca="1">AVERAGE(OFFSET($CC$3,0,0,'Données projet'!$E$12+1,1))-AVERAGE(OFFSET($H$3,0,0,'Données projet'!$E$12+1,1))</f>
        <v>2719.939926994799</v>
      </c>
      <c r="CE60" s="62">
        <f t="shared" si="40"/>
        <v>312.21824046329749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33.726284676498281</v>
      </c>
      <c r="CL60" s="23">
        <f>EXP(-LN(2)/25)*CL59+(1-EXP(-LN(2)/25))/(LN(2)/25)*Calculateur!CG60*Calculateur!CI60*VLOOKUP('Données projet'!$B$12,Paramètres!$A$1:$I$89,3,0)*0.475*44/12</f>
        <v>6.6130903070726665</v>
      </c>
      <c r="CM60" s="23">
        <f>EXP(-LN(2)/2)*CM59+(1-EXP(-LN(2)/2))/(LN(2)/2)*CG60*CJ60*VLOOKUP('Données projet'!$B$12,Paramètres!$A$1:$I$89,3,0)*0.475*44/12</f>
        <v>10.447207045718883</v>
      </c>
      <c r="CN60" s="24">
        <f t="shared" si="12"/>
        <v>50.786582029289832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51.041333333333327</v>
      </c>
      <c r="CT60" s="13">
        <f>IF('Données projet'!$A$140&gt;35,CT59+CS60-DB59,IF(A60&lt;'Données projet'!$A$140,$CQ$205^A60,IF(A60='Données projet'!$A$140,'Données projet'!$B$140,CT59+CS60-DB59)))</f>
        <v>771.58266666666691</v>
      </c>
      <c r="CU60" s="18">
        <f>CT60*VLOOKUP('Données projet'!$B$13,Paramètres!$A$1:$I$89,3,0)*VLOOKUP('Données projet'!$B$13,Paramètres!$A$1:$I$89,5,0)</f>
        <v>674.05461760000026</v>
      </c>
      <c r="CV60" s="14">
        <f t="shared" si="41"/>
        <v>145.54156641488524</v>
      </c>
      <c r="CW60" s="22">
        <f t="shared" si="13"/>
        <v>1427.4633538259257</v>
      </c>
      <c r="CX60" s="62">
        <f t="shared" si="14"/>
        <v>1720.7966871592589</v>
      </c>
      <c r="CY60" s="62">
        <f ca="1">AVERAGE(OFFSET($CX$3,0,0,'Données projet'!$E$13+1,1))-AVERAGE(OFFSET($H$3,0,0,'Données projet'!$E$13+1,1))</f>
        <v>1036.0130072090849</v>
      </c>
      <c r="CZ60" s="62">
        <f t="shared" si="42"/>
        <v>346.56593355696174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33.404120768298149</v>
      </c>
      <c r="DG60" s="23">
        <f>EXP(-LN(2)/25)*DG59+(1-EXP(-LN(2)/25))/(LN(2)/25)*Calculateur!DB60*Calculateur!DD60*VLOOKUP('Données projet'!$B$13,Paramètres!$A$1:$I$89,3,0)*0.475*44/12</f>
        <v>6.5499200219658817</v>
      </c>
      <c r="DH60" s="23">
        <f>EXP(-LN(2)/2)*DH59+(1-EXP(-LN(2)/2))/(LN(2)/2)*DB60*DE60*VLOOKUP('Données projet'!$B$13,Paramètres!$A$1:$I$89,3,0)*0.475*44/12</f>
        <v>10.347412091014901</v>
      </c>
      <c r="DI60" s="24">
        <f t="shared" si="15"/>
        <v>50.301452881278934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16.225000000000009</v>
      </c>
      <c r="DO60" s="13">
        <f>IF('Données projet'!$A$166&gt;35,DO59+DN60-DW59,IF(A60&lt;'Données projet'!$A$166,$DL$205^A60,IF(A60='Données projet'!$A$166,'Données projet'!$B$166,DO59+DN60-DW59)))</f>
        <v>648.9650000000006</v>
      </c>
      <c r="DP60" s="18">
        <f>DO60*VLOOKUP('Données projet'!$B$14,Paramètres!$A$1:$I$89,3,0)*VLOOKUP('Données projet'!$B$14,Paramètres!$A$1:$I$89,5,0)</f>
        <v>362.77143500000034</v>
      </c>
      <c r="DQ60" s="14">
        <f t="shared" si="43"/>
        <v>84.186771884274521</v>
      </c>
      <c r="DR60" s="22">
        <f t="shared" si="16"/>
        <v>778.45221032344546</v>
      </c>
      <c r="DS60" s="62">
        <f t="shared" si="17"/>
        <v>1071.7855436567788</v>
      </c>
      <c r="DT60" s="62">
        <f ca="1">AVERAGE(OFFSET($DS$3,0,0,'Données projet'!$E$14+1,1))-AVERAGE(OFFSET($H$3,0,0,'Données projet'!$E$14+1,1))</f>
        <v>446.48069057792151</v>
      </c>
      <c r="DU60" s="62">
        <f t="shared" si="44"/>
        <v>561.75656782935948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44.988821907350975</v>
      </c>
      <c r="EB60" s="23">
        <f>EXP(-LN(2)/25)*EB59+(1-EXP(-LN(2)/25))/(LN(2)/25)*Calculateur!DW60*Calculateur!DY60*VLOOKUP('Données projet'!$B$14,Paramètres!$A$1:$I$89,3,0)*0.475*44/12</f>
        <v>26.464024809732937</v>
      </c>
      <c r="EC60" s="23">
        <f>EXP(-LN(2)/2)*EC59+(1-EXP(-LN(2)/2))/(LN(2)/2)*DW60*DZ60*VLOOKUP('Données projet'!$B$14,Paramètres!$A$1:$I$89,3,0)*0.475*44/12</f>
        <v>4.8663890157422944</v>
      </c>
      <c r="ED60" s="24">
        <f t="shared" si="18"/>
        <v>76.319235732826215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21.848750000000003</v>
      </c>
      <c r="EJ60" s="13">
        <f>IF('Données projet'!$A$192&gt;35,EJ59+EI60-ER59,IF(A60&lt;'Données projet'!$A$192,$EG$205^A60,IF(A60='Données projet'!$A$192,'Données projet'!$B$192,EJ59+EI60-ER59)))</f>
        <v>392.66375000000016</v>
      </c>
      <c r="EK60" s="18">
        <f>EJ60*VLOOKUP('Données projet'!$B$15,Paramètres!$A$1:$I$89,3,0)*VLOOKUP('Données projet'!$B$15,Paramètres!$A$1:$I$89,5,0)</f>
        <v>379.78437900000017</v>
      </c>
      <c r="EL60" s="14">
        <f t="shared" si="45"/>
        <v>87.665970379275322</v>
      </c>
      <c r="EM60" s="22">
        <f t="shared" si="19"/>
        <v>814.14269183557144</v>
      </c>
      <c r="EN60" s="62">
        <f t="shared" si="20"/>
        <v>1107.4760251689047</v>
      </c>
      <c r="EO60" s="62">
        <f ca="1">AVERAGE(OFFSET($EN$3,0,0,'Données projet'!$E$15+1,1))-AVERAGE(OFFSET($H$3,0,0,'Données projet'!$E$15+1,1))</f>
        <v>301.18531163828169</v>
      </c>
      <c r="EP60" s="62">
        <f t="shared" si="46"/>
        <v>192.30530273268101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29.503084511570993</v>
      </c>
      <c r="EW60" s="23">
        <f>EXP(-LN(2)/25)*EW59+(1-EXP(-LN(2)/25))/(LN(2)/25)*Calculateur!ER60*Calculateur!ET60*VLOOKUP('Données projet'!$B$15,Paramètres!$A$1:$I$89,3,0)*0.475*44/12</f>
        <v>2.8245700585728062</v>
      </c>
      <c r="EX60" s="23">
        <f>EXP(-LN(2)/2)*EX59+(1-EXP(-LN(2)/2))/(LN(2)/2)*ER60*EU60*VLOOKUP('Données projet'!$B$15,Paramètres!$A$1:$I$89,3,0)*0.475*44/12</f>
        <v>1.7144574277995734</v>
      </c>
      <c r="EY60" s="24">
        <f t="shared" si="21"/>
        <v>34.042111997943373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21.848750000000003</v>
      </c>
      <c r="FE60" s="13">
        <f>IF('Données projet'!$A$218&gt;35,FE59+FD60-FM59,IF(A60&lt;'Données projet'!$A$218,$FB$205^A60,IF(A60='Données projet'!$A$218,'Données projet'!$B$218,FE59+FD60-FM59)))</f>
        <v>392.66375000000016</v>
      </c>
      <c r="FF60" s="18">
        <f>FE60*VLOOKUP('Données projet'!$B$16,Paramètres!$A$1:$I$89,3,0)*VLOOKUP('Données projet'!$B$16,Paramètres!$A$1:$I$89,5,0)</f>
        <v>306.27772500000015</v>
      </c>
      <c r="FG60" s="14">
        <f t="shared" si="47"/>
        <v>72.490925318578718</v>
      </c>
      <c r="FH60" s="22">
        <f t="shared" si="22"/>
        <v>659.68873263819148</v>
      </c>
      <c r="FI60" s="62">
        <f t="shared" si="23"/>
        <v>953.02206597152485</v>
      </c>
      <c r="FJ60" s="62">
        <f ca="1">AVERAGE(OFFSET($FI$3,0,0,'Données projet'!$E$16+1,1))-AVERAGE(OFFSET($H$3,0,0,'Données projet'!$E$16+1,1))</f>
        <v>249.2899297828755</v>
      </c>
      <c r="FK60" s="62">
        <f t="shared" si="48"/>
        <v>162.88011837476813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23.792810089976609</v>
      </c>
      <c r="FR60" s="23">
        <f>EXP(-LN(2)/25)*FR59+(1-EXP(-LN(2)/25))/(LN(2)/25)*Calculateur!FM60*Calculateur!FO60*VLOOKUP('Données projet'!$B$16,Paramètres!$A$1:$I$89,3,0)*0.475*44/12</f>
        <v>2.2778790794941979</v>
      </c>
      <c r="FS60" s="23">
        <f>EXP(-LN(2)/2)*FS59+(1-EXP(-LN(2)/2))/(LN(2)/2)*FM60*FP60*VLOOKUP('Données projet'!$B$16,Paramètres!$A$1:$I$89,3,0)*0.475*44/12</f>
        <v>1.3826269579028816</v>
      </c>
      <c r="FT60" s="24">
        <f t="shared" si="24"/>
        <v>27.453316127373689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21.848750000000003</v>
      </c>
      <c r="FZ60" s="13">
        <f>IF('Données projet'!$A$244&gt;35,FZ59+FY60-GH59,IF(A60&lt;'Données projet'!$A$244,$FW$205^A60,IF(A60='Données projet'!$A$244,'Données projet'!$B$244,FZ59+FY60-GH59)))</f>
        <v>392.66375000000016</v>
      </c>
      <c r="GA60" s="18">
        <f>FZ60*VLOOKUP('Données projet'!$B$17,Paramètres!$A$1:$I$89,3,0)*VLOOKUP('Données projet'!$B$17,Paramètres!$A$1:$I$89,5,0)</f>
        <v>263.39884350000011</v>
      </c>
      <c r="GB60" s="14">
        <f t="shared" si="49"/>
        <v>63.446325493367205</v>
      </c>
      <c r="GC60" s="22">
        <f t="shared" si="25"/>
        <v>569.25533599678135</v>
      </c>
      <c r="GD60" s="62">
        <f t="shared" si="26"/>
        <v>862.58866933011473</v>
      </c>
      <c r="GE60" s="62">
        <f ca="1">AVERAGE(OFFSET($GD$3,0,0,'Données projet'!$E$17+1,1))-AVERAGE(OFFSET($H$3,0,0,'Données projet'!$E$17+1,1))</f>
        <v>218.89895999738746</v>
      </c>
      <c r="GF60" s="62">
        <f t="shared" si="50"/>
        <v>145.64042897395763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25.220378695375203</v>
      </c>
      <c r="GM60" s="23">
        <f>EXP(-LN(2)/25)*GM59+(1-EXP(-LN(2)/25))/(LN(2)/25)*Calculateur!GH60*Calculateur!GJ60*VLOOKUP('Données projet'!$B$17,Paramètres!$A$1:$I$89,3,0)*0.475*44/12</f>
        <v>2.4145518242638504</v>
      </c>
      <c r="GN60" s="23">
        <f>EXP(-LN(2)/2)*GN59+(1-EXP(-LN(2)/2))/(LN(2)/2)*GH60*GK60*VLOOKUP('Données projet'!$B$17,Paramètres!$A$1:$I$89,3,0)*0.475*44/12</f>
        <v>1.1890591837964783</v>
      </c>
      <c r="GO60" s="23">
        <f t="shared" si="27"/>
        <v>28.823989703435529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21.848750000000003</v>
      </c>
      <c r="GU60" s="13">
        <f>IF('Données projet'!$A$270&gt;35,GU59+GT60-HC59,IF(A60&lt;'Données projet'!$A$270,$GR$205^A60,IF(A60='Données projet'!$A$270,'Données projet'!$B$270,GU59+GT60-HC59)))</f>
        <v>392.66375000000016</v>
      </c>
      <c r="GV60" s="18">
        <f>GU60*VLOOKUP('Données projet'!$B$18,Paramètres!$A$1:$I$89,3,0)*VLOOKUP('Données projet'!$B$18,Paramètres!$A$1:$I$89,5,0)</f>
        <v>422.66326050000015</v>
      </c>
      <c r="GW60" s="14">
        <f t="shared" si="51"/>
        <v>96.356452873111181</v>
      </c>
      <c r="GX60" s="22">
        <f t="shared" si="28"/>
        <v>903.95933412483555</v>
      </c>
      <c r="GY60" s="62">
        <f t="shared" si="29"/>
        <v>1197.2926674581688</v>
      </c>
      <c r="GZ60" s="62">
        <f ca="1">AVERAGE(OFFSET($GY$3,0,0,'Données projet'!$E$18+1,1))-AVERAGE(OFFSET($H$3,0,0,'Données projet'!$E$18+1,1))</f>
        <v>331.3579800635751</v>
      </c>
      <c r="HA60" s="62">
        <f t="shared" si="52"/>
        <v>209.40702003535273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32.834077924167715</v>
      </c>
      <c r="HH60" s="23">
        <f>EXP(-LN(2)/25)*HH59+(1-EXP(-LN(2)/25))/(LN(2)/25)*Calculateur!HC60*Calculateur!HE60*VLOOKUP('Données projet'!$B$18,Paramètres!$A$1:$I$89,3,0)*0.475*44/12</f>
        <v>3.1434731297019938</v>
      </c>
      <c r="HI60" s="23">
        <f>EXP(-LN(2)/2)*HI59+(1-EXP(-LN(2)/2))/(LN(2)/2)*HC60*HF60*VLOOKUP('Données projet'!$B$18,Paramètres!$A$1:$I$89,3,0)*0.475*44/12</f>
        <v>1.9080252019059762</v>
      </c>
      <c r="HJ60" s="24">
        <f t="shared" si="30"/>
        <v>37.885576255775689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46.772666666666659</v>
      </c>
      <c r="N61" s="14">
        <f>IF('Données projet'!$A$36&gt;35,N60+M61-V60,IF(A61&lt;'Données projet'!$A$36,$K$205^A61,IF(A61='Données projet'!$A$36,'Données projet'!$B$36,N60+M61-V60)))</f>
        <v>731.78799999999967</v>
      </c>
      <c r="O61" s="14">
        <f>N61*VLOOKUP('Données projet'!$B$9,Paramètres!$A$1:$I$89,3,0)*VLOOKUP('Données projet'!$B$9,Paramètres!$A$1:$I$89,5,0)</f>
        <v>662.12178239999969</v>
      </c>
      <c r="P61" s="14">
        <f t="shared" si="33"/>
        <v>143.2625811846234</v>
      </c>
      <c r="Q61" s="22">
        <f t="shared" si="53"/>
        <v>1402.7110999098852</v>
      </c>
      <c r="R61" s="62">
        <f t="shared" si="0"/>
        <v>1696.0444332432185</v>
      </c>
      <c r="S61" s="62">
        <f ca="1">AVERAGE(OFFSET($R$3,0,0,'Données projet'!$E$9+1,1))-AVERAGE(OFFSET($H$3,0,0,'Données projet'!$E$9+1,1))</f>
        <v>2472.5049373954762</v>
      </c>
      <c r="T61" s="62">
        <f t="shared" si="34"/>
        <v>286.98388307318311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29.965095354526337</v>
      </c>
      <c r="AA61" s="23">
        <f>EXP(-LN(2)/25)*AA60+(1-EXP(-LN(2)/25))/(LN(2)/25)*Calculateur!V61*Calculateur!X61*VLOOKUP('Données projet'!$B$9,Paramètres!$A$1:$I$89,3,0)*0.475*44/12</f>
        <v>5.8292310981529782</v>
      </c>
      <c r="AB61" s="23">
        <f>EXP(-LN(2)/2)*AB60+(1-EXP(-LN(2)/2))/(LN(2)/2)*V61*Y61*VLOOKUP('Données projet'!$B$9,Paramètres!$A$1:$I$89,3,0)*0.475*44/12</f>
        <v>6.6947324202544793</v>
      </c>
      <c r="AC61" s="24">
        <f t="shared" si="3"/>
        <v>42.489058872933796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46.772666666666659</v>
      </c>
      <c r="AI61" s="14">
        <f>IF('Données projet'!$A$62&gt;35,AI60+AH61-AQ60,IF(A61&lt;'Données projet'!$A$62,$AF$205^A61,IF(A61='Données projet'!$A$62,'Données projet'!$B$62,AI60+AH61-AQ60)))</f>
        <v>731.78799999999967</v>
      </c>
      <c r="AJ61" s="14">
        <f>AI61*VLOOKUP('Données projet'!$B$10,Paramètres!$A$1:$I$89,3,0)*VLOOKUP('Données projet'!$B$10,Paramètres!$A$1:$I$89,5,0)</f>
        <v>742.03303199999971</v>
      </c>
      <c r="AK61" s="14">
        <f t="shared" si="35"/>
        <v>158.43752095851318</v>
      </c>
      <c r="AL61" s="22">
        <f t="shared" si="4"/>
        <v>1568.3195464027431</v>
      </c>
      <c r="AM61" s="62">
        <f t="shared" si="5"/>
        <v>1861.6528797360763</v>
      </c>
      <c r="AN61" s="62">
        <f ca="1">AVERAGE(OFFSET($AM$3,0,0,'Données projet'!$E$10+1,1))-AVERAGE(OFFSET($H$3,0,0,'Données projet'!$E$10+1,1))</f>
        <v>2761.1400657295467</v>
      </c>
      <c r="AO61" s="62">
        <f t="shared" si="36"/>
        <v>316.41877504316409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33.581572380072622</v>
      </c>
      <c r="AV61" s="23">
        <f>EXP(-LN(2)/25)*AV60+(1-EXP(-LN(2)/25))/(LN(2)/25)*Calculateur!AQ61*Calculateur!AS61*VLOOKUP('Données projet'!$B$10,Paramètres!$A$1:$I$89,3,0)*0.475*44/12</f>
        <v>6.5327589893093716</v>
      </c>
      <c r="AW61" s="23">
        <f>EXP(-LN(2)/2)*AW60+(1-EXP(-LN(2)/2))/(LN(2)/2)*AQ61*AT61*VLOOKUP('Données projet'!$B$10,Paramètres!$A$1:$I$89,3,0)*0.475*44/12</f>
        <v>7.5027173675265706</v>
      </c>
      <c r="AX61" s="23">
        <f t="shared" si="6"/>
        <v>47.617048736908565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46.772666666666659</v>
      </c>
      <c r="BD61" s="13">
        <f>IF('Données projet'!$A$88&gt;35,BD60+BC61-BL60,IF(A61&lt;'Données projet'!$A$88,$BA$205^A61,IF(A61='Données projet'!$A$88,'Données projet'!$B$88,BD60+BC61-BL60)))</f>
        <v>731.78799999999967</v>
      </c>
      <c r="BE61" s="14">
        <f>BD61*VLOOKUP('Données projet'!$B$11,Paramètres!$A$1:$I$89,3,0)*VLOOKUP('Données projet'!$B$11,Paramètres!$A$1:$I$89,5,0)</f>
        <v>764.8648175999997</v>
      </c>
      <c r="BF61" s="14">
        <f t="shared" si="37"/>
        <v>162.73744461369751</v>
      </c>
      <c r="BG61" s="22">
        <f t="shared" si="7"/>
        <v>1615.5739400221894</v>
      </c>
      <c r="BH61" s="62">
        <f t="shared" si="8"/>
        <v>1908.9072733555226</v>
      </c>
      <c r="BI61" s="62">
        <f ca="1">AVERAGE(OFFSET($BH$3,0,0,'Données projet'!$E$11+1,1))-AVERAGE(OFFSET($H$3,0,0,'Données projet'!$E$11+1,1))</f>
        <v>2843.5086223152098</v>
      </c>
      <c r="BJ61" s="62">
        <f t="shared" si="38"/>
        <v>324.81562437645522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34.614851530228705</v>
      </c>
      <c r="BQ61" s="23">
        <f>EXP(-LN(2)/25)*BQ60+(1-EXP(-LN(2)/25))/(LN(2)/25)*Calculateur!BL61*Calculateur!BN61*VLOOKUP('Données projet'!$B$11,Paramètres!$A$1:$I$89,3,0)*0.475*44/12</f>
        <v>6.7337669582111985</v>
      </c>
      <c r="BR61" s="23">
        <f>EXP(-LN(2)/2)*BR60+(1-EXP(-LN(2)/2))/(LN(2)/2)*BL61*BO61*VLOOKUP('Données projet'!$B$11,Paramètres!$A$1:$I$89,3,0)*0.475*44/12</f>
        <v>7.733570209604312</v>
      </c>
      <c r="BS61" s="24">
        <f t="shared" si="9"/>
        <v>49.082188698044213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46.772666666666659</v>
      </c>
      <c r="BY61" s="13">
        <f>IF('Données projet'!$A$114&gt;35,BY60+BX61-CG60,IF(A61&lt;'Données projet'!$A$114,$BV$205^A61,IF(A61='Données projet'!$A$114,'Données projet'!$B$114,BY60+BX61-CG60)))</f>
        <v>731.78799999999967</v>
      </c>
      <c r="BZ61" s="14">
        <f>BY61*VLOOKUP('Données projet'!$B$12,Paramètres!$A$1:$I$89,3,0)*VLOOKUP('Données projet'!$B$12,Paramètres!$A$1:$I$89,5,0)</f>
        <v>730.61713919999977</v>
      </c>
      <c r="CA61" s="14">
        <f t="shared" si="39"/>
        <v>156.28180608494424</v>
      </c>
      <c r="CB61" s="22">
        <f t="shared" si="10"/>
        <v>1544.682329704611</v>
      </c>
      <c r="CC61" s="62">
        <f t="shared" si="11"/>
        <v>1838.0156630379443</v>
      </c>
      <c r="CD61" s="62">
        <f ca="1">AVERAGE(OFFSET($CC$3,0,0,'Données projet'!$E$12+1,1))-AVERAGE(OFFSET($H$3,0,0,'Données projet'!$E$12+1,1))</f>
        <v>2719.939926994799</v>
      </c>
      <c r="CE61" s="62">
        <f t="shared" si="40"/>
        <v>312.21824046329749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33.064932804994584</v>
      </c>
      <c r="CL61" s="23">
        <f>EXP(-LN(2)/25)*CL60+(1-EXP(-LN(2)/25))/(LN(2)/25)*Calculateur!CG61*Calculateur!CI61*VLOOKUP('Données projet'!$B$12,Paramètres!$A$1:$I$89,3,0)*0.475*44/12</f>
        <v>6.4322550048584599</v>
      </c>
      <c r="CM61" s="23">
        <f>EXP(-LN(2)/2)*CM60+(1-EXP(-LN(2)/2))/(LN(2)/2)*CG61*CJ61*VLOOKUP('Données projet'!$B$12,Paramètres!$A$1:$I$89,3,0)*0.475*44/12</f>
        <v>7.3872909464877008</v>
      </c>
      <c r="CN61" s="24">
        <f t="shared" si="12"/>
        <v>46.884478756340748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51.041333333333327</v>
      </c>
      <c r="CT61" s="13">
        <f>IF('Données projet'!$A$140&gt;35,CT60+CS61-DB60,IF(A61&lt;'Données projet'!$A$140,$CQ$205^A61,IF(A61='Données projet'!$A$140,'Données projet'!$B$140,CT60+CS61-DB60)))</f>
        <v>822.62400000000025</v>
      </c>
      <c r="CU61" s="18">
        <f>CT61*VLOOKUP('Données projet'!$B$13,Paramètres!$A$1:$I$89,3,0)*VLOOKUP('Données projet'!$B$13,Paramètres!$A$1:$I$89,5,0)</f>
        <v>718.6443264000003</v>
      </c>
      <c r="CV61" s="14">
        <f t="shared" si="41"/>
        <v>154.01670798065297</v>
      </c>
      <c r="CW61" s="22">
        <f t="shared" si="13"/>
        <v>1519.8846348796378</v>
      </c>
      <c r="CX61" s="62">
        <f t="shared" si="14"/>
        <v>1813.2179682129711</v>
      </c>
      <c r="CY61" s="62">
        <f ca="1">AVERAGE(OFFSET($CX$3,0,0,'Données projet'!$E$13+1,1))-AVERAGE(OFFSET($H$3,0,0,'Données projet'!$E$13+1,1))</f>
        <v>1036.0130072090849</v>
      </c>
      <c r="CZ61" s="62">
        <f t="shared" si="42"/>
        <v>346.56593355696174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32.749086334533679</v>
      </c>
      <c r="DG61" s="23">
        <f>EXP(-LN(2)/25)*DG60+(1-EXP(-LN(2)/25))/(LN(2)/25)*Calculateur!DB61*Calculateur!DD61*VLOOKUP('Données projet'!$B$13,Paramètres!$A$1:$I$89,3,0)*0.475*44/12</f>
        <v>6.370812114519901</v>
      </c>
      <c r="DH61" s="23">
        <f>EXP(-LN(2)/2)*DH60+(1-EXP(-LN(2)/2))/(LN(2)/2)*DB61*DE61*VLOOKUP('Données projet'!$B$13,Paramètres!$A$1:$I$89,3,0)*0.475*44/12</f>
        <v>7.3167252572883097</v>
      </c>
      <c r="DI61" s="24">
        <f t="shared" si="15"/>
        <v>46.436623706341891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16.225000000000009</v>
      </c>
      <c r="DO61" s="13">
        <f>IF('Données projet'!$A$166&gt;35,DO60+DN61-DW60,IF(A61&lt;'Données projet'!$A$166,$DL$205^A61,IF(A61='Données projet'!$A$166,'Données projet'!$B$166,DO60+DN61-DW60)))</f>
        <v>665.19000000000062</v>
      </c>
      <c r="DP61" s="18">
        <f>DO61*VLOOKUP('Données projet'!$B$14,Paramètres!$A$1:$I$89,3,0)*VLOOKUP('Données projet'!$B$14,Paramètres!$A$1:$I$89,5,0)</f>
        <v>371.84121000000039</v>
      </c>
      <c r="DQ61" s="14">
        <f t="shared" si="43"/>
        <v>86.043876686612478</v>
      </c>
      <c r="DR61" s="22">
        <f t="shared" si="16"/>
        <v>797.48319264585064</v>
      </c>
      <c r="DS61" s="62">
        <f t="shared" si="17"/>
        <v>1090.816525979184</v>
      </c>
      <c r="DT61" s="62">
        <f ca="1">AVERAGE(OFFSET($DS$3,0,0,'Données projet'!$E$14+1,1))-AVERAGE(OFFSET($H$3,0,0,'Données projet'!$E$14+1,1))</f>
        <v>446.48069057792151</v>
      </c>
      <c r="DU61" s="62">
        <f t="shared" si="44"/>
        <v>561.75656782935948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44.106618550219665</v>
      </c>
      <c r="EB61" s="23">
        <f>EXP(-LN(2)/25)*EB60+(1-EXP(-LN(2)/25))/(LN(2)/25)*Calculateur!DW61*Calculateur!DY61*VLOOKUP('Données projet'!$B$14,Paramètres!$A$1:$I$89,3,0)*0.475*44/12</f>
        <v>25.740364659628209</v>
      </c>
      <c r="EC61" s="23">
        <f>EXP(-LN(2)/2)*EC60+(1-EXP(-LN(2)/2))/(LN(2)/2)*DW61*DZ61*VLOOKUP('Données projet'!$B$14,Paramètres!$A$1:$I$89,3,0)*0.475*44/12</f>
        <v>3.4410566729231054</v>
      </c>
      <c r="ED61" s="24">
        <f t="shared" si="18"/>
        <v>73.288039882770988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21.848750000000003</v>
      </c>
      <c r="EJ61" s="13">
        <f>IF('Données projet'!$A$192&gt;35,EJ60+EI61-ER60,IF(A61&lt;'Données projet'!$A$192,$EG$205^A61,IF(A61='Données projet'!$A$192,'Données projet'!$B$192,EJ60+EI61-ER60)))</f>
        <v>414.51250000000016</v>
      </c>
      <c r="EK61" s="18">
        <f>EJ61*VLOOKUP('Données projet'!$B$15,Paramètres!$A$1:$I$89,3,0)*VLOOKUP('Données projet'!$B$15,Paramètres!$A$1:$I$89,5,0)</f>
        <v>400.91649000000018</v>
      </c>
      <c r="EL61" s="14">
        <f t="shared" si="45"/>
        <v>91.96244474803791</v>
      </c>
      <c r="EM61" s="22">
        <f t="shared" si="19"/>
        <v>858.43081135283308</v>
      </c>
      <c r="EN61" s="62">
        <f t="shared" si="20"/>
        <v>1151.7641446861664</v>
      </c>
      <c r="EO61" s="62">
        <f ca="1">AVERAGE(OFFSET($EN$3,0,0,'Données projet'!$E$15+1,1))-AVERAGE(OFFSET($H$3,0,0,'Données projet'!$E$15+1,1))</f>
        <v>301.18531163828169</v>
      </c>
      <c r="EP61" s="62">
        <f t="shared" si="46"/>
        <v>192.30530273268101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28.924547019403768</v>
      </c>
      <c r="EW61" s="23">
        <f>EXP(-LN(2)/25)*EW60+(1-EXP(-LN(2)/25))/(LN(2)/25)*Calculateur!ER61*Calculateur!ET61*VLOOKUP('Données projet'!$B$15,Paramètres!$A$1:$I$89,3,0)*0.475*44/12</f>
        <v>2.7473320417834493</v>
      </c>
      <c r="EX61" s="23">
        <f>EXP(-LN(2)/2)*EX60+(1-EXP(-LN(2)/2))/(LN(2)/2)*ER61*EU61*VLOOKUP('Données projet'!$B$15,Paramètres!$A$1:$I$89,3,0)*0.475*44/12</f>
        <v>1.2123044732527242</v>
      </c>
      <c r="EY61" s="24">
        <f t="shared" si="21"/>
        <v>32.884183534439941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21.848750000000003</v>
      </c>
      <c r="FE61" s="13">
        <f>IF('Données projet'!$A$218&gt;35,FE60+FD61-FM60,IF(A61&lt;'Données projet'!$A$218,$FB$205^A61,IF(A61='Données projet'!$A$218,'Données projet'!$B$218,FE60+FD61-FM60)))</f>
        <v>414.51250000000016</v>
      </c>
      <c r="FF61" s="18">
        <f>FE61*VLOOKUP('Données projet'!$B$16,Paramètres!$A$1:$I$89,3,0)*VLOOKUP('Données projet'!$B$16,Paramètres!$A$1:$I$89,5,0)</f>
        <v>323.31975000000011</v>
      </c>
      <c r="FG61" s="14">
        <f t="shared" si="47"/>
        <v>76.043676759664393</v>
      </c>
      <c r="FH61" s="22">
        <f t="shared" si="22"/>
        <v>695.55796827308234</v>
      </c>
      <c r="FI61" s="62">
        <f t="shared" si="23"/>
        <v>988.89130160641571</v>
      </c>
      <c r="FJ61" s="62">
        <f ca="1">AVERAGE(OFFSET($FI$3,0,0,'Données projet'!$E$16+1,1))-AVERAGE(OFFSET($H$3,0,0,'Données projet'!$E$16+1,1))</f>
        <v>249.2899297828755</v>
      </c>
      <c r="FK61" s="62">
        <f t="shared" si="48"/>
        <v>162.88011837476813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23.326247596293364</v>
      </c>
      <c r="FR61" s="23">
        <f>EXP(-LN(2)/25)*FR60+(1-EXP(-LN(2)/25))/(LN(2)/25)*Calculateur!FM61*Calculateur!FO61*VLOOKUP('Données projet'!$B$16,Paramètres!$A$1:$I$89,3,0)*0.475*44/12</f>
        <v>2.2155903562769743</v>
      </c>
      <c r="FS61" s="23">
        <f>EXP(-LN(2)/2)*FS60+(1-EXP(-LN(2)/2))/(LN(2)/2)*FM61*FP61*VLOOKUP('Données projet'!$B$16,Paramètres!$A$1:$I$89,3,0)*0.475*44/12</f>
        <v>0.97766489778445487</v>
      </c>
      <c r="FT61" s="24">
        <f t="shared" si="24"/>
        <v>26.51950285035479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21.848750000000003</v>
      </c>
      <c r="FZ61" s="13">
        <f>IF('Données projet'!$A$244&gt;35,FZ60+FY61-GH60,IF(A61&lt;'Données projet'!$A$244,$FW$205^A61,IF(A61='Données projet'!$A$244,'Données projet'!$B$244,FZ60+FY61-GH60)))</f>
        <v>414.51250000000016</v>
      </c>
      <c r="GA61" s="18">
        <f>FZ61*VLOOKUP('Données projet'!$B$17,Paramètres!$A$1:$I$89,3,0)*VLOOKUP('Données projet'!$B$17,Paramètres!$A$1:$I$89,5,0)</f>
        <v>278.0549850000001</v>
      </c>
      <c r="GB61" s="14">
        <f t="shared" si="49"/>
        <v>66.555804691453602</v>
      </c>
      <c r="GC61" s="22">
        <f t="shared" si="25"/>
        <v>600.19712537928183</v>
      </c>
      <c r="GD61" s="62">
        <f t="shared" si="26"/>
        <v>893.5304587126152</v>
      </c>
      <c r="GE61" s="62">
        <f ca="1">AVERAGE(OFFSET($GD$3,0,0,'Données projet'!$E$17+1,1))-AVERAGE(OFFSET($H$3,0,0,'Données projet'!$E$17+1,1))</f>
        <v>218.89895999738746</v>
      </c>
      <c r="GF61" s="62">
        <f t="shared" si="50"/>
        <v>145.64042897395763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24.725822452070965</v>
      </c>
      <c r="GM61" s="23">
        <f>EXP(-LN(2)/25)*GM60+(1-EXP(-LN(2)/25))/(LN(2)/25)*Calculateur!GH61*Calculateur!GJ61*VLOOKUP('Données projet'!$B$17,Paramètres!$A$1:$I$89,3,0)*0.475*44/12</f>
        <v>2.3485257776535935</v>
      </c>
      <c r="GN61" s="23">
        <f>EXP(-LN(2)/2)*GN60+(1-EXP(-LN(2)/2))/(LN(2)/2)*GH61*GK61*VLOOKUP('Données projet'!$B$17,Paramètres!$A$1:$I$89,3,0)*0.475*44/12</f>
        <v>0.84079181209463127</v>
      </c>
      <c r="GO61" s="23">
        <f t="shared" si="27"/>
        <v>27.915140041819189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21.848750000000003</v>
      </c>
      <c r="GU61" s="13">
        <f>IF('Données projet'!$A$270&gt;35,GU60+GT61-HC60,IF(A61&lt;'Données projet'!$A$270,$GR$205^A61,IF(A61='Données projet'!$A$270,'Données projet'!$B$270,GU60+GT61-HC60)))</f>
        <v>414.51250000000016</v>
      </c>
      <c r="GV61" s="18">
        <f>GU61*VLOOKUP('Données projet'!$B$18,Paramètres!$A$1:$I$89,3,0)*VLOOKUP('Données projet'!$B$18,Paramètres!$A$1:$I$89,5,0)</f>
        <v>446.18125500000019</v>
      </c>
      <c r="GW61" s="14">
        <f t="shared" si="51"/>
        <v>101.07884433519285</v>
      </c>
      <c r="GX61" s="22">
        <f t="shared" si="28"/>
        <v>953.14467300879426</v>
      </c>
      <c r="GY61" s="62">
        <f t="shared" si="29"/>
        <v>1246.4780063421276</v>
      </c>
      <c r="GZ61" s="62">
        <f ca="1">AVERAGE(OFFSET($GY$3,0,0,'Données projet'!$E$18+1,1))-AVERAGE(OFFSET($H$3,0,0,'Données projet'!$E$18+1,1))</f>
        <v>331.3579800635751</v>
      </c>
      <c r="HA61" s="62">
        <f t="shared" si="52"/>
        <v>209.40702003535273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32.19022168288484</v>
      </c>
      <c r="HH61" s="23">
        <f>EXP(-LN(2)/25)*HH60+(1-EXP(-LN(2)/25))/(LN(2)/25)*Calculateur!HC61*Calculateur!HE61*VLOOKUP('Données projet'!$B$18,Paramètres!$A$1:$I$89,3,0)*0.475*44/12</f>
        <v>3.0575146916622256</v>
      </c>
      <c r="HI61" s="23">
        <f>EXP(-LN(2)/2)*HI60+(1-EXP(-LN(2)/2))/(LN(2)/2)*HC61*HF61*VLOOKUP('Données projet'!$B$18,Paramètres!$A$1:$I$89,3,0)*0.475*44/12</f>
        <v>1.3491775589425474</v>
      </c>
      <c r="HJ61" s="24">
        <f t="shared" si="30"/>
        <v>36.596913933489617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46.772666666666659</v>
      </c>
      <c r="N62" s="14">
        <f>IF('Données projet'!$A$36&gt;35,N61+M62-V61,IF(A62&lt;'Données projet'!$A$36,$K$205^A62,IF(A62='Données projet'!$A$36,'Données projet'!$B$36,N61+M62-V61)))</f>
        <v>778.56066666666629</v>
      </c>
      <c r="O62" s="14">
        <f>N62*VLOOKUP('Données projet'!$B$9,Paramètres!$A$1:$I$89,3,0)*VLOOKUP('Données projet'!$B$9,Paramètres!$A$1:$I$89,5,0)</f>
        <v>704.4416911999997</v>
      </c>
      <c r="P62" s="14">
        <f t="shared" si="33"/>
        <v>151.3240485526606</v>
      </c>
      <c r="Q62" s="22">
        <f t="shared" si="53"/>
        <v>1490.45866340255</v>
      </c>
      <c r="R62" s="62">
        <f t="shared" si="0"/>
        <v>1783.7919967358832</v>
      </c>
      <c r="S62" s="62">
        <f ca="1">AVERAGE(OFFSET($R$3,0,0,'Données projet'!$E$9+1,1))-AVERAGE(OFFSET($H$3,0,0,'Données projet'!$E$9+1,1))</f>
        <v>2472.5049373954762</v>
      </c>
      <c r="T62" s="62">
        <f t="shared" si="34"/>
        <v>286.98388307318311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29.377498111527547</v>
      </c>
      <c r="AA62" s="23">
        <f>EXP(-LN(2)/25)*AA61+(1-EXP(-LN(2)/25))/(LN(2)/25)*Calculateur!V62*Calculateur!X62*VLOOKUP('Données projet'!$B$9,Paramètres!$A$1:$I$89,3,0)*0.475*44/12</f>
        <v>5.6698304672280448</v>
      </c>
      <c r="AB62" s="23">
        <f>EXP(-LN(2)/2)*AB61+(1-EXP(-LN(2)/2))/(LN(2)/2)*V62*Y62*VLOOKUP('Données projet'!$B$9,Paramètres!$A$1:$I$89,3,0)*0.475*44/12</f>
        <v>4.7338906925913697</v>
      </c>
      <c r="AC62" s="24">
        <f t="shared" si="3"/>
        <v>39.781219271346956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46.772666666666659</v>
      </c>
      <c r="AI62" s="14">
        <f>IF('Données projet'!$A$62&gt;35,AI61+AH62-AQ61,IF(A62&lt;'Données projet'!$A$62,$AF$205^A62,IF(A62='Données projet'!$A$62,'Données projet'!$B$62,AI61+AH62-AQ61)))</f>
        <v>778.56066666666629</v>
      </c>
      <c r="AJ62" s="14">
        <f>AI62*VLOOKUP('Données projet'!$B$10,Paramètres!$A$1:$I$89,3,0)*VLOOKUP('Données projet'!$B$10,Paramètres!$A$1:$I$89,5,0)</f>
        <v>789.46051599999964</v>
      </c>
      <c r="AK62" s="14">
        <f t="shared" si="35"/>
        <v>167.35289086542414</v>
      </c>
      <c r="AL62" s="22">
        <f t="shared" si="4"/>
        <v>1666.4500169572796</v>
      </c>
      <c r="AM62" s="62">
        <f t="shared" si="5"/>
        <v>1959.7833502906128</v>
      </c>
      <c r="AN62" s="62">
        <f ca="1">AVERAGE(OFFSET($AM$3,0,0,'Données projet'!$E$10+1,1))-AVERAGE(OFFSET($H$3,0,0,'Données projet'!$E$10+1,1))</f>
        <v>2761.1400657295467</v>
      </c>
      <c r="AO62" s="62">
        <f t="shared" si="36"/>
        <v>316.41877504316409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32.923058228436048</v>
      </c>
      <c r="AV62" s="23">
        <f>EXP(-LN(2)/25)*AV61+(1-EXP(-LN(2)/25))/(LN(2)/25)*Calculateur!AQ62*Calculateur!AS62*VLOOKUP('Données projet'!$B$10,Paramètres!$A$1:$I$89,3,0)*0.475*44/12</f>
        <v>6.354120351203842</v>
      </c>
      <c r="AW62" s="23">
        <f>EXP(-LN(2)/2)*AW61+(1-EXP(-LN(2)/2))/(LN(2)/2)*AQ62*AT62*VLOOKUP('Données projet'!$B$10,Paramètres!$A$1:$I$89,3,0)*0.475*44/12</f>
        <v>5.3052223279041213</v>
      </c>
      <c r="AX62" s="23">
        <f t="shared" si="6"/>
        <v>44.582400907544006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46.772666666666659</v>
      </c>
      <c r="BD62" s="13">
        <f>IF('Données projet'!$A$88&gt;35,BD61+BC62-BL61,IF(A62&lt;'Données projet'!$A$88,$BA$205^A62,IF(A62='Données projet'!$A$88,'Données projet'!$B$88,BD61+BC62-BL61)))</f>
        <v>778.56066666666629</v>
      </c>
      <c r="BE62" s="14">
        <f>BD62*VLOOKUP('Données projet'!$B$11,Paramètres!$A$1:$I$89,3,0)*VLOOKUP('Données projet'!$B$11,Paramètres!$A$1:$I$89,5,0)</f>
        <v>813.75160879999976</v>
      </c>
      <c r="BF62" s="14">
        <f t="shared" si="37"/>
        <v>171.8947736835992</v>
      </c>
      <c r="BG62" s="22">
        <f t="shared" si="7"/>
        <v>1716.6674494922681</v>
      </c>
      <c r="BH62" s="62">
        <f t="shared" si="8"/>
        <v>2010.0007828256014</v>
      </c>
      <c r="BI62" s="62">
        <f ca="1">AVERAGE(OFFSET($BH$3,0,0,'Données projet'!$E$11+1,1))-AVERAGE(OFFSET($H$3,0,0,'Données projet'!$E$11+1,1))</f>
        <v>2843.5086223152098</v>
      </c>
      <c r="BJ62" s="62">
        <f t="shared" si="38"/>
        <v>324.81562437645522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33.936075404695622</v>
      </c>
      <c r="BQ62" s="23">
        <f>EXP(-LN(2)/25)*BQ61+(1-EXP(-LN(2)/25))/(LN(2)/25)*Calculateur!BL62*Calculateur!BN62*VLOOKUP('Données projet'!$B$11,Paramètres!$A$1:$I$89,3,0)*0.475*44/12</f>
        <v>6.549631746625499</v>
      </c>
      <c r="BR62" s="23">
        <f>EXP(-LN(2)/2)*BR61+(1-EXP(-LN(2)/2))/(LN(2)/2)*BL62*BO62*VLOOKUP('Données projet'!$B$11,Paramètres!$A$1:$I$89,3,0)*0.475*44/12</f>
        <v>5.4684599379934786</v>
      </c>
      <c r="BS62" s="24">
        <f t="shared" si="9"/>
        <v>45.954167089314602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46.772666666666659</v>
      </c>
      <c r="BY62" s="13">
        <f>IF('Données projet'!$A$114&gt;35,BY61+BX62-CG61,IF(A62&lt;'Données projet'!$A$114,$BV$205^A62,IF(A62='Données projet'!$A$114,'Données projet'!$B$114,BY61+BX62-CG61)))</f>
        <v>778.56066666666629</v>
      </c>
      <c r="BZ62" s="14">
        <f>BY62*VLOOKUP('Données projet'!$B$12,Paramètres!$A$1:$I$89,3,0)*VLOOKUP('Données projet'!$B$12,Paramètres!$A$1:$I$89,5,0)</f>
        <v>777.31496959999959</v>
      </c>
      <c r="CA62" s="14">
        <f t="shared" si="39"/>
        <v>165.07587268317286</v>
      </c>
      <c r="CB62" s="22">
        <f t="shared" si="10"/>
        <v>1641.3307169765251</v>
      </c>
      <c r="CC62" s="62">
        <f t="shared" si="11"/>
        <v>1934.6640503098583</v>
      </c>
      <c r="CD62" s="62">
        <f ca="1">AVERAGE(OFFSET($CC$3,0,0,'Données projet'!$E$12+1,1))-AVERAGE(OFFSET($H$3,0,0,'Données projet'!$E$12+1,1))</f>
        <v>2719.939926994799</v>
      </c>
      <c r="CE62" s="62">
        <f t="shared" si="40"/>
        <v>312.21824046329749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32.416549640306265</v>
      </c>
      <c r="CL62" s="23">
        <f>EXP(-LN(2)/25)*CL61+(1-EXP(-LN(2)/25))/(LN(2)/25)*Calculateur!CG62*Calculateur!CI62*VLOOKUP('Données projet'!$B$12,Paramètres!$A$1:$I$89,3,0)*0.475*44/12</f>
        <v>6.2563646534930157</v>
      </c>
      <c r="CM62" s="23">
        <f>EXP(-LN(2)/2)*CM61+(1-EXP(-LN(2)/2))/(LN(2)/2)*CG62*CJ62*VLOOKUP('Données projet'!$B$12,Paramètres!$A$1:$I$89,3,0)*0.475*44/12</f>
        <v>5.2236035228594426</v>
      </c>
      <c r="CN62" s="24">
        <f t="shared" si="12"/>
        <v>43.896517816658722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51.041333333333327</v>
      </c>
      <c r="CT62" s="13">
        <f>IF('Données projet'!$A$140&gt;35,CT61+CS62-DB61,IF(A62&lt;'Données projet'!$A$140,$CQ$205^A62,IF(A62='Données projet'!$A$140,'Données projet'!$B$140,CT61+CS62-DB61)))</f>
        <v>873.66533333333359</v>
      </c>
      <c r="CU62" s="18">
        <f>CT62*VLOOKUP('Données projet'!$B$13,Paramètres!$A$1:$I$89,3,0)*VLOOKUP('Données projet'!$B$13,Paramètres!$A$1:$I$89,5,0)</f>
        <v>763.23403520000033</v>
      </c>
      <c r="CV62" s="14">
        <f t="shared" si="41"/>
        <v>162.43081897822756</v>
      </c>
      <c r="CW62" s="22">
        <f t="shared" si="13"/>
        <v>1612.1996210270802</v>
      </c>
      <c r="CX62" s="62">
        <f t="shared" si="14"/>
        <v>1905.5329543604134</v>
      </c>
      <c r="CY62" s="62">
        <f ca="1">AVERAGE(OFFSET($CX$3,0,0,'Données projet'!$E$13+1,1))-AVERAGE(OFFSET($H$3,0,0,'Données projet'!$E$13+1,1))</f>
        <v>1036.0130072090849</v>
      </c>
      <c r="CZ62" s="62">
        <f t="shared" si="42"/>
        <v>346.56593355696174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32.106896726483775</v>
      </c>
      <c r="DG62" s="23">
        <f>EXP(-LN(2)/25)*DG61+(1-EXP(-LN(2)/25))/(LN(2)/25)*Calculateur!DB62*Calculateur!DD62*VLOOKUP('Données projet'!$B$13,Paramètres!$A$1:$I$89,3,0)*0.475*44/12</f>
        <v>6.1966019222219062</v>
      </c>
      <c r="DH62" s="23">
        <f>EXP(-LN(2)/2)*DH61+(1-EXP(-LN(2)/2))/(LN(2)/2)*DB62*DE62*VLOOKUP('Données projet'!$B$13,Paramètres!$A$1:$I$89,3,0)*0.475*44/12</f>
        <v>5.1737060455074504</v>
      </c>
      <c r="DI62" s="24">
        <f t="shared" si="15"/>
        <v>43.477204694213135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16.225000000000009</v>
      </c>
      <c r="DO62" s="13">
        <f>IF('Données projet'!$A$166&gt;35,DO61+DN62-DW61,IF(A62&lt;'Données projet'!$A$166,$DL$205^A62,IF(A62='Données projet'!$A$166,'Données projet'!$B$166,DO61+DN62-DW61)))</f>
        <v>681.41500000000065</v>
      </c>
      <c r="DP62" s="18">
        <f>DO62*VLOOKUP('Données projet'!$B$14,Paramètres!$A$1:$I$89,3,0)*VLOOKUP('Données projet'!$B$14,Paramètres!$A$1:$I$89,5,0)</f>
        <v>380.91098500000038</v>
      </c>
      <c r="DQ62" s="14">
        <f t="shared" si="43"/>
        <v>87.895715771783628</v>
      </c>
      <c r="DR62" s="22">
        <f t="shared" si="16"/>
        <v>816.50500384419036</v>
      </c>
      <c r="DS62" s="62">
        <f t="shared" si="17"/>
        <v>1109.8383371775237</v>
      </c>
      <c r="DT62" s="62">
        <f ca="1">AVERAGE(OFFSET($DS$3,0,0,'Données projet'!$E$14+1,1))-AVERAGE(OFFSET($H$3,0,0,'Données projet'!$E$14+1,1))</f>
        <v>446.48069057792151</v>
      </c>
      <c r="DU62" s="62">
        <f t="shared" si="44"/>
        <v>561.75656782935948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43.24171466283078</v>
      </c>
      <c r="EB62" s="23">
        <f>EXP(-LN(2)/25)*EB61+(1-EXP(-LN(2)/25))/(LN(2)/25)*Calculateur!DW62*Calculateur!DY62*VLOOKUP('Données projet'!$B$14,Paramètres!$A$1:$I$89,3,0)*0.475*44/12</f>
        <v>25.036493034383728</v>
      </c>
      <c r="EC62" s="23">
        <f>EXP(-LN(2)/2)*EC61+(1-EXP(-LN(2)/2))/(LN(2)/2)*DW62*DZ62*VLOOKUP('Données projet'!$B$14,Paramètres!$A$1:$I$89,3,0)*0.475*44/12</f>
        <v>2.4331945078711477</v>
      </c>
      <c r="ED62" s="24">
        <f t="shared" si="18"/>
        <v>70.711402205085662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21.848750000000003</v>
      </c>
      <c r="EJ62" s="13">
        <f>IF('Données projet'!$A$192&gt;35,EJ61+EI62-ER61,IF(A62&lt;'Données projet'!$A$192,$EG$205^A62,IF(A62='Données projet'!$A$192,'Données projet'!$B$192,EJ61+EI62-ER61)))</f>
        <v>436.36125000000015</v>
      </c>
      <c r="EK62" s="18">
        <f>EJ62*VLOOKUP('Données projet'!$B$15,Paramètres!$A$1:$I$89,3,0)*VLOOKUP('Données projet'!$B$15,Paramètres!$A$1:$I$89,5,0)</f>
        <v>422.04860100000019</v>
      </c>
      <c r="EL62" s="14">
        <f t="shared" si="45"/>
        <v>96.232626433244846</v>
      </c>
      <c r="EM62" s="22">
        <f t="shared" si="19"/>
        <v>902.67313777956826</v>
      </c>
      <c r="EN62" s="62">
        <f t="shared" si="20"/>
        <v>1196.0064711129016</v>
      </c>
      <c r="EO62" s="62">
        <f ca="1">AVERAGE(OFFSET($EN$3,0,0,'Données projet'!$E$15+1,1))-AVERAGE(OFFSET($H$3,0,0,'Données projet'!$E$15+1,1))</f>
        <v>301.18531163828169</v>
      </c>
      <c r="EP62" s="62">
        <f t="shared" si="46"/>
        <v>192.30530273268101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28.357354294584916</v>
      </c>
      <c r="EW62" s="23">
        <f>EXP(-LN(2)/25)*EW61+(1-EXP(-LN(2)/25))/(LN(2)/25)*Calculateur!ER62*Calculateur!ET62*VLOOKUP('Données projet'!$B$15,Paramètres!$A$1:$I$89,3,0)*0.475*44/12</f>
        <v>2.6722061026249677</v>
      </c>
      <c r="EX62" s="23">
        <f>EXP(-LN(2)/2)*EX61+(1-EXP(-LN(2)/2))/(LN(2)/2)*ER62*EU62*VLOOKUP('Données projet'!$B$15,Paramètres!$A$1:$I$89,3,0)*0.475*44/12</f>
        <v>0.85722871389978683</v>
      </c>
      <c r="EY62" s="24">
        <f t="shared" si="21"/>
        <v>31.886789111109671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21.848750000000003</v>
      </c>
      <c r="FE62" s="13">
        <f>IF('Données projet'!$A$218&gt;35,FE61+FD62-FM61,IF(A62&lt;'Données projet'!$A$218,$FB$205^A62,IF(A62='Données projet'!$A$218,'Données projet'!$B$218,FE61+FD62-FM61)))</f>
        <v>436.36125000000015</v>
      </c>
      <c r="FF62" s="18">
        <f>FE62*VLOOKUP('Données projet'!$B$16,Paramètres!$A$1:$I$89,3,0)*VLOOKUP('Données projet'!$B$16,Paramètres!$A$1:$I$89,5,0)</f>
        <v>340.36177500000014</v>
      </c>
      <c r="FG62" s="14">
        <f t="shared" si="47"/>
        <v>79.574686800389259</v>
      </c>
      <c r="FH62" s="22">
        <f t="shared" si="22"/>
        <v>731.3893376356782</v>
      </c>
      <c r="FI62" s="62">
        <f t="shared" si="23"/>
        <v>1024.7226709690115</v>
      </c>
      <c r="FJ62" s="62">
        <f ca="1">AVERAGE(OFFSET($FI$3,0,0,'Données projet'!$E$16+1,1))-AVERAGE(OFFSET($H$3,0,0,'Données projet'!$E$16+1,1))</f>
        <v>249.2899297828755</v>
      </c>
      <c r="FK62" s="62">
        <f t="shared" si="48"/>
        <v>162.88011837476813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22.868834108536223</v>
      </c>
      <c r="FR62" s="23">
        <f>EXP(-LN(2)/25)*FR61+(1-EXP(-LN(2)/25))/(LN(2)/25)*Calculateur!FM62*Calculateur!FO62*VLOOKUP('Données projet'!$B$16,Paramètres!$A$1:$I$89,3,0)*0.475*44/12</f>
        <v>2.1550049214717473</v>
      </c>
      <c r="FS62" s="23">
        <f>EXP(-LN(2)/2)*FS61+(1-EXP(-LN(2)/2))/(LN(2)/2)*FM62*FP62*VLOOKUP('Données projet'!$B$16,Paramètres!$A$1:$I$89,3,0)*0.475*44/12</f>
        <v>0.69131347895144091</v>
      </c>
      <c r="FT62" s="24">
        <f t="shared" si="24"/>
        <v>25.71515250895941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21.848750000000003</v>
      </c>
      <c r="FZ62" s="13">
        <f>IF('Données projet'!$A$244&gt;35,FZ61+FY62-GH61,IF(A62&lt;'Données projet'!$A$244,$FW$205^A62,IF(A62='Données projet'!$A$244,'Données projet'!$B$244,FZ61+FY62-GH61)))</f>
        <v>436.36125000000015</v>
      </c>
      <c r="GA62" s="18">
        <f>FZ62*VLOOKUP('Données projet'!$B$17,Paramètres!$A$1:$I$89,3,0)*VLOOKUP('Données projet'!$B$17,Paramètres!$A$1:$I$89,5,0)</f>
        <v>292.71112650000015</v>
      </c>
      <c r="GB62" s="14">
        <f t="shared" si="49"/>
        <v>69.646255135831595</v>
      </c>
      <c r="GC62" s="22">
        <f t="shared" si="25"/>
        <v>631.10577301574028</v>
      </c>
      <c r="GD62" s="62">
        <f t="shared" si="26"/>
        <v>924.43910634907365</v>
      </c>
      <c r="GE62" s="62">
        <f ca="1">AVERAGE(OFFSET($GD$3,0,0,'Données projet'!$E$17+1,1))-AVERAGE(OFFSET($H$3,0,0,'Données projet'!$E$17+1,1))</f>
        <v>218.89895999738746</v>
      </c>
      <c r="GF62" s="62">
        <f t="shared" si="50"/>
        <v>145.64042897395763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24.240964155048399</v>
      </c>
      <c r="GM62" s="23">
        <f>EXP(-LN(2)/25)*GM61+(1-EXP(-LN(2)/25))/(LN(2)/25)*Calculateur!GH62*Calculateur!GJ62*VLOOKUP('Données projet'!$B$17,Paramètres!$A$1:$I$89,3,0)*0.475*44/12</f>
        <v>2.2843052167600528</v>
      </c>
      <c r="GN62" s="23">
        <f>EXP(-LN(2)/2)*GN61+(1-EXP(-LN(2)/2))/(LN(2)/2)*GH62*GK62*VLOOKUP('Données projet'!$B$17,Paramètres!$A$1:$I$89,3,0)*0.475*44/12</f>
        <v>0.59452959189823928</v>
      </c>
      <c r="GO62" s="23">
        <f t="shared" si="27"/>
        <v>27.119798963706693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21.848750000000003</v>
      </c>
      <c r="GU62" s="13">
        <f>IF('Données projet'!$A$270&gt;35,GU61+GT62-HC61,IF(A62&lt;'Données projet'!$A$270,$GR$205^A62,IF(A62='Données projet'!$A$270,'Données projet'!$B$270,GU61+GT62-HC61)))</f>
        <v>436.36125000000015</v>
      </c>
      <c r="GV62" s="18">
        <f>GU62*VLOOKUP('Données projet'!$B$18,Paramètres!$A$1:$I$89,3,0)*VLOOKUP('Données projet'!$B$18,Paramètres!$A$1:$I$89,5,0)</f>
        <v>469.69924950000012</v>
      </c>
      <c r="GW62" s="14">
        <f t="shared" si="51"/>
        <v>105.77233667355569</v>
      </c>
      <c r="GX62" s="22">
        <f t="shared" si="28"/>
        <v>1002.2796792522764</v>
      </c>
      <c r="GY62" s="62">
        <f t="shared" si="29"/>
        <v>1295.6130125856098</v>
      </c>
      <c r="GZ62" s="62">
        <f ca="1">AVERAGE(OFFSET($GY$3,0,0,'Données projet'!$E$18+1,1))-AVERAGE(OFFSET($H$3,0,0,'Données projet'!$E$18+1,1))</f>
        <v>331.3579800635751</v>
      </c>
      <c r="HA62" s="62">
        <f t="shared" si="52"/>
        <v>209.40702003535273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31.558991069779989</v>
      </c>
      <c r="HH62" s="23">
        <f>EXP(-LN(2)/25)*HH61+(1-EXP(-LN(2)/25))/(LN(2)/25)*Calculateur!HC62*Calculateur!HE62*VLOOKUP('Données projet'!$B$18,Paramètres!$A$1:$I$89,3,0)*0.475*44/12</f>
        <v>2.9739067916310122</v>
      </c>
      <c r="HI62" s="23">
        <f>EXP(-LN(2)/2)*HI61+(1-EXP(-LN(2)/2))/(LN(2)/2)*HC62*HF62*VLOOKUP('Données projet'!$B$18,Paramètres!$A$1:$I$89,3,0)*0.475*44/12</f>
        <v>0.95401260095298823</v>
      </c>
      <c r="HJ62" s="24">
        <f t="shared" si="30"/>
        <v>35.486910462363987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46.772666666666659</v>
      </c>
      <c r="N63" s="14">
        <f>IF('Données projet'!$A$36&gt;35,N62+M63-V62,IF(A63&lt;'Données projet'!$A$36,$K$205^A63,IF(A63='Données projet'!$A$36,'Données projet'!$B$36,N62+M63-V62)))</f>
        <v>825.33333333333292</v>
      </c>
      <c r="O63" s="14">
        <f>N63*VLOOKUP('Données projet'!$B$9,Paramètres!$A$1:$I$89,3,0)*VLOOKUP('Données projet'!$B$9,Paramètres!$A$1:$I$89,5,0)</f>
        <v>746.76159999999959</v>
      </c>
      <c r="P63" s="14">
        <f t="shared" si="33"/>
        <v>159.3293044474288</v>
      </c>
      <c r="Q63" s="22">
        <f t="shared" si="53"/>
        <v>1578.1083252459375</v>
      </c>
      <c r="R63" s="62">
        <f t="shared" si="0"/>
        <v>1871.4416585792708</v>
      </c>
      <c r="S63" s="62">
        <f ca="1">AVERAGE(OFFSET($R$3,0,0,'Données projet'!$E$9+1,1))-AVERAGE(OFFSET($H$3,0,0,'Données projet'!$E$9+1,1))</f>
        <v>2472.5049373954762</v>
      </c>
      <c r="T63" s="62">
        <f t="shared" si="34"/>
        <v>286.98388307318311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28.801423292065035</v>
      </c>
      <c r="AA63" s="23">
        <f>EXP(-LN(2)/25)*AA62+(1-EXP(-LN(2)/25))/(LN(2)/25)*Calculateur!V63*Calculateur!X63*VLOOKUP('Données projet'!$B$9,Paramètres!$A$1:$I$89,3,0)*0.475*44/12</f>
        <v>5.5147886549382683</v>
      </c>
      <c r="AB63" s="23">
        <f>EXP(-LN(2)/2)*AB62+(1-EXP(-LN(2)/2))/(LN(2)/2)*V63*Y63*VLOOKUP('Données projet'!$B$9,Paramètres!$A$1:$I$89,3,0)*0.475*44/12</f>
        <v>3.3473662101272397</v>
      </c>
      <c r="AC63" s="24">
        <f t="shared" si="3"/>
        <v>37.663578157130544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46.772666666666659</v>
      </c>
      <c r="AI63" s="14">
        <f>IF('Données projet'!$A$62&gt;35,AI62+AH63-AQ62,IF(A63&lt;'Données projet'!$A$62,$AF$205^A63,IF(A63='Données projet'!$A$62,'Données projet'!$B$62,AI62+AH63-AQ62)))</f>
        <v>825.33333333333292</v>
      </c>
      <c r="AJ63" s="14">
        <f>AI63*VLOOKUP('Données projet'!$B$10,Paramètres!$A$1:$I$89,3,0)*VLOOKUP('Données projet'!$B$10,Paramètres!$A$1:$I$89,5,0)</f>
        <v>836.88799999999969</v>
      </c>
      <c r="AK63" s="14">
        <f t="shared" si="35"/>
        <v>176.20609515727685</v>
      </c>
      <c r="AL63" s="22">
        <f t="shared" si="4"/>
        <v>1764.4722157322567</v>
      </c>
      <c r="AM63" s="62">
        <f t="shared" si="5"/>
        <v>2057.8055490655902</v>
      </c>
      <c r="AN63" s="62">
        <f ca="1">AVERAGE(OFFSET($AM$3,0,0,'Données projet'!$E$10+1,1))-AVERAGE(OFFSET($H$3,0,0,'Données projet'!$E$10+1,1))</f>
        <v>2761.1400657295467</v>
      </c>
      <c r="AO63" s="62">
        <f t="shared" si="36"/>
        <v>316.41877504316409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32.277457137659091</v>
      </c>
      <c r="AV63" s="23">
        <f>EXP(-LN(2)/25)*AV62+(1-EXP(-LN(2)/25))/(LN(2)/25)*Calculateur!AQ63*Calculateur!AS63*VLOOKUP('Données projet'!$B$10,Paramètres!$A$1:$I$89,3,0)*0.475*44/12</f>
        <v>6.1803665960515062</v>
      </c>
      <c r="AW63" s="23">
        <f>EXP(-LN(2)/2)*AW62+(1-EXP(-LN(2)/2))/(LN(2)/2)*AQ63*AT63*VLOOKUP('Données projet'!$B$10,Paramètres!$A$1:$I$89,3,0)*0.475*44/12</f>
        <v>3.7513586837632862</v>
      </c>
      <c r="AX63" s="23">
        <f t="shared" si="6"/>
        <v>42.209182417473883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46.772666666666659</v>
      </c>
      <c r="BD63" s="13">
        <f>IF('Données projet'!$A$88&gt;35,BD62+BC63-BL62,IF(A63&lt;'Données projet'!$A$88,$BA$205^A63,IF(A63='Données projet'!$A$88,'Données projet'!$B$88,BD62+BC63-BL62)))</f>
        <v>825.33333333333292</v>
      </c>
      <c r="BE63" s="14">
        <f>BD63*VLOOKUP('Données projet'!$B$11,Paramètres!$A$1:$I$89,3,0)*VLOOKUP('Données projet'!$B$11,Paramètres!$A$1:$I$89,5,0)</f>
        <v>862.63839999999971</v>
      </c>
      <c r="BF63" s="14">
        <f t="shared" si="37"/>
        <v>180.98824999137597</v>
      </c>
      <c r="BG63" s="22">
        <f t="shared" si="7"/>
        <v>1817.6497487349791</v>
      </c>
      <c r="BH63" s="62">
        <f t="shared" si="8"/>
        <v>2110.9830820683123</v>
      </c>
      <c r="BI63" s="62">
        <f ca="1">AVERAGE(OFFSET($BH$3,0,0,'Données projet'!$E$11+1,1))-AVERAGE(OFFSET($H$3,0,0,'Données projet'!$E$11+1,1))</f>
        <v>2843.5086223152098</v>
      </c>
      <c r="BJ63" s="62">
        <f t="shared" si="38"/>
        <v>324.81562437645522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33.270609664971687</v>
      </c>
      <c r="BQ63" s="23">
        <f>EXP(-LN(2)/25)*BQ62+(1-EXP(-LN(2)/25))/(LN(2)/25)*Calculateur!BL63*Calculateur!BN63*VLOOKUP('Données projet'!$B$11,Paramètres!$A$1:$I$89,3,0)*0.475*44/12</f>
        <v>6.3705317220838609</v>
      </c>
      <c r="BR63" s="23">
        <f>EXP(-LN(2)/2)*BR62+(1-EXP(-LN(2)/2))/(LN(2)/2)*BL63*BO63*VLOOKUP('Données projet'!$B$11,Paramètres!$A$1:$I$89,3,0)*0.475*44/12</f>
        <v>3.866785104802156</v>
      </c>
      <c r="BS63" s="24">
        <f t="shared" si="9"/>
        <v>43.507926491857702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46.772666666666659</v>
      </c>
      <c r="BY63" s="13">
        <f>IF('Données projet'!$A$114&gt;35,BY62+BX63-CG62,IF(A63&lt;'Données projet'!$A$114,$BV$205^A63,IF(A63='Données projet'!$A$114,'Données projet'!$B$114,BY62+BX63-CG62)))</f>
        <v>825.33333333333292</v>
      </c>
      <c r="BZ63" s="14">
        <f>BY63*VLOOKUP('Données projet'!$B$12,Paramètres!$A$1:$I$89,3,0)*VLOOKUP('Données projet'!$B$12,Paramètres!$A$1:$I$89,5,0)</f>
        <v>824.01279999999952</v>
      </c>
      <c r="CA63" s="14">
        <f t="shared" si="39"/>
        <v>173.80861949718044</v>
      </c>
      <c r="CB63" s="22">
        <f t="shared" si="10"/>
        <v>1737.872305624255</v>
      </c>
      <c r="CC63" s="62">
        <f t="shared" si="11"/>
        <v>2031.2056389575882</v>
      </c>
      <c r="CD63" s="62">
        <f ca="1">AVERAGE(OFFSET($CC$3,0,0,'Données projet'!$E$12+1,1))-AVERAGE(OFFSET($H$3,0,0,'Données projet'!$E$12+1,1))</f>
        <v>2719.939926994799</v>
      </c>
      <c r="CE63" s="62">
        <f t="shared" si="40"/>
        <v>312.21824046329749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31.780880874002804</v>
      </c>
      <c r="CL63" s="23">
        <f>EXP(-LN(2)/25)*CL62+(1-EXP(-LN(2)/25))/(LN(2)/25)*Calculateur!CG63*Calculateur!CI63*VLOOKUP('Données projet'!$B$12,Paramètres!$A$1:$I$89,3,0)*0.475*44/12</f>
        <v>6.0852840330353315</v>
      </c>
      <c r="CM63" s="23">
        <f>EXP(-LN(2)/2)*CM62+(1-EXP(-LN(2)/2))/(LN(2)/2)*CG63*CJ63*VLOOKUP('Données projet'!$B$12,Paramètres!$A$1:$I$89,3,0)*0.475*44/12</f>
        <v>3.6936454732438508</v>
      </c>
      <c r="CN63" s="24">
        <f t="shared" si="12"/>
        <v>41.559810380281981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51.041333333333327</v>
      </c>
      <c r="CT63" s="13">
        <f>IF('Données projet'!$A$140&gt;35,CT62+CS63-DB62,IF(A63&lt;'Données projet'!$A$140,$CQ$205^A63,IF(A63='Données projet'!$A$140,'Données projet'!$B$140,CT62+CS63-DB62)))</f>
        <v>924.70666666666693</v>
      </c>
      <c r="CU63" s="18">
        <f>CT63*VLOOKUP('Données projet'!$B$13,Paramètres!$A$1:$I$89,3,0)*VLOOKUP('Données projet'!$B$13,Paramètres!$A$1:$I$89,5,0)</f>
        <v>807.82374400000037</v>
      </c>
      <c r="CV63" s="14">
        <f t="shared" si="41"/>
        <v>170.78787111131771</v>
      </c>
      <c r="CW63" s="22">
        <f t="shared" si="13"/>
        <v>1704.4152296522122</v>
      </c>
      <c r="CX63" s="62">
        <f t="shared" si="14"/>
        <v>1997.7485629855455</v>
      </c>
      <c r="CY63" s="62">
        <f ca="1">AVERAGE(OFFSET($CX$3,0,0,'Données projet'!$E$13+1,1))-AVERAGE(OFFSET($H$3,0,0,'Données projet'!$E$13+1,1))</f>
        <v>1036.0130072090849</v>
      </c>
      <c r="CZ63" s="62">
        <f t="shared" si="42"/>
        <v>346.56593355696174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31.477300064950743</v>
      </c>
      <c r="DG63" s="23">
        <f>EXP(-LN(2)/25)*DG62+(1-EXP(-LN(2)/25))/(LN(2)/25)*Calculateur!DB63*Calculateur!DD63*VLOOKUP('Données projet'!$B$13,Paramètres!$A$1:$I$89,3,0)*0.475*44/12</f>
        <v>6.0271555167936155</v>
      </c>
      <c r="DH63" s="23">
        <f>EXP(-LN(2)/2)*DH62+(1-EXP(-LN(2)/2))/(LN(2)/2)*DB63*DE63*VLOOKUP('Données projet'!$B$13,Paramètres!$A$1:$I$89,3,0)*0.475*44/12</f>
        <v>3.6583626286441548</v>
      </c>
      <c r="DI63" s="24">
        <f t="shared" si="15"/>
        <v>41.162818210388515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697.64</v>
      </c>
      <c r="DM63" s="13">
        <f>VLOOKUP(A63,'Données projet'!$A$165:$I$185,9,0)</f>
        <v>16.225000000000009</v>
      </c>
      <c r="DN63" s="13">
        <f t="array" ref="DN63">INDEX(DM:DM,MIN(IF(ISNUMBER(DM63:DM259),ROW(DM63:DM259),"")))</f>
        <v>16.225000000000009</v>
      </c>
      <c r="DO63" s="13">
        <f>IF('Données projet'!$A$166&gt;35,DO62+DN63-DW62,IF(A63&lt;'Données projet'!$A$166,$DL$205^A63,IF(A63='Données projet'!$A$166,'Données projet'!$B$166,DO62+DN63-DW62)))</f>
        <v>697.64000000000067</v>
      </c>
      <c r="DP63" s="18">
        <f>DO63*VLOOKUP('Données projet'!$B$14,Paramètres!$A$1:$I$89,3,0)*VLOOKUP('Données projet'!$B$14,Paramètres!$A$1:$I$89,5,0)</f>
        <v>389.98076000000043</v>
      </c>
      <c r="DQ63" s="14">
        <f t="shared" si="43"/>
        <v>89.742428947668486</v>
      </c>
      <c r="DR63" s="22">
        <f t="shared" si="16"/>
        <v>835.51788741719008</v>
      </c>
      <c r="DS63" s="62">
        <f t="shared" si="17"/>
        <v>1128.8512207505235</v>
      </c>
      <c r="DT63" s="62">
        <f ca="1">AVERAGE(OFFSET($DS$3,0,0,'Données projet'!$E$14+1,1))-AVERAGE(OFFSET($H$3,0,0,'Données projet'!$E$14+1,1))</f>
        <v>446.48069057792151</v>
      </c>
      <c r="DU63" s="62">
        <f t="shared" si="44"/>
        <v>561.75656782935948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697.64</v>
      </c>
      <c r="DX63" s="17">
        <f>IF(ISNA(VLOOKUP(A63,'Données projet'!$A$165:$I$185,5,0)),0%,VLOOKUP(A63,'Données projet'!$A$165:$I$185,5,0)*VLOOKUP('Données projet'!$B$14,Paramètres!$A$1:$I$89,7,0))</f>
        <v>0.27500000000000002</v>
      </c>
      <c r="DY63" s="17">
        <f>IF(ISNA(VLOOKUP(A63,'Données projet'!$A$165:$I$185,6,0)),0%,VLOOKUP(A63,'Données projet'!$A$165:$I$185,6,0)*VLOOKUP('Données projet'!$B$14,Paramètres!$A$1:$I$89,7,0))</f>
        <v>0.11000000000000001</v>
      </c>
      <c r="DZ63" s="17">
        <f>IF(ISNA(VLOOKUP(A63,'Données projet'!$A$165:$I$185,7,0)),0%,VLOOKUP(A63,'Données projet'!$A$165:$I$185,7,0))</f>
        <v>0.3</v>
      </c>
      <c r="EA63" s="23">
        <f>EXP(-LN(2)/35)*EA62+(1-EXP(-LN(2)/35))/(LN(2)/35)*DW63*DX63*VLOOKUP('Données projet'!$B$14,Paramètres!$A$1:$I$89,3,0)*0.475*44/12</f>
        <v>184.66079000649128</v>
      </c>
      <c r="EB63" s="23">
        <f>EXP(-LN(2)/25)*EB62+(1-EXP(-LN(2)/25))/(LN(2)/25)*Calculateur!DW63*Calculateur!DY63*VLOOKUP('Données projet'!$B$14,Paramètres!$A$1:$I$89,3,0)*0.475*44/12</f>
        <v>81.034612628384977</v>
      </c>
      <c r="EC63" s="23">
        <f>EXP(-LN(2)/2)*EC62+(1-EXP(-LN(2)/2))/(LN(2)/2)*DW63*DZ63*VLOOKUP('Données projet'!$B$14,Paramètres!$A$1:$I$89,3,0)*0.475*44/12</f>
        <v>134.1851719022367</v>
      </c>
      <c r="ED63" s="24">
        <f t="shared" si="18"/>
        <v>399.88057453711292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458.21</v>
      </c>
      <c r="EH63" s="13">
        <f>VLOOKUP(A63,'Données projet'!$A$191:$I$211,9,0)</f>
        <v>21.848750000000003</v>
      </c>
      <c r="EI63" s="13">
        <f t="array" ref="EI63">INDEX(EH:EH,MIN(IF(ISNUMBER(EH63:EH259),ROW(EH63:EH259),"")))</f>
        <v>21.848750000000003</v>
      </c>
      <c r="EJ63" s="13">
        <f>IF('Données projet'!$A$192&gt;35,EJ62+EI63-ER62,IF(A63&lt;'Données projet'!$A$192,$EG$205^A63,IF(A63='Données projet'!$A$192,'Données projet'!$B$192,EJ62+EI63-ER62)))</f>
        <v>458.21000000000015</v>
      </c>
      <c r="EK63" s="18">
        <f>EJ63*VLOOKUP('Données projet'!$B$15,Paramètres!$A$1:$I$89,3,0)*VLOOKUP('Données projet'!$B$15,Paramètres!$A$1:$I$89,5,0)</f>
        <v>443.18071200000014</v>
      </c>
      <c r="EL63" s="14">
        <f t="shared" si="45"/>
        <v>100.47798213745315</v>
      </c>
      <c r="EM63" s="22">
        <f t="shared" si="19"/>
        <v>946.87222562273098</v>
      </c>
      <c r="EN63" s="62">
        <f t="shared" si="20"/>
        <v>1240.2055589560644</v>
      </c>
      <c r="EO63" s="62">
        <f ca="1">AVERAGE(OFFSET($EN$3,0,0,'Données projet'!$E$15+1,1))-AVERAGE(OFFSET($H$3,0,0,'Données projet'!$E$15+1,1))</f>
        <v>301.18531163828169</v>
      </c>
      <c r="EP63" s="62">
        <f t="shared" si="46"/>
        <v>192.30530273268101</v>
      </c>
      <c r="EQ63" s="16">
        <f>IF(ISNA(VLOOKUP(A63,'Données projet'!$A$191:$I$211,3,0)),0,VLOOKUP(A63,'Données projet'!$A$191:$I$211,3,0))</f>
        <v>4</v>
      </c>
      <c r="ER63" s="16">
        <f>IF(ISNA(VLOOKUP(A63,'Données projet'!$A$191:$I$211,4,0)),0,VLOOKUP(A63,'Données projet'!$A$191:$I$211,4,0))</f>
        <v>458.21</v>
      </c>
      <c r="ES63" s="17">
        <f>IF(ISNA(VLOOKUP(A63,'Données projet'!$A$191:$I$211,5,0)),0%,VLOOKUP(A63,'Données projet'!$A$191:$I$211,5,0)*VLOOKUP('Données projet'!$B$15,Paramètres!$A$1:$I$89,7,0))</f>
        <v>0.43</v>
      </c>
      <c r="ET63" s="17">
        <f>IF(ISNA(VLOOKUP(A63,'Données projet'!$A$191:$I$211,6,0)),0%,VLOOKUP(A63,'Données projet'!$A$191:$I$211,6,0)*VLOOKUP('Données projet'!$B$15,Paramètres!$A$1:$I$89,7,0))</f>
        <v>4.3000000000000003E-2</v>
      </c>
      <c r="EU63" s="17">
        <f>IF(ISNA(VLOOKUP(A63,'Données projet'!$A$191:$I$211,7,0)),0%,VLOOKUP(A63,'Données projet'!$A$191:$I$211,7,0))</f>
        <v>0.15</v>
      </c>
      <c r="EV63" s="23">
        <f>EXP(-LN(2)/35)*EV62+(1-EXP(-LN(2)/35))/(LN(2)/35)*ER63*ES63*VLOOKUP('Données projet'!$B$15,Paramètres!$A$1:$I$89,3,0)*0.475*44/12</f>
        <v>238.46823832856526</v>
      </c>
      <c r="EW63" s="23">
        <f>EXP(-LN(2)/25)*EW62+(1-EXP(-LN(2)/25))/(LN(2)/25)*Calculateur!ER63*Calculateur!ET63*VLOOKUP('Données projet'!$B$15,Paramètres!$A$1:$I$89,3,0)*0.475*44/12</f>
        <v>23.582882324755996</v>
      </c>
      <c r="EX63" s="23">
        <f>EXP(-LN(2)/2)*EX62+(1-EXP(-LN(2)/2))/(LN(2)/2)*ER63*EU63*VLOOKUP('Données projet'!$B$15,Paramètres!$A$1:$I$89,3,0)*0.475*44/12</f>
        <v>63.329091707523233</v>
      </c>
      <c r="EY63" s="24">
        <f t="shared" si="21"/>
        <v>325.3802123608445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458.21</v>
      </c>
      <c r="FC63" s="13">
        <f>VLOOKUP(A63,'Données projet'!$A$217:$I$237,9,0)</f>
        <v>21.848750000000003</v>
      </c>
      <c r="FD63" s="13">
        <f t="array" ref="FD63">INDEX(FC:FC,MIN(IF(ISNUMBER(FC63:FC259),ROW(FC63:FC259),"")))</f>
        <v>21.848750000000003</v>
      </c>
      <c r="FE63" s="13">
        <f>IF('Données projet'!$A$218&gt;35,FE62+FD63-FM62,IF(A63&lt;'Données projet'!$A$218,$FB$205^A63,IF(A63='Données projet'!$A$218,'Données projet'!$B$218,FE62+FD63-FM62)))</f>
        <v>458.21000000000015</v>
      </c>
      <c r="FF63" s="18">
        <f>FE63*VLOOKUP('Données projet'!$B$16,Paramètres!$A$1:$I$89,3,0)*VLOOKUP('Données projet'!$B$16,Paramètres!$A$1:$I$89,5,0)</f>
        <v>357.4038000000001</v>
      </c>
      <c r="FG63" s="14">
        <f t="shared" si="47"/>
        <v>83.085168255999932</v>
      </c>
      <c r="FH63" s="22">
        <f t="shared" si="22"/>
        <v>767.18495304586668</v>
      </c>
      <c r="FI63" s="62">
        <f t="shared" si="23"/>
        <v>1060.5182863791999</v>
      </c>
      <c r="FJ63" s="62">
        <f ca="1">AVERAGE(OFFSET($FI$3,0,0,'Données projet'!$E$16+1,1))-AVERAGE(OFFSET($H$3,0,0,'Données projet'!$E$16+1,1))</f>
        <v>249.2899297828755</v>
      </c>
      <c r="FK63" s="62">
        <f t="shared" si="48"/>
        <v>162.88011837476813</v>
      </c>
      <c r="FL63" s="16">
        <f>IF(ISNA(VLOOKUP(A63,'Données projet'!$A$217:$I$237,3,0)),0,VLOOKUP(A63,'Données projet'!$A$217:$I$237,3,0))</f>
        <v>4</v>
      </c>
      <c r="FM63" s="16">
        <f>IF(ISNA(VLOOKUP(A63,'Données projet'!$A$217:$I$237,4,0)),0,VLOOKUP(A63,'Données projet'!$A$217:$I$237,4,0))</f>
        <v>458.21</v>
      </c>
      <c r="FN63" s="17">
        <f>IF(ISNA(VLOOKUP(A63,'Données projet'!$A$217:$I$237,5,0)),0%,VLOOKUP(A63,'Données projet'!$A$217:$I$237,5,0)*VLOOKUP('Données projet'!$B$16,Paramètres!$A$1:$I$89,7,0))</f>
        <v>0.43</v>
      </c>
      <c r="FO63" s="17">
        <f>IF(ISNA(VLOOKUP(A63,'Données projet'!$A$217:$I$237,6,0)),0%,VLOOKUP(A63,'Données projet'!$A$217:$I$237,6,0)*VLOOKUP('Données projet'!$B$16,Paramètres!$A$1:$I$89,7,0))</f>
        <v>4.3000000000000003E-2</v>
      </c>
      <c r="FP63" s="17">
        <f>IF(ISNA(VLOOKUP(A63,'Données projet'!$A$217:$I$237,7,0)),0%,VLOOKUP(A63,'Données projet'!$A$217:$I$237,7,0))</f>
        <v>0.15</v>
      </c>
      <c r="FQ63" s="23">
        <f>EXP(-LN(2)/35)*FQ62+(1-EXP(-LN(2)/35))/(LN(2)/35)*FM63*FN63*VLOOKUP('Données projet'!$B$16,Paramètres!$A$1:$I$89,3,0)*0.475*44/12</f>
        <v>192.31309542626232</v>
      </c>
      <c r="FR63" s="23">
        <f>EXP(-LN(2)/25)*FR62+(1-EXP(-LN(2)/25))/(LN(2)/25)*Calculateur!FM63*Calculateur!FO63*VLOOKUP('Données projet'!$B$16,Paramètres!$A$1:$I$89,3,0)*0.475*44/12</f>
        <v>19.018453487706445</v>
      </c>
      <c r="FS63" s="23">
        <f>EXP(-LN(2)/2)*FS62+(1-EXP(-LN(2)/2))/(LN(2)/2)*FM63*FP63*VLOOKUP('Données projet'!$B$16,Paramètres!$A$1:$I$89,3,0)*0.475*44/12</f>
        <v>51.071848151228409</v>
      </c>
      <c r="FT63" s="24">
        <f t="shared" si="24"/>
        <v>262.40339706519717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458.21</v>
      </c>
      <c r="FX63" s="13">
        <f>VLOOKUP(A63,'Données projet'!$A$243:$I$263,9,0)</f>
        <v>21.848750000000003</v>
      </c>
      <c r="FY63" s="13">
        <f t="array" ref="FY63">INDEX(FX:FX,MIN(IF(ISNUMBER(FX63:FX259),ROW(FX63:FX259),"")))</f>
        <v>21.848750000000003</v>
      </c>
      <c r="FZ63" s="13">
        <f>IF('Données projet'!$A$244&gt;35,FZ62+FY63-GH62,IF(A63&lt;'Données projet'!$A$244,$FW$205^A63,IF(A63='Données projet'!$A$244,'Données projet'!$B$244,FZ62+FY63-GH62)))</f>
        <v>458.21000000000015</v>
      </c>
      <c r="GA63" s="18">
        <f>FZ63*VLOOKUP('Données projet'!$B$17,Paramètres!$A$1:$I$89,3,0)*VLOOKUP('Données projet'!$B$17,Paramètres!$A$1:$I$89,5,0)</f>
        <v>307.36726800000014</v>
      </c>
      <c r="GB63" s="14">
        <f t="shared" si="49"/>
        <v>72.718738320344357</v>
      </c>
      <c r="GC63" s="22">
        <f t="shared" si="25"/>
        <v>661.98312767460004</v>
      </c>
      <c r="GD63" s="62">
        <f t="shared" si="26"/>
        <v>955.31646100793341</v>
      </c>
      <c r="GE63" s="62">
        <f ca="1">AVERAGE(OFFSET($GD$3,0,0,'Données projet'!$E$17+1,1))-AVERAGE(OFFSET($H$3,0,0,'Données projet'!$E$17+1,1))</f>
        <v>218.89895999738746</v>
      </c>
      <c r="GF63" s="62">
        <f t="shared" si="50"/>
        <v>145.64042897395763</v>
      </c>
      <c r="GG63" s="16">
        <f>IF(ISNA(VLOOKUP(A63,'Données projet'!$A$243:$I$263,3,0)),0,VLOOKUP(A63,'Données projet'!$A$243:$I$263,3,0))</f>
        <v>4</v>
      </c>
      <c r="GH63" s="16">
        <f>IF(ISNA(VLOOKUP(A63,'Données projet'!$A$243:$I$263,4,0)),0,VLOOKUP(A63,'Données projet'!$A$243:$I$263,4,0))</f>
        <v>458.21</v>
      </c>
      <c r="GI63" s="17">
        <f>IF(ISNA(VLOOKUP(A63,'Données projet'!$A$243:$I$263,5,0)),0%,VLOOKUP(A63,'Données projet'!$A$243:$I$263,5,0)*VLOOKUP('Données projet'!$B$17,Paramètres!$A$1:$I$89,7,0))</f>
        <v>0.53</v>
      </c>
      <c r="GJ63" s="17">
        <f>IF(ISNA(VLOOKUP(A63,'Données projet'!$A$243:$I$263,6,0)),0%,VLOOKUP(A63,'Données projet'!$A$243:$I$263,6,0)*VLOOKUP('Données projet'!$B$17,Paramètres!$A$1:$I$89,7,0))</f>
        <v>5.3000000000000005E-2</v>
      </c>
      <c r="GK63" s="17">
        <f>IF(ISNA(VLOOKUP(A63,'Données projet'!$A$243:$I$263,7,0)),0%,VLOOKUP(A63,'Données projet'!$A$243:$I$263,7,0))</f>
        <v>0.15</v>
      </c>
      <c r="GL63" s="23">
        <f>EXP(-LN(2)/35)*GL62+(1-EXP(-LN(2)/35))/(LN(2)/35)*GH63*GI63*VLOOKUP('Données projet'!$B$17,Paramètres!$A$1:$I$89,3,0)*0.475*44/12</f>
        <v>203.85188115183806</v>
      </c>
      <c r="GM63" s="23">
        <f>EXP(-LN(2)/25)*GM62+(1-EXP(-LN(2)/25))/(LN(2)/25)*Calculateur!GH63*Calculateur!GJ63*VLOOKUP('Données projet'!$B$17,Paramètres!$A$1:$I$89,3,0)*0.475*44/12</f>
        <v>20.159560696968835</v>
      </c>
      <c r="GN63" s="23">
        <f>EXP(-LN(2)/2)*GN62+(1-EXP(-LN(2)/2))/(LN(2)/2)*GH63*GK63*VLOOKUP('Données projet'!$B$17,Paramètres!$A$1:$I$89,3,0)*0.475*44/12</f>
        <v>43.921789410056434</v>
      </c>
      <c r="GO63" s="23">
        <f t="shared" si="27"/>
        <v>267.93323125886332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458.21</v>
      </c>
      <c r="GS63" s="13">
        <f>VLOOKUP(A63,'Données projet'!$A$269:$I$289,9,0)</f>
        <v>21.848750000000003</v>
      </c>
      <c r="GT63" s="13">
        <f t="array" ref="GT63">INDEX(GS:GS,MIN(IF(ISNUMBER(GS63:GS259),ROW(GS63:GS259),"")))</f>
        <v>21.848750000000003</v>
      </c>
      <c r="GU63" s="13">
        <f>IF('Données projet'!$A$270&gt;35,GU62+GT63-HC62,IF(A63&lt;'Données projet'!$A$270,$GR$205^A63,IF(A63='Données projet'!$A$270,'Données projet'!$B$270,GU62+GT63-HC62)))</f>
        <v>458.21000000000015</v>
      </c>
      <c r="GV63" s="18">
        <f>GU63*VLOOKUP('Données projet'!$B$18,Paramètres!$A$1:$I$89,3,0)*VLOOKUP('Données projet'!$B$18,Paramètres!$A$1:$I$89,5,0)</f>
        <v>493.21724400000016</v>
      </c>
      <c r="GW63" s="14">
        <f t="shared" si="51"/>
        <v>110.43854198757155</v>
      </c>
      <c r="GX63" s="22">
        <f t="shared" si="28"/>
        <v>1051.3671605950208</v>
      </c>
      <c r="GY63" s="62">
        <f t="shared" si="29"/>
        <v>1344.700493928354</v>
      </c>
      <c r="GZ63" s="62">
        <f ca="1">AVERAGE(OFFSET($GY$3,0,0,'Données projet'!$E$18+1,1))-AVERAGE(OFFSET($H$3,0,0,'Données projet'!$E$18+1,1))</f>
        <v>331.3579800635751</v>
      </c>
      <c r="HA63" s="62">
        <f t="shared" si="52"/>
        <v>209.40702003535273</v>
      </c>
      <c r="HB63" s="16">
        <f>IF(ISNA(VLOOKUP(A63,'Données projet'!$A$269:$I$289,3,0)),0,VLOOKUP(A63,'Données projet'!$A$269:$I$289,3,0))</f>
        <v>4</v>
      </c>
      <c r="HC63" s="16">
        <f>IF(ISNA(VLOOKUP(A63,'Données projet'!$A$269:$I$289,4,0)),0,VLOOKUP(A63,'Données projet'!$A$269:$I$289,4,0))</f>
        <v>458.21</v>
      </c>
      <c r="HD63" s="17">
        <f>IF(ISNA(VLOOKUP(A63,'Données projet'!$A$269:$I$289,5,0)),0%,VLOOKUP(A63,'Données projet'!$A$269:$I$289,5,0)*VLOOKUP('Données projet'!$B$18,Paramètres!$A$1:$I$89,7,0))</f>
        <v>0.43</v>
      </c>
      <c r="HE63" s="17">
        <f>IF(ISNA(VLOOKUP(A63,'Données projet'!$A$269:$I$289,6,0)),0%,VLOOKUP(A63,'Données projet'!$A$269:$I$289,6,0)*VLOOKUP('Données projet'!$B$18,Paramètres!$A$1:$I$89,7,0))</f>
        <v>4.3000000000000003E-2</v>
      </c>
      <c r="HF63" s="17">
        <f>IF(ISNA(VLOOKUP(A63,'Données projet'!$A$269:$I$289,7,0)),0%,VLOOKUP(A63,'Données projet'!$A$269:$I$289,7,0))</f>
        <v>0.15</v>
      </c>
      <c r="HG63" s="23">
        <f>EXP(-LN(2)/35)*HG62+(1-EXP(-LN(2)/35))/(LN(2)/35)*HC63*HD63*VLOOKUP('Données projet'!$B$18,Paramètres!$A$1:$I$89,3,0)*0.475*44/12</f>
        <v>265.39207168824197</v>
      </c>
      <c r="HH63" s="23">
        <f>EXP(-LN(2)/25)*HH62+(1-EXP(-LN(2)/25))/(LN(2)/25)*Calculateur!HC63*Calculateur!HE63*VLOOKUP('Données projet'!$B$18,Paramètres!$A$1:$I$89,3,0)*0.475*44/12</f>
        <v>26.245465813034897</v>
      </c>
      <c r="HI63" s="23">
        <f>EXP(-LN(2)/2)*HI62+(1-EXP(-LN(2)/2))/(LN(2)/2)*HC63*HF63*VLOOKUP('Données projet'!$B$18,Paramètres!$A$1:$I$89,3,0)*0.475*44/12</f>
        <v>70.479150448695222</v>
      </c>
      <c r="HJ63" s="24">
        <f t="shared" si="30"/>
        <v>362.11668794997212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46.772666666666659</v>
      </c>
      <c r="N64" s="14">
        <f>IF('Données projet'!$A$36&gt;35,N63+M64-V63,IF(A64&lt;'Données projet'!$A$36,$K$205^A64,IF(A64='Données projet'!$A$36,'Données projet'!$B$36,N63+M64-V63)))</f>
        <v>872.10599999999954</v>
      </c>
      <c r="O64" s="14">
        <f>N64*VLOOKUP('Données projet'!$B$9,Paramètres!$A$1:$I$89,3,0)*VLOOKUP('Données projet'!$B$9,Paramètres!$A$1:$I$89,5,0)</f>
        <v>789.0815087999996</v>
      </c>
      <c r="P64" s="14">
        <f t="shared" si="33"/>
        <v>167.28189744368862</v>
      </c>
      <c r="Q64" s="22">
        <f t="shared" si="53"/>
        <v>1665.6662658744237</v>
      </c>
      <c r="R64" s="62">
        <f t="shared" si="0"/>
        <v>1958.999599207757</v>
      </c>
      <c r="S64" s="62">
        <f ca="1">AVERAGE(OFFSET($R$3,0,0,'Données projet'!$E$9+1,1))-AVERAGE(OFFSET($H$3,0,0,'Données projet'!$E$9+1,1))</f>
        <v>2472.5049373954762</v>
      </c>
      <c r="T64" s="62">
        <f t="shared" si="34"/>
        <v>286.98388307318311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28.236644948441239</v>
      </c>
      <c r="AA64" s="23">
        <f>EXP(-LN(2)/25)*AA63+(1-EXP(-LN(2)/25))/(LN(2)/25)*Calculateur!V64*Calculateur!X64*VLOOKUP('Données projet'!$B$9,Paramètres!$A$1:$I$89,3,0)*0.475*44/12</f>
        <v>5.3639864691588501</v>
      </c>
      <c r="AB64" s="23">
        <f>EXP(-LN(2)/2)*AB63+(1-EXP(-LN(2)/2))/(LN(2)/2)*V64*Y64*VLOOKUP('Données projet'!$B$9,Paramètres!$A$1:$I$89,3,0)*0.475*44/12</f>
        <v>2.3669453462956849</v>
      </c>
      <c r="AC64" s="24">
        <f t="shared" si="3"/>
        <v>35.967576763895778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46.772666666666659</v>
      </c>
      <c r="AI64" s="14">
        <f>IF('Données projet'!$A$62&gt;35,AI63+AH64-AQ63,IF(A64&lt;'Données projet'!$A$62,$AF$205^A64,IF(A64='Données projet'!$A$62,'Données projet'!$B$62,AI63+AH64-AQ63)))</f>
        <v>872.10599999999954</v>
      </c>
      <c r="AJ64" s="14">
        <f>AI64*VLOOKUP('Données projet'!$B$10,Paramètres!$A$1:$I$89,3,0)*VLOOKUP('Données projet'!$B$10,Paramètres!$A$1:$I$89,5,0)</f>
        <v>884.31548399999963</v>
      </c>
      <c r="AK64" s="14">
        <f t="shared" si="35"/>
        <v>185.00105828791916</v>
      </c>
      <c r="AL64" s="22">
        <f t="shared" si="4"/>
        <v>1862.3929778181252</v>
      </c>
      <c r="AM64" s="62">
        <f t="shared" si="5"/>
        <v>2155.7263111514585</v>
      </c>
      <c r="AN64" s="62">
        <f ca="1">AVERAGE(OFFSET($AM$3,0,0,'Données projet'!$E$10+1,1))-AVERAGE(OFFSET($H$3,0,0,'Données projet'!$E$10+1,1))</f>
        <v>2761.1400657295467</v>
      </c>
      <c r="AO64" s="62">
        <f t="shared" si="36"/>
        <v>316.41877504316409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31.644515890494489</v>
      </c>
      <c r="AV64" s="23">
        <f>EXP(-LN(2)/25)*AV63+(1-EXP(-LN(2)/25))/(LN(2)/25)*Calculateur!AQ64*Calculateur!AS64*VLOOKUP('Données projet'!$B$10,Paramètres!$A$1:$I$89,3,0)*0.475*44/12</f>
        <v>6.0113641464711236</v>
      </c>
      <c r="AW64" s="23">
        <f>EXP(-LN(2)/2)*AW63+(1-EXP(-LN(2)/2))/(LN(2)/2)*AQ64*AT64*VLOOKUP('Données projet'!$B$10,Paramètres!$A$1:$I$89,3,0)*0.475*44/12</f>
        <v>2.6526111639520611</v>
      </c>
      <c r="AX64" s="23">
        <f t="shared" si="6"/>
        <v>40.308491200917672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46.772666666666659</v>
      </c>
      <c r="BD64" s="13">
        <f>IF('Données projet'!$A$88&gt;35,BD63+BC64-BL63,IF(A64&lt;'Données projet'!$A$88,$BA$205^A64,IF(A64='Données projet'!$A$88,'Données projet'!$B$88,BD63+BC64-BL63)))</f>
        <v>872.10599999999954</v>
      </c>
      <c r="BE64" s="14">
        <f>BD64*VLOOKUP('Données projet'!$B$11,Paramètres!$A$1:$I$89,3,0)*VLOOKUP('Données projet'!$B$11,Paramètres!$A$1:$I$89,5,0)</f>
        <v>911.52519119999965</v>
      </c>
      <c r="BF64" s="14">
        <f t="shared" si="37"/>
        <v>190.02190449880285</v>
      </c>
      <c r="BG64" s="22">
        <f t="shared" si="7"/>
        <v>1918.5278583420811</v>
      </c>
      <c r="BH64" s="62">
        <f t="shared" si="8"/>
        <v>2211.8611916754144</v>
      </c>
      <c r="BI64" s="62">
        <f ca="1">AVERAGE(OFFSET($BH$3,0,0,'Données projet'!$E$11+1,1))-AVERAGE(OFFSET($H$3,0,0,'Données projet'!$E$11+1,1))</f>
        <v>2843.5086223152098</v>
      </c>
      <c r="BJ64" s="62">
        <f t="shared" si="38"/>
        <v>324.81562437645522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32.618193302509717</v>
      </c>
      <c r="BQ64" s="23">
        <f>EXP(-LN(2)/25)*BQ63+(1-EXP(-LN(2)/25))/(LN(2)/25)*Calculateur!BL64*Calculateur!BN64*VLOOKUP('Données projet'!$B$11,Paramètres!$A$1:$I$89,3,0)*0.475*44/12</f>
        <v>6.1963291971317744</v>
      </c>
      <c r="BR64" s="23">
        <f>EXP(-LN(2)/2)*BR63+(1-EXP(-LN(2)/2))/(LN(2)/2)*BL64*BO64*VLOOKUP('Données projet'!$B$11,Paramètres!$A$1:$I$89,3,0)*0.475*44/12</f>
        <v>2.7342299689967393</v>
      </c>
      <c r="BS64" s="24">
        <f t="shared" si="9"/>
        <v>41.548752468638227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46.772666666666659</v>
      </c>
      <c r="BY64" s="13">
        <f>IF('Données projet'!$A$114&gt;35,BY63+BX64-CG63,IF(A64&lt;'Données projet'!$A$114,$BV$205^A64,IF(A64='Données projet'!$A$114,'Données projet'!$B$114,BY63+BX64-CG63)))</f>
        <v>872.10599999999954</v>
      </c>
      <c r="BZ64" s="14">
        <f>BY64*VLOOKUP('Données projet'!$B$12,Paramètres!$A$1:$I$89,3,0)*VLOOKUP('Données projet'!$B$12,Paramètres!$A$1:$I$89,5,0)</f>
        <v>870.71063039999967</v>
      </c>
      <c r="CA64" s="14">
        <f t="shared" si="39"/>
        <v>182.48391758435002</v>
      </c>
      <c r="CB64" s="22">
        <f t="shared" si="10"/>
        <v>1834.3138377394091</v>
      </c>
      <c r="CC64" s="62">
        <f t="shared" si="11"/>
        <v>2127.6471710727424</v>
      </c>
      <c r="CD64" s="62">
        <f ca="1">AVERAGE(OFFSET($CC$3,0,0,'Données projet'!$E$12+1,1))-AVERAGE(OFFSET($H$3,0,0,'Données projet'!$E$12+1,1))</f>
        <v>2719.939926994799</v>
      </c>
      <c r="CE64" s="62">
        <f t="shared" si="40"/>
        <v>312.21824046329749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31.157677184486889</v>
      </c>
      <c r="CL64" s="23">
        <f>EXP(-LN(2)/25)*CL63+(1-EXP(-LN(2)/25))/(LN(2)/25)*Calculateur!CG64*Calculateur!CI64*VLOOKUP('Données projet'!$B$12,Paramètres!$A$1:$I$89,3,0)*0.475*44/12</f>
        <v>5.9188816211408009</v>
      </c>
      <c r="CM64" s="23">
        <f>EXP(-LN(2)/2)*CM63+(1-EXP(-LN(2)/2))/(LN(2)/2)*CG64*CJ64*VLOOKUP('Données projet'!$B$12,Paramètres!$A$1:$I$89,3,0)*0.475*44/12</f>
        <v>2.6118017614297218</v>
      </c>
      <c r="CN64" s="24">
        <f t="shared" si="12"/>
        <v>39.688360567057416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51.041333333333327</v>
      </c>
      <c r="CT64" s="13">
        <f>IF('Données projet'!$A$140&gt;35,CT63+CS64-DB63,IF(A64&lt;'Données projet'!$A$140,$CQ$205^A64,IF(A64='Données projet'!$A$140,'Données projet'!$B$140,CT63+CS64-DB63)))</f>
        <v>975.74800000000027</v>
      </c>
      <c r="CU64" s="18">
        <f>CT64*VLOOKUP('Données projet'!$B$13,Paramètres!$A$1:$I$89,3,0)*VLOOKUP('Données projet'!$B$13,Paramètres!$A$1:$I$89,5,0)</f>
        <v>852.4134528000003</v>
      </c>
      <c r="CV64" s="14">
        <f t="shared" si="41"/>
        <v>179.09137286554255</v>
      </c>
      <c r="CW64" s="22">
        <f t="shared" si="13"/>
        <v>1796.5375713674869</v>
      </c>
      <c r="CX64" s="62">
        <f t="shared" si="14"/>
        <v>2089.8709047008201</v>
      </c>
      <c r="CY64" s="62">
        <f ca="1">AVERAGE(OFFSET($CX$3,0,0,'Données projet'!$E$13+1,1))-AVERAGE(OFFSET($H$3,0,0,'Données projet'!$E$13+1,1))</f>
        <v>1036.0130072090849</v>
      </c>
      <c r="CZ64" s="62">
        <f t="shared" si="42"/>
        <v>346.56593355696174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30.86004940993433</v>
      </c>
      <c r="DG64" s="23">
        <f>EXP(-LN(2)/25)*DG63+(1-EXP(-LN(2)/25))/(LN(2)/25)*Calculateur!DB64*Calculateur!DD64*VLOOKUP('Données projet'!$B$13,Paramètres!$A$1:$I$89,3,0)*0.475*44/12</f>
        <v>5.8623426322325605</v>
      </c>
      <c r="DH64" s="23">
        <f>EXP(-LN(2)/2)*DH63+(1-EXP(-LN(2)/2))/(LN(2)/2)*DB64*DE64*VLOOKUP('Données projet'!$B$13,Paramètres!$A$1:$I$89,3,0)*0.475*44/12</f>
        <v>2.5868530227537252</v>
      </c>
      <c r="DI64" s="24">
        <f t="shared" si="15"/>
        <v>39.30924506492061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6.8212102632969618E-13</v>
      </c>
      <c r="DP64" s="18">
        <f>DO64*VLOOKUP('Données projet'!$B$14,Paramètres!$A$1:$I$89,3,0)*VLOOKUP('Données projet'!$B$14,Paramètres!$A$1:$I$89,5,0)</f>
        <v>3.8130565371830017E-13</v>
      </c>
      <c r="DQ64" s="14">
        <f t="shared" si="43"/>
        <v>4.9019074112354236E-12</v>
      </c>
      <c r="DR64" s="22">
        <f t="shared" si="16"/>
        <v>9.2015960881277352E-12</v>
      </c>
      <c r="DS64" s="62">
        <f t="shared" si="17"/>
        <v>293.33333333334252</v>
      </c>
      <c r="DT64" s="62">
        <f ca="1">AVERAGE(OFFSET($DS$3,0,0,'Données projet'!$E$14+1,1))-AVERAGE(OFFSET($H$3,0,0,'Données projet'!$E$14+1,1))</f>
        <v>446.48069057792151</v>
      </c>
      <c r="DU64" s="62">
        <f t="shared" si="44"/>
        <v>561.75656782935948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181.03970454642442</v>
      </c>
      <c r="EB64" s="23">
        <f>EXP(-LN(2)/25)*EB63+(1-EXP(-LN(2)/25))/(LN(2)/25)*Calculateur!DW64*Calculateur!DY64*VLOOKUP('Données projet'!$B$14,Paramètres!$A$1:$I$89,3,0)*0.475*44/12</f>
        <v>78.818716884636714</v>
      </c>
      <c r="EC64" s="23">
        <f>EXP(-LN(2)/2)*EC63+(1-EXP(-LN(2)/2))/(LN(2)/2)*DW64*DZ64*VLOOKUP('Données projet'!$B$14,Paramètres!$A$1:$I$89,3,0)*0.475*44/12</f>
        <v>94.883244986754164</v>
      </c>
      <c r="ED64" s="24">
        <f t="shared" si="18"/>
        <v>354.74166641781528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1.7053025658242404E-13</v>
      </c>
      <c r="EK64" s="18">
        <f>EJ64*VLOOKUP('Données projet'!$B$15,Paramètres!$A$1:$I$89,3,0)*VLOOKUP('Données projet'!$B$15,Paramètres!$A$1:$I$89,5,0)</f>
        <v>1.6493686416652052E-13</v>
      </c>
      <c r="EL64" s="14">
        <f t="shared" si="45"/>
        <v>2.3376205369651282E-12</v>
      </c>
      <c r="EM64" s="22">
        <f t="shared" si="19"/>
        <v>4.3586208069709543E-12</v>
      </c>
      <c r="EN64" s="62">
        <f t="shared" si="20"/>
        <v>293.33333333333769</v>
      </c>
      <c r="EO64" s="62">
        <f ca="1">AVERAGE(OFFSET($EN$3,0,0,'Données projet'!$E$15+1,1))-AVERAGE(OFFSET($H$3,0,0,'Données projet'!$E$15+1,1))</f>
        <v>301.18531163828169</v>
      </c>
      <c r="EP64" s="62">
        <f t="shared" si="46"/>
        <v>192.30530273268101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233.79202162620535</v>
      </c>
      <c r="EW64" s="23">
        <f>EXP(-LN(2)/25)*EW63+(1-EXP(-LN(2)/25))/(LN(2)/25)*Calculateur!ER64*Calculateur!ET64*VLOOKUP('Données projet'!$B$15,Paramètres!$A$1:$I$89,3,0)*0.475*44/12</f>
        <v>22.938007167415662</v>
      </c>
      <c r="EX64" s="23">
        <f>EXP(-LN(2)/2)*EX63+(1-EXP(-LN(2)/2))/(LN(2)/2)*ER64*EU64*VLOOKUP('Données projet'!$B$15,Paramètres!$A$1:$I$89,3,0)*0.475*44/12</f>
        <v>44.780430192774432</v>
      </c>
      <c r="EY64" s="24">
        <f t="shared" si="21"/>
        <v>301.51045898639546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1.7053025658242404E-13</v>
      </c>
      <c r="FF64" s="18">
        <f>FE64*VLOOKUP('Données projet'!$B$16,Paramètres!$A$1:$I$89,3,0)*VLOOKUP('Données projet'!$B$16,Paramètres!$A$1:$I$89,5,0)</f>
        <v>1.3301360013429075E-13</v>
      </c>
      <c r="FG64" s="14">
        <f t="shared" si="47"/>
        <v>1.9329766731057041E-12</v>
      </c>
      <c r="FH64" s="22">
        <f t="shared" si="22"/>
        <v>3.5982663925596575E-12</v>
      </c>
      <c r="FI64" s="62">
        <f t="shared" si="23"/>
        <v>293.3333333333369</v>
      </c>
      <c r="FJ64" s="62">
        <f ca="1">AVERAGE(OFFSET($FI$3,0,0,'Données projet'!$E$16+1,1))-AVERAGE(OFFSET($H$3,0,0,'Données projet'!$E$16+1,1))</f>
        <v>249.2899297828755</v>
      </c>
      <c r="FK64" s="62">
        <f t="shared" si="48"/>
        <v>162.88011837476813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188.54195292435918</v>
      </c>
      <c r="FR64" s="23">
        <f>EXP(-LN(2)/25)*FR63+(1-EXP(-LN(2)/25))/(LN(2)/25)*Calculateur!FM64*Calculateur!FO64*VLOOKUP('Données projet'!$B$16,Paramètres!$A$1:$I$89,3,0)*0.475*44/12</f>
        <v>18.49839287694811</v>
      </c>
      <c r="FS64" s="23">
        <f>EXP(-LN(2)/2)*FS63+(1-EXP(-LN(2)/2))/(LN(2)/2)*FM64*FP64*VLOOKUP('Données projet'!$B$16,Paramètres!$A$1:$I$89,3,0)*0.475*44/12</f>
        <v>36.113250155463248</v>
      </c>
      <c r="FT64" s="24">
        <f t="shared" si="24"/>
        <v>243.15359595677054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1.7053025658242404E-13</v>
      </c>
      <c r="GA64" s="18">
        <f>FZ64*VLOOKUP('Données projet'!$B$17,Paramètres!$A$1:$I$89,3,0)*VLOOKUP('Données projet'!$B$17,Paramètres!$A$1:$I$89,5,0)</f>
        <v>1.1439169611549005E-13</v>
      </c>
      <c r="GB64" s="14">
        <f t="shared" si="49"/>
        <v>1.6918016515029816E-12</v>
      </c>
      <c r="GC64" s="22">
        <f t="shared" si="25"/>
        <v>3.1457867471021712E-12</v>
      </c>
      <c r="GD64" s="62">
        <f t="shared" si="26"/>
        <v>293.33333333333644</v>
      </c>
      <c r="GE64" s="62">
        <f ca="1">AVERAGE(OFFSET($GD$3,0,0,'Données projet'!$E$17+1,1))-AVERAGE(OFFSET($H$3,0,0,'Données projet'!$E$17+1,1))</f>
        <v>218.89895999738746</v>
      </c>
      <c r="GF64" s="62">
        <f t="shared" si="50"/>
        <v>145.64042897395763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199.85447009982073</v>
      </c>
      <c r="GM64" s="23">
        <f>EXP(-LN(2)/25)*GM63+(1-EXP(-LN(2)/25))/(LN(2)/25)*Calculateur!GH64*Calculateur!GJ64*VLOOKUP('Données projet'!$B$17,Paramètres!$A$1:$I$89,3,0)*0.475*44/12</f>
        <v>19.608296449565</v>
      </c>
      <c r="GN64" s="23">
        <f>EXP(-LN(2)/2)*GN63+(1-EXP(-LN(2)/2))/(LN(2)/2)*GH64*GK64*VLOOKUP('Données projet'!$B$17,Paramètres!$A$1:$I$89,3,0)*0.475*44/12</f>
        <v>31.057395133698396</v>
      </c>
      <c r="GO64" s="23">
        <f t="shared" si="27"/>
        <v>250.52016168308413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1.7053025658242404E-13</v>
      </c>
      <c r="GV64" s="18">
        <f>GU64*VLOOKUP('Données projet'!$B$18,Paramètres!$A$1:$I$89,3,0)*VLOOKUP('Données projet'!$B$18,Paramètres!$A$1:$I$89,5,0)</f>
        <v>1.8355876818532125E-13</v>
      </c>
      <c r="GW64" s="14">
        <f t="shared" si="51"/>
        <v>2.5693529898865504E-12</v>
      </c>
      <c r="GX64" s="22">
        <f t="shared" si="28"/>
        <v>4.7946546453085093E-12</v>
      </c>
      <c r="GY64" s="62">
        <f t="shared" si="29"/>
        <v>293.33333333333809</v>
      </c>
      <c r="GZ64" s="62">
        <f ca="1">AVERAGE(OFFSET($GY$3,0,0,'Données projet'!$E$18+1,1))-AVERAGE(OFFSET($H$3,0,0,'Données projet'!$E$18+1,1))</f>
        <v>331.3579800635751</v>
      </c>
      <c r="HA64" s="62">
        <f t="shared" si="52"/>
        <v>209.40702003535273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260.18789503561561</v>
      </c>
      <c r="HH64" s="23">
        <f>EXP(-LN(2)/25)*HH63+(1-EXP(-LN(2)/25))/(LN(2)/25)*Calculateur!HC64*Calculateur!HE64*VLOOKUP('Données projet'!$B$18,Paramètres!$A$1:$I$89,3,0)*0.475*44/12</f>
        <v>25.527782170188395</v>
      </c>
      <c r="HI64" s="23">
        <f>EXP(-LN(2)/2)*HI63+(1-EXP(-LN(2)/2))/(LN(2)/2)*HC64*HF64*VLOOKUP('Données projet'!$B$18,Paramètres!$A$1:$I$89,3,0)*0.475*44/12</f>
        <v>49.836285214539302</v>
      </c>
      <c r="HJ64" s="24">
        <f t="shared" si="30"/>
        <v>335.55196242034333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46.772666666666659</v>
      </c>
      <c r="N65" s="14">
        <f>IF('Données projet'!$A$36&gt;35,N64+M65-V64,IF(A65&lt;'Données projet'!$A$36,$K$205^A65,IF(A65='Données projet'!$A$36,'Données projet'!$B$36,N64+M65-V64)))</f>
        <v>918.87866666666616</v>
      </c>
      <c r="O65" s="14">
        <f>N65*VLOOKUP('Données projet'!$B$9,Paramètres!$A$1:$I$89,3,0)*VLOOKUP('Données projet'!$B$9,Paramètres!$A$1:$I$89,5,0)</f>
        <v>831.40141759999949</v>
      </c>
      <c r="P65" s="14">
        <f t="shared" si="33"/>
        <v>175.18497398536081</v>
      </c>
      <c r="Q65" s="22">
        <f t="shared" si="53"/>
        <v>1753.1379653445026</v>
      </c>
      <c r="R65" s="62">
        <f t="shared" si="0"/>
        <v>2046.4712986778359</v>
      </c>
      <c r="S65" s="62">
        <f ca="1">AVERAGE(OFFSET($R$3,0,0,'Données projet'!$E$9+1,1))-AVERAGE(OFFSET($H$3,0,0,'Données projet'!$E$9+1,1))</f>
        <v>2472.5049373954762</v>
      </c>
      <c r="T65" s="62">
        <f t="shared" si="34"/>
        <v>286.98388307318311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27.682941563655127</v>
      </c>
      <c r="AA65" s="23">
        <f>EXP(-LN(2)/25)*AA64+(1-EXP(-LN(2)/25))/(LN(2)/25)*Calculateur!V65*Calculateur!X65*VLOOKUP('Données projet'!$B$9,Paramètres!$A$1:$I$89,3,0)*0.475*44/12</f>
        <v>5.2173079770799129</v>
      </c>
      <c r="AB65" s="23">
        <f>EXP(-LN(2)/2)*AB64+(1-EXP(-LN(2)/2))/(LN(2)/2)*V65*Y65*VLOOKUP('Données projet'!$B$9,Paramètres!$A$1:$I$89,3,0)*0.475*44/12</f>
        <v>1.6736831050636198</v>
      </c>
      <c r="AC65" s="24">
        <f t="shared" si="3"/>
        <v>34.573932645798656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46.772666666666659</v>
      </c>
      <c r="AI65" s="14">
        <f>IF('Données projet'!$A$62&gt;35,AI64+AH65-AQ64,IF(A65&lt;'Données projet'!$A$62,$AF$205^A65,IF(A65='Données projet'!$A$62,'Données projet'!$B$62,AI64+AH65-AQ64)))</f>
        <v>918.87866666666616</v>
      </c>
      <c r="AJ65" s="14">
        <f>AI65*VLOOKUP('Données projet'!$B$10,Paramètres!$A$1:$I$89,3,0)*VLOOKUP('Données projet'!$B$10,Paramètres!$A$1:$I$89,5,0)</f>
        <v>931.74296799999956</v>
      </c>
      <c r="AK65" s="14">
        <f t="shared" si="35"/>
        <v>193.74125998506906</v>
      </c>
      <c r="AL65" s="22">
        <f t="shared" si="4"/>
        <v>1960.2183637406608</v>
      </c>
      <c r="AM65" s="62">
        <f t="shared" si="5"/>
        <v>2253.5516970739941</v>
      </c>
      <c r="AN65" s="62">
        <f ca="1">AVERAGE(OFFSET($AM$3,0,0,'Données projet'!$E$10+1,1))-AVERAGE(OFFSET($H$3,0,0,'Données projet'!$E$10+1,1))</f>
        <v>2761.1400657295467</v>
      </c>
      <c r="AO65" s="62">
        <f t="shared" si="36"/>
        <v>316.41877504316409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31.023986235130746</v>
      </c>
      <c r="AV65" s="23">
        <f>EXP(-LN(2)/25)*AV64+(1-EXP(-LN(2)/25))/(LN(2)/25)*Calculateur!AQ65*Calculateur!AS65*VLOOKUP('Données projet'!$B$10,Paramètres!$A$1:$I$89,3,0)*0.475*44/12</f>
        <v>5.8469830777619691</v>
      </c>
      <c r="AW65" s="23">
        <f>EXP(-LN(2)/2)*AW64+(1-EXP(-LN(2)/2))/(LN(2)/2)*AQ65*AT65*VLOOKUP('Données projet'!$B$10,Paramètres!$A$1:$I$89,3,0)*0.475*44/12</f>
        <v>1.8756793418816433</v>
      </c>
      <c r="AX65" s="23">
        <f t="shared" si="6"/>
        <v>38.746648654774354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46.772666666666659</v>
      </c>
      <c r="BD65" s="13">
        <f>IF('Données projet'!$A$88&gt;35,BD64+BC65-BL64,IF(A65&lt;'Données projet'!$A$88,$BA$205^A65,IF(A65='Données projet'!$A$88,'Données projet'!$B$88,BD64+BC65-BL64)))</f>
        <v>918.87866666666616</v>
      </c>
      <c r="BE65" s="14">
        <f>BD65*VLOOKUP('Données projet'!$B$11,Paramètres!$A$1:$I$89,3,0)*VLOOKUP('Données projet'!$B$11,Paramètres!$A$1:$I$89,5,0)</f>
        <v>960.4119823999996</v>
      </c>
      <c r="BF65" s="14">
        <f t="shared" si="37"/>
        <v>198.99931137185632</v>
      </c>
      <c r="BG65" s="22">
        <f t="shared" si="7"/>
        <v>2019.3080033193155</v>
      </c>
      <c r="BH65" s="62">
        <f t="shared" si="8"/>
        <v>2312.641336652649</v>
      </c>
      <c r="BI65" s="62">
        <f ca="1">AVERAGE(OFFSET($BH$3,0,0,'Données projet'!$E$11+1,1))-AVERAGE(OFFSET($H$3,0,0,'Données projet'!$E$11+1,1))</f>
        <v>2843.5086223152098</v>
      </c>
      <c r="BJ65" s="62">
        <f t="shared" si="38"/>
        <v>324.81562437645522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31.978570426980934</v>
      </c>
      <c r="BQ65" s="23">
        <f>EXP(-LN(2)/25)*BQ64+(1-EXP(-LN(2)/25))/(LN(2)/25)*Calculateur!BL65*Calculateur!BN65*VLOOKUP('Données projet'!$B$11,Paramètres!$A$1:$I$89,3,0)*0.475*44/12</f>
        <v>6.0268902493854153</v>
      </c>
      <c r="BR65" s="23">
        <f>EXP(-LN(2)/2)*BR64+(1-EXP(-LN(2)/2))/(LN(2)/2)*BL65*BO65*VLOOKUP('Données projet'!$B$11,Paramètres!$A$1:$I$89,3,0)*0.475*44/12</f>
        <v>1.933392552401078</v>
      </c>
      <c r="BS65" s="24">
        <f t="shared" si="9"/>
        <v>39.938853228767428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46.772666666666659</v>
      </c>
      <c r="BY65" s="13">
        <f>IF('Données projet'!$A$114&gt;35,BY64+BX65-CG64,IF(A65&lt;'Données projet'!$A$114,$BV$205^A65,IF(A65='Données projet'!$A$114,'Données projet'!$B$114,BY64+BX65-CG64)))</f>
        <v>918.87866666666616</v>
      </c>
      <c r="BZ65" s="14">
        <f>BY65*VLOOKUP('Données projet'!$B$12,Paramètres!$A$1:$I$89,3,0)*VLOOKUP('Données projet'!$B$12,Paramètres!$A$1:$I$89,5,0)</f>
        <v>917.40846079999949</v>
      </c>
      <c r="CA65" s="14">
        <f t="shared" si="39"/>
        <v>191.10519932691767</v>
      </c>
      <c r="CB65" s="22">
        <f t="shared" si="10"/>
        <v>1930.6612913877136</v>
      </c>
      <c r="CC65" s="62">
        <f t="shared" si="11"/>
        <v>2223.9946247210469</v>
      </c>
      <c r="CD65" s="62">
        <f ca="1">AVERAGE(OFFSET($CC$3,0,0,'Données projet'!$E$12+1,1))-AVERAGE(OFFSET($H$3,0,0,'Données projet'!$E$12+1,1))</f>
        <v>2719.939926994799</v>
      </c>
      <c r="CE65" s="62">
        <f t="shared" si="40"/>
        <v>312.21824046329749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30.546694139205666</v>
      </c>
      <c r="CL65" s="23">
        <f>EXP(-LN(2)/25)*CL64+(1-EXP(-LN(2)/25))/(LN(2)/25)*Calculateur!CG65*Calculateur!CI65*VLOOKUP('Données projet'!$B$12,Paramètres!$A$1:$I$89,3,0)*0.475*44/12</f>
        <v>5.7570294919502487</v>
      </c>
      <c r="CM65" s="23">
        <f>EXP(-LN(2)/2)*CM64+(1-EXP(-LN(2)/2))/(LN(2)/2)*CG65*CJ65*VLOOKUP('Données projet'!$B$12,Paramètres!$A$1:$I$89,3,0)*0.475*44/12</f>
        <v>1.8468227366219259</v>
      </c>
      <c r="CN65" s="24">
        <f t="shared" si="12"/>
        <v>38.150546367777842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51.041333333333327</v>
      </c>
      <c r="CT65" s="13">
        <f>IF('Données projet'!$A$140&gt;35,CT64+CS65-DB64,IF(A65&lt;'Données projet'!$A$140,$CQ$205^A65,IF(A65='Données projet'!$A$140,'Données projet'!$B$140,CT64+CS65-DB64)))</f>
        <v>1026.7893333333336</v>
      </c>
      <c r="CU65" s="18">
        <f>CT65*VLOOKUP('Données projet'!$B$13,Paramètres!$A$1:$I$89,3,0)*VLOOKUP('Données projet'!$B$13,Paramètres!$A$1:$I$89,5,0)</f>
        <v>897.00316160000034</v>
      </c>
      <c r="CV65" s="14">
        <f t="shared" si="41"/>
        <v>187.34444493749828</v>
      </c>
      <c r="CW65" s="22">
        <f t="shared" si="13"/>
        <v>1888.5720813861435</v>
      </c>
      <c r="CX65" s="62">
        <f t="shared" si="14"/>
        <v>2181.905414719477</v>
      </c>
      <c r="CY65" s="62">
        <f ca="1">AVERAGE(OFFSET($CX$3,0,0,'Données projet'!$E$13+1,1))-AVERAGE(OFFSET($H$3,0,0,'Données projet'!$E$13+1,1))</f>
        <v>1036.0130072090849</v>
      </c>
      <c r="CZ65" s="62">
        <f t="shared" si="42"/>
        <v>346.56593355696174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30.254902663777063</v>
      </c>
      <c r="DG65" s="23">
        <f>EXP(-LN(2)/25)*DG64+(1-EXP(-LN(2)/25))/(LN(2)/25)*Calculateur!DB65*Calculateur!DD65*VLOOKUP('Données projet'!$B$13,Paramètres!$A$1:$I$89,3,0)*0.475*44/12</f>
        <v>5.7020365646669608</v>
      </c>
      <c r="DH65" s="23">
        <f>EXP(-LN(2)/2)*DH64+(1-EXP(-LN(2)/2))/(LN(2)/2)*DB65*DE65*VLOOKUP('Données projet'!$B$13,Paramètres!$A$1:$I$89,3,0)*0.475*44/12</f>
        <v>1.8291813143220774</v>
      </c>
      <c r="DI65" s="24">
        <f t="shared" si="15"/>
        <v>37.786120542766099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6.8212102632969618E-13</v>
      </c>
      <c r="DP65" s="18">
        <f>DO65*VLOOKUP('Données projet'!$B$14,Paramètres!$A$1:$I$89,3,0)*VLOOKUP('Données projet'!$B$14,Paramètres!$A$1:$I$89,5,0)</f>
        <v>3.8130565371830017E-13</v>
      </c>
      <c r="DQ65" s="14">
        <f t="shared" si="43"/>
        <v>4.9019074112354236E-12</v>
      </c>
      <c r="DR65" s="22">
        <f t="shared" si="16"/>
        <v>9.2015960881277352E-12</v>
      </c>
      <c r="DS65" s="62">
        <f t="shared" si="17"/>
        <v>293.33333333334252</v>
      </c>
      <c r="DT65" s="62">
        <f ca="1">AVERAGE(OFFSET($DS$3,0,0,'Données projet'!$E$14+1,1))-AVERAGE(OFFSET($H$3,0,0,'Données projet'!$E$14+1,1))</f>
        <v>446.48069057792151</v>
      </c>
      <c r="DU65" s="62">
        <f t="shared" si="44"/>
        <v>561.75656782935948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177.48962636358542</v>
      </c>
      <c r="EB65" s="23">
        <f>EXP(-LN(2)/25)*EB64+(1-EXP(-LN(2)/25))/(LN(2)/25)*Calculateur!DW65*Calculateur!DY65*VLOOKUP('Données projet'!$B$14,Paramètres!$A$1:$I$89,3,0)*0.475*44/12</f>
        <v>76.663414926530152</v>
      </c>
      <c r="EC65" s="23">
        <f>EXP(-LN(2)/2)*EC64+(1-EXP(-LN(2)/2))/(LN(2)/2)*DW65*DZ65*VLOOKUP('Données projet'!$B$14,Paramètres!$A$1:$I$89,3,0)*0.475*44/12</f>
        <v>67.092585951118366</v>
      </c>
      <c r="ED65" s="24">
        <f t="shared" si="18"/>
        <v>321.24562724123393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1.7053025658242404E-13</v>
      </c>
      <c r="EK65" s="18">
        <f>EJ65*VLOOKUP('Données projet'!$B$15,Paramètres!$A$1:$I$89,3,0)*VLOOKUP('Données projet'!$B$15,Paramètres!$A$1:$I$89,5,0)</f>
        <v>1.6493686416652052E-13</v>
      </c>
      <c r="EL65" s="14">
        <f t="shared" si="45"/>
        <v>2.3376205369651282E-12</v>
      </c>
      <c r="EM65" s="22">
        <f t="shared" si="19"/>
        <v>4.3586208069709543E-12</v>
      </c>
      <c r="EN65" s="62">
        <f t="shared" si="20"/>
        <v>293.33333333333769</v>
      </c>
      <c r="EO65" s="62">
        <f ca="1">AVERAGE(OFFSET($EN$3,0,0,'Données projet'!$E$15+1,1))-AVERAGE(OFFSET($H$3,0,0,'Données projet'!$E$15+1,1))</f>
        <v>301.18531163828169</v>
      </c>
      <c r="EP65" s="62">
        <f t="shared" si="46"/>
        <v>192.30530273268101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229.20750268116817</v>
      </c>
      <c r="EW65" s="23">
        <f>EXP(-LN(2)/25)*EW64+(1-EXP(-LN(2)/25))/(LN(2)/25)*Calculateur!ER65*Calculateur!ET65*VLOOKUP('Données projet'!$B$15,Paramètres!$A$1:$I$89,3,0)*0.475*44/12</f>
        <v>22.310766155165311</v>
      </c>
      <c r="EX65" s="23">
        <f>EXP(-LN(2)/2)*EX64+(1-EXP(-LN(2)/2))/(LN(2)/2)*ER65*EU65*VLOOKUP('Données projet'!$B$15,Paramètres!$A$1:$I$89,3,0)*0.475*44/12</f>
        <v>31.66454585376162</v>
      </c>
      <c r="EY65" s="24">
        <f t="shared" si="21"/>
        <v>283.18281469009509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1.7053025658242404E-13</v>
      </c>
      <c r="FF65" s="18">
        <f>FE65*VLOOKUP('Données projet'!$B$16,Paramètres!$A$1:$I$89,3,0)*VLOOKUP('Données projet'!$B$16,Paramètres!$A$1:$I$89,5,0)</f>
        <v>1.3301360013429075E-13</v>
      </c>
      <c r="FG65" s="14">
        <f t="shared" si="47"/>
        <v>1.9329766731057041E-12</v>
      </c>
      <c r="FH65" s="22">
        <f t="shared" si="22"/>
        <v>3.5982663925596575E-12</v>
      </c>
      <c r="FI65" s="62">
        <f t="shared" si="23"/>
        <v>293.3333333333369</v>
      </c>
      <c r="FJ65" s="62">
        <f ca="1">AVERAGE(OFFSET($FI$3,0,0,'Données projet'!$E$16+1,1))-AVERAGE(OFFSET($H$3,0,0,'Données projet'!$E$16+1,1))</f>
        <v>249.2899297828755</v>
      </c>
      <c r="FK65" s="62">
        <f t="shared" si="48"/>
        <v>162.88011837476813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184.84476022674855</v>
      </c>
      <c r="FR65" s="23">
        <f>EXP(-LN(2)/25)*FR64+(1-EXP(-LN(2)/25))/(LN(2)/25)*Calculateur!FM65*Calculateur!FO65*VLOOKUP('Données projet'!$B$16,Paramètres!$A$1:$I$89,3,0)*0.475*44/12</f>
        <v>17.992553350939762</v>
      </c>
      <c r="FS65" s="23">
        <f>EXP(-LN(2)/2)*FS64+(1-EXP(-LN(2)/2))/(LN(2)/2)*FM65*FP65*VLOOKUP('Données projet'!$B$16,Paramètres!$A$1:$I$89,3,0)*0.475*44/12</f>
        <v>25.535924075614208</v>
      </c>
      <c r="FT65" s="24">
        <f t="shared" si="24"/>
        <v>228.37323765330254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1.7053025658242404E-13</v>
      </c>
      <c r="GA65" s="18">
        <f>FZ65*VLOOKUP('Données projet'!$B$17,Paramètres!$A$1:$I$89,3,0)*VLOOKUP('Données projet'!$B$17,Paramètres!$A$1:$I$89,5,0)</f>
        <v>1.1439169611549005E-13</v>
      </c>
      <c r="GB65" s="14">
        <f t="shared" si="49"/>
        <v>1.6918016515029816E-12</v>
      </c>
      <c r="GC65" s="22">
        <f t="shared" si="25"/>
        <v>3.1457867471021712E-12</v>
      </c>
      <c r="GD65" s="62">
        <f t="shared" si="26"/>
        <v>293.33333333333644</v>
      </c>
      <c r="GE65" s="62">
        <f ca="1">AVERAGE(OFFSET($GD$3,0,0,'Données projet'!$E$17+1,1))-AVERAGE(OFFSET($H$3,0,0,'Données projet'!$E$17+1,1))</f>
        <v>218.89895999738746</v>
      </c>
      <c r="GF65" s="62">
        <f t="shared" si="50"/>
        <v>145.64042897395763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195.93544584035345</v>
      </c>
      <c r="GM65" s="23">
        <f>EXP(-LN(2)/25)*GM64+(1-EXP(-LN(2)/25))/(LN(2)/25)*Calculateur!GH65*Calculateur!GJ65*VLOOKUP('Données projet'!$B$17,Paramètres!$A$1:$I$89,3,0)*0.475*44/12</f>
        <v>19.07210655199615</v>
      </c>
      <c r="GN65" s="23">
        <f>EXP(-LN(2)/2)*GN64+(1-EXP(-LN(2)/2))/(LN(2)/2)*GH65*GK65*VLOOKUP('Données projet'!$B$17,Paramètres!$A$1:$I$89,3,0)*0.475*44/12</f>
        <v>21.96089470502822</v>
      </c>
      <c r="GO65" s="23">
        <f t="shared" si="27"/>
        <v>236.9684470973778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1.7053025658242404E-13</v>
      </c>
      <c r="GV65" s="18">
        <f>GU65*VLOOKUP('Données projet'!$B$18,Paramètres!$A$1:$I$89,3,0)*VLOOKUP('Données projet'!$B$18,Paramètres!$A$1:$I$89,5,0)</f>
        <v>1.8355876818532125E-13</v>
      </c>
      <c r="GW65" s="14">
        <f t="shared" si="51"/>
        <v>2.5693529898865504E-12</v>
      </c>
      <c r="GX65" s="22">
        <f t="shared" si="28"/>
        <v>4.7946546453085093E-12</v>
      </c>
      <c r="GY65" s="62">
        <f t="shared" si="29"/>
        <v>293.33333333333809</v>
      </c>
      <c r="GZ65" s="62">
        <f ca="1">AVERAGE(OFFSET($GY$3,0,0,'Données projet'!$E$18+1,1))-AVERAGE(OFFSET($H$3,0,0,'Données projet'!$E$18+1,1))</f>
        <v>331.3579800635751</v>
      </c>
      <c r="HA65" s="62">
        <f t="shared" si="52"/>
        <v>209.40702003535273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255.08576911291294</v>
      </c>
      <c r="HH65" s="23">
        <f>EXP(-LN(2)/25)*HH64+(1-EXP(-LN(2)/25))/(LN(2)/25)*Calculateur!HC65*Calculateur!HE65*VLOOKUP('Données projet'!$B$18,Paramètres!$A$1:$I$89,3,0)*0.475*44/12</f>
        <v>24.829723624296875</v>
      </c>
      <c r="HI65" s="23">
        <f>EXP(-LN(2)/2)*HI64+(1-EXP(-LN(2)/2))/(LN(2)/2)*HC65*HF65*VLOOKUP('Données projet'!$B$18,Paramètres!$A$1:$I$89,3,0)*0.475*44/12</f>
        <v>35.239575224347618</v>
      </c>
      <c r="HJ65" s="24">
        <f t="shared" si="30"/>
        <v>315.15506796155745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46.772666666666659</v>
      </c>
      <c r="N66" s="14">
        <f>IF('Données projet'!$A$36&gt;35,N65+M66-V65,IF(A66&lt;'Données projet'!$A$36,$K$205^A66,IF(A66='Données projet'!$A$36,'Données projet'!$B$36,N65+M66-V65)))</f>
        <v>965.65133333333279</v>
      </c>
      <c r="O66" s="14">
        <f>N66*VLOOKUP('Données projet'!$B$9,Paramètres!$A$1:$I$89,3,0)*VLOOKUP('Données projet'!$B$9,Paramètres!$A$1:$I$89,5,0)</f>
        <v>873.7213263999995</v>
      </c>
      <c r="P66" s="14">
        <f t="shared" si="33"/>
        <v>183.04134210310983</v>
      </c>
      <c r="Q66" s="22">
        <f t="shared" si="53"/>
        <v>1840.5283143095821</v>
      </c>
      <c r="R66" s="62">
        <f t="shared" si="0"/>
        <v>2133.8616476429156</v>
      </c>
      <c r="S66" s="62">
        <f ca="1">AVERAGE(OFFSET($R$3,0,0,'Données projet'!$E$9+1,1))-AVERAGE(OFFSET($H$3,0,0,'Données projet'!$E$9+1,1))</f>
        <v>2472.5049373954762</v>
      </c>
      <c r="T66" s="62">
        <f t="shared" si="34"/>
        <v>286.98388307318311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27.140095964518956</v>
      </c>
      <c r="AA66" s="23">
        <f>EXP(-LN(2)/25)*AA65+(1-EXP(-LN(2)/25))/(LN(2)/25)*Calculateur!V66*Calculateur!X66*VLOOKUP('Données projet'!$B$9,Paramètres!$A$1:$I$89,3,0)*0.475*44/12</f>
        <v>5.0746404160803609</v>
      </c>
      <c r="AB66" s="23">
        <f>EXP(-LN(2)/2)*AB65+(1-EXP(-LN(2)/2))/(LN(2)/2)*V66*Y66*VLOOKUP('Données projet'!$B$9,Paramètres!$A$1:$I$89,3,0)*0.475*44/12</f>
        <v>1.1834726731478424</v>
      </c>
      <c r="AC66" s="24">
        <f t="shared" si="3"/>
        <v>33.398209053747159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46.772666666666659</v>
      </c>
      <c r="AI66" s="14">
        <f>IF('Données projet'!$A$62&gt;35,AI65+AH66-AQ65,IF(A66&lt;'Données projet'!$A$62,$AF$205^A66,IF(A66='Données projet'!$A$62,'Données projet'!$B$62,AI65+AH66-AQ65)))</f>
        <v>965.65133333333279</v>
      </c>
      <c r="AJ66" s="14">
        <f>AI66*VLOOKUP('Données projet'!$B$10,Paramètres!$A$1:$I$89,3,0)*VLOOKUP('Données projet'!$B$10,Paramètres!$A$1:$I$89,5,0)</f>
        <v>979.1704519999995</v>
      </c>
      <c r="AK66" s="14">
        <f t="shared" si="35"/>
        <v>202.42980571711578</v>
      </c>
      <c r="AL66" s="22">
        <f t="shared" si="4"/>
        <v>2057.953782190642</v>
      </c>
      <c r="AM66" s="62">
        <f t="shared" si="5"/>
        <v>2351.2871155239754</v>
      </c>
      <c r="AN66" s="62">
        <f ca="1">AVERAGE(OFFSET($AM$3,0,0,'Données projet'!$E$10+1,1))-AVERAGE(OFFSET($H$3,0,0,'Données projet'!$E$10+1,1))</f>
        <v>2761.1400657295467</v>
      </c>
      <c r="AO66" s="62">
        <f t="shared" si="36"/>
        <v>316.41877504316409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30.415624787822967</v>
      </c>
      <c r="AV66" s="23">
        <f>EXP(-LN(2)/25)*AV65+(1-EXP(-LN(2)/25))/(LN(2)/25)*Calculateur!AQ66*Calculateur!AS66*VLOOKUP('Données projet'!$B$10,Paramètres!$A$1:$I$89,3,0)*0.475*44/12</f>
        <v>5.6870970180210918</v>
      </c>
      <c r="AW66" s="23">
        <f>EXP(-LN(2)/2)*AW65+(1-EXP(-LN(2)/2))/(LN(2)/2)*AQ66*AT66*VLOOKUP('Données projet'!$B$10,Paramètres!$A$1:$I$89,3,0)*0.475*44/12</f>
        <v>1.3263055819760308</v>
      </c>
      <c r="AX66" s="23">
        <f t="shared" si="6"/>
        <v>37.429027387820085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46.772666666666659</v>
      </c>
      <c r="BD66" s="13">
        <f>IF('Données projet'!$A$88&gt;35,BD65+BC66-BL65,IF(A66&lt;'Données projet'!$A$88,$BA$205^A66,IF(A66='Données projet'!$A$88,'Données projet'!$B$88,BD65+BC66-BL65)))</f>
        <v>965.65133333333279</v>
      </c>
      <c r="BE66" s="14">
        <f>BD66*VLOOKUP('Données projet'!$B$11,Paramètres!$A$1:$I$89,3,0)*VLOOKUP('Données projet'!$B$11,Paramètres!$A$1:$I$89,5,0)</f>
        <v>1009.2987735999995</v>
      </c>
      <c r="BF66" s="14">
        <f t="shared" si="37"/>
        <v>207.92366035995204</v>
      </c>
      <c r="BG66" s="22">
        <f t="shared" si="7"/>
        <v>2119.9957391469156</v>
      </c>
      <c r="BH66" s="62">
        <f t="shared" si="8"/>
        <v>2413.3290724802491</v>
      </c>
      <c r="BI66" s="62">
        <f ca="1">AVERAGE(OFFSET($BH$3,0,0,'Données projet'!$E$11+1,1))-AVERAGE(OFFSET($H$3,0,0,'Données projet'!$E$11+1,1))</f>
        <v>2843.5086223152098</v>
      </c>
      <c r="BJ66" s="62">
        <f t="shared" si="38"/>
        <v>324.81562437645522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31.351490165909841</v>
      </c>
      <c r="BQ66" s="23">
        <f>EXP(-LN(2)/25)*BQ65+(1-EXP(-LN(2)/25))/(LN(2)/25)*Calculateur!BL66*Calculateur!BN66*VLOOKUP('Données projet'!$B$11,Paramètres!$A$1:$I$89,3,0)*0.475*44/12</f>
        <v>5.8620846185755875</v>
      </c>
      <c r="BR66" s="23">
        <f>EXP(-LN(2)/2)*BR65+(1-EXP(-LN(2)/2))/(LN(2)/2)*BL66*BO66*VLOOKUP('Données projet'!$B$11,Paramètres!$A$1:$I$89,3,0)*0.475*44/12</f>
        <v>1.3671149844983697</v>
      </c>
      <c r="BS66" s="24">
        <f t="shared" si="9"/>
        <v>38.580689768983802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46.772666666666659</v>
      </c>
      <c r="BY66" s="13">
        <f>IF('Données projet'!$A$114&gt;35,BY65+BX66-CG65,IF(A66&lt;'Données projet'!$A$114,$BV$205^A66,IF(A66='Données projet'!$A$114,'Données projet'!$B$114,BY65+BX66-CG65)))</f>
        <v>965.65133333333279</v>
      </c>
      <c r="BZ66" s="14">
        <f>BY66*VLOOKUP('Données projet'!$B$12,Paramètres!$A$1:$I$89,3,0)*VLOOKUP('Données projet'!$B$12,Paramètres!$A$1:$I$89,5,0)</f>
        <v>964.10629119999942</v>
      </c>
      <c r="CA66" s="14">
        <f t="shared" si="39"/>
        <v>199.6755279399955</v>
      </c>
      <c r="CB66" s="22">
        <f t="shared" si="10"/>
        <v>2026.9200016688246</v>
      </c>
      <c r="CC66" s="62">
        <f t="shared" si="11"/>
        <v>2320.2533350021581</v>
      </c>
      <c r="CD66" s="62">
        <f ca="1">AVERAGE(OFFSET($CC$3,0,0,'Données projet'!$E$12+1,1))-AVERAGE(OFFSET($H$3,0,0,'Données projet'!$E$12+1,1))</f>
        <v>2719.939926994799</v>
      </c>
      <c r="CE66" s="62">
        <f t="shared" si="40"/>
        <v>312.21824046329749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29.947692098779545</v>
      </c>
      <c r="CL66" s="23">
        <f>EXP(-LN(2)/25)*CL65+(1-EXP(-LN(2)/25))/(LN(2)/25)*Calculateur!CG66*Calculateur!CI66*VLOOKUP('Données projet'!$B$12,Paramètres!$A$1:$I$89,3,0)*0.475*44/12</f>
        <v>5.5996032177438462</v>
      </c>
      <c r="CM66" s="23">
        <f>EXP(-LN(2)/2)*CM65+(1-EXP(-LN(2)/2))/(LN(2)/2)*CG66*CJ66*VLOOKUP('Données projet'!$B$12,Paramètres!$A$1:$I$89,3,0)*0.475*44/12</f>
        <v>1.3059008807148611</v>
      </c>
      <c r="CN66" s="24">
        <f t="shared" si="12"/>
        <v>36.853196197238248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51.041333333333327</v>
      </c>
      <c r="CT66" s="13">
        <f>IF('Données projet'!$A$140&gt;35,CT65+CS66-DB65,IF(A66&lt;'Données projet'!$A$140,$CQ$205^A66,IF(A66='Données projet'!$A$140,'Données projet'!$B$140,CT65+CS66-DB65)))</f>
        <v>1077.830666666667</v>
      </c>
      <c r="CU66" s="18">
        <f>CT66*VLOOKUP('Données projet'!$B$13,Paramètres!$A$1:$I$89,3,0)*VLOOKUP('Données projet'!$B$13,Paramètres!$A$1:$I$89,5,0)</f>
        <v>941.59287040000027</v>
      </c>
      <c r="CV66" s="14">
        <f t="shared" si="41"/>
        <v>195.54988023955917</v>
      </c>
      <c r="CW66" s="22">
        <f t="shared" si="13"/>
        <v>1980.5236240305658</v>
      </c>
      <c r="CX66" s="62">
        <f t="shared" si="14"/>
        <v>2273.8569573638993</v>
      </c>
      <c r="CY66" s="62">
        <f ca="1">AVERAGE(OFFSET($CX$3,0,0,'Données projet'!$E$13+1,1))-AVERAGE(OFFSET($H$3,0,0,'Données projet'!$E$13+1,1))</f>
        <v>1036.0130072090849</v>
      </c>
      <c r="CZ66" s="62">
        <f t="shared" si="42"/>
        <v>346.56593355696174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29.661622476208873</v>
      </c>
      <c r="DG66" s="23">
        <f>EXP(-LN(2)/25)*DG65+(1-EXP(-LN(2)/25))/(LN(2)/25)*Calculateur!DB66*Calculateur!DD66*VLOOKUP('Données projet'!$B$13,Paramètres!$A$1:$I$89,3,0)*0.475*44/12</f>
        <v>5.546114074949072</v>
      </c>
      <c r="DH66" s="23">
        <f>EXP(-LN(2)/2)*DH65+(1-EXP(-LN(2)/2))/(LN(2)/2)*DB66*DE66*VLOOKUP('Données projet'!$B$13,Paramètres!$A$1:$I$89,3,0)*0.475*44/12</f>
        <v>1.2934265113768626</v>
      </c>
      <c r="DI66" s="24">
        <f t="shared" si="15"/>
        <v>36.501163062534808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6.8212102632969618E-13</v>
      </c>
      <c r="DP66" s="18">
        <f>DO66*VLOOKUP('Données projet'!$B$14,Paramètres!$A$1:$I$89,3,0)*VLOOKUP('Données projet'!$B$14,Paramètres!$A$1:$I$89,5,0)</f>
        <v>3.8130565371830017E-13</v>
      </c>
      <c r="DQ66" s="14">
        <f t="shared" si="43"/>
        <v>4.9019074112354236E-12</v>
      </c>
      <c r="DR66" s="22">
        <f t="shared" si="16"/>
        <v>9.2015960881277352E-12</v>
      </c>
      <c r="DS66" s="62">
        <f t="shared" si="17"/>
        <v>293.33333333334252</v>
      </c>
      <c r="DT66" s="62">
        <f ca="1">AVERAGE(OFFSET($DS$3,0,0,'Données projet'!$E$14+1,1))-AVERAGE(OFFSET($H$3,0,0,'Données projet'!$E$14+1,1))</f>
        <v>446.48069057792151</v>
      </c>
      <c r="DU66" s="62">
        <f t="shared" si="44"/>
        <v>561.75656782935948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174.00916304857799</v>
      </c>
      <c r="EB66" s="23">
        <f>EXP(-LN(2)/25)*EB65+(1-EXP(-LN(2)/25))/(LN(2)/25)*Calculateur!DW66*Calculateur!DY66*VLOOKUP('Données projet'!$B$14,Paramètres!$A$1:$I$89,3,0)*0.475*44/12</f>
        <v>74.567049813810414</v>
      </c>
      <c r="EC66" s="23">
        <f>EXP(-LN(2)/2)*EC65+(1-EXP(-LN(2)/2))/(LN(2)/2)*DW66*DZ66*VLOOKUP('Données projet'!$B$14,Paramètres!$A$1:$I$89,3,0)*0.475*44/12</f>
        <v>47.441622493377089</v>
      </c>
      <c r="ED66" s="24">
        <f t="shared" si="18"/>
        <v>296.0178353557655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1.7053025658242404E-13</v>
      </c>
      <c r="EK66" s="18">
        <f>EJ66*VLOOKUP('Données projet'!$B$15,Paramètres!$A$1:$I$89,3,0)*VLOOKUP('Données projet'!$B$15,Paramètres!$A$1:$I$89,5,0)</f>
        <v>1.6493686416652052E-13</v>
      </c>
      <c r="EL66" s="14">
        <f t="shared" si="45"/>
        <v>2.3376205369651282E-12</v>
      </c>
      <c r="EM66" s="22">
        <f t="shared" si="19"/>
        <v>4.3586208069709543E-12</v>
      </c>
      <c r="EN66" s="62">
        <f t="shared" si="20"/>
        <v>293.33333333333769</v>
      </c>
      <c r="EO66" s="62">
        <f ca="1">AVERAGE(OFFSET($EN$3,0,0,'Données projet'!$E$15+1,1))-AVERAGE(OFFSET($H$3,0,0,'Données projet'!$E$15+1,1))</f>
        <v>301.18531163828169</v>
      </c>
      <c r="EP66" s="62">
        <f t="shared" si="46"/>
        <v>192.30530273268101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224.71288335636271</v>
      </c>
      <c r="EW66" s="23">
        <f>EXP(-LN(2)/25)*EW65+(1-EXP(-LN(2)/25))/(LN(2)/25)*Calculateur!ER66*Calculateur!ET66*VLOOKUP('Données projet'!$B$15,Paramètres!$A$1:$I$89,3,0)*0.475*44/12</f>
        <v>21.700677081380114</v>
      </c>
      <c r="EX66" s="23">
        <f>EXP(-LN(2)/2)*EX65+(1-EXP(-LN(2)/2))/(LN(2)/2)*ER66*EU66*VLOOKUP('Données projet'!$B$15,Paramètres!$A$1:$I$89,3,0)*0.475*44/12</f>
        <v>22.39021509638722</v>
      </c>
      <c r="EY66" s="24">
        <f t="shared" si="21"/>
        <v>268.80377553413007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1.7053025658242404E-13</v>
      </c>
      <c r="FF66" s="18">
        <f>FE66*VLOOKUP('Données projet'!$B$16,Paramètres!$A$1:$I$89,3,0)*VLOOKUP('Données projet'!$B$16,Paramètres!$A$1:$I$89,5,0)</f>
        <v>1.3301360013429075E-13</v>
      </c>
      <c r="FG66" s="14">
        <f t="shared" si="47"/>
        <v>1.9329766731057041E-12</v>
      </c>
      <c r="FH66" s="22">
        <f t="shared" si="22"/>
        <v>3.5982663925596575E-12</v>
      </c>
      <c r="FI66" s="62">
        <f t="shared" si="23"/>
        <v>293.3333333333369</v>
      </c>
      <c r="FJ66" s="62">
        <f ca="1">AVERAGE(OFFSET($FI$3,0,0,'Données projet'!$E$16+1,1))-AVERAGE(OFFSET($H$3,0,0,'Données projet'!$E$16+1,1))</f>
        <v>249.2899297828755</v>
      </c>
      <c r="FK66" s="62">
        <f t="shared" si="48"/>
        <v>162.88011837476813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181.22006722287318</v>
      </c>
      <c r="FR66" s="23">
        <f>EXP(-LN(2)/25)*FR65+(1-EXP(-LN(2)/25))/(LN(2)/25)*Calculateur!FM66*Calculateur!FO66*VLOOKUP('Données projet'!$B$16,Paramètres!$A$1:$I$89,3,0)*0.475*44/12</f>
        <v>17.500546033371055</v>
      </c>
      <c r="FS66" s="23">
        <f>EXP(-LN(2)/2)*FS65+(1-EXP(-LN(2)/2))/(LN(2)/2)*FM66*FP66*VLOOKUP('Données projet'!$B$16,Paramètres!$A$1:$I$89,3,0)*0.475*44/12</f>
        <v>18.056625077731628</v>
      </c>
      <c r="FT66" s="24">
        <f t="shared" si="24"/>
        <v>216.77723833397587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1.7053025658242404E-13</v>
      </c>
      <c r="GA66" s="18">
        <f>FZ66*VLOOKUP('Données projet'!$B$17,Paramètres!$A$1:$I$89,3,0)*VLOOKUP('Données projet'!$B$17,Paramètres!$A$1:$I$89,5,0)</f>
        <v>1.1439169611549005E-13</v>
      </c>
      <c r="GB66" s="14">
        <f t="shared" si="49"/>
        <v>1.6918016515029816E-12</v>
      </c>
      <c r="GC66" s="22">
        <f t="shared" si="25"/>
        <v>3.1457867471021712E-12</v>
      </c>
      <c r="GD66" s="62">
        <f t="shared" si="26"/>
        <v>293.33333333333644</v>
      </c>
      <c r="GE66" s="62">
        <f ca="1">AVERAGE(OFFSET($GD$3,0,0,'Données projet'!$E$17+1,1))-AVERAGE(OFFSET($H$3,0,0,'Données projet'!$E$17+1,1))</f>
        <v>218.89895999738746</v>
      </c>
      <c r="GF66" s="62">
        <f t="shared" si="50"/>
        <v>145.64042897395763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192.09327125624557</v>
      </c>
      <c r="GM66" s="23">
        <f>EXP(-LN(2)/25)*GM65+(1-EXP(-LN(2)/25))/(LN(2)/25)*Calculateur!GH66*Calculateur!GJ66*VLOOKUP('Données projet'!$B$17,Paramètres!$A$1:$I$89,3,0)*0.475*44/12</f>
        <v>18.550578795373323</v>
      </c>
      <c r="GN66" s="23">
        <f>EXP(-LN(2)/2)*GN65+(1-EXP(-LN(2)/2))/(LN(2)/2)*GH66*GK66*VLOOKUP('Données projet'!$B$17,Paramètres!$A$1:$I$89,3,0)*0.475*44/12</f>
        <v>15.528697566849202</v>
      </c>
      <c r="GO66" s="23">
        <f t="shared" si="27"/>
        <v>226.17254761846809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1.7053025658242404E-13</v>
      </c>
      <c r="GV66" s="18">
        <f>GU66*VLOOKUP('Données projet'!$B$18,Paramètres!$A$1:$I$89,3,0)*VLOOKUP('Données projet'!$B$18,Paramètres!$A$1:$I$89,5,0)</f>
        <v>1.8355876818532125E-13</v>
      </c>
      <c r="GW66" s="14">
        <f t="shared" si="51"/>
        <v>2.5693529898865504E-12</v>
      </c>
      <c r="GX66" s="22">
        <f t="shared" si="28"/>
        <v>4.7946546453085093E-12</v>
      </c>
      <c r="GY66" s="62">
        <f t="shared" si="29"/>
        <v>293.33333333333809</v>
      </c>
      <c r="GZ66" s="62">
        <f ca="1">AVERAGE(OFFSET($GY$3,0,0,'Données projet'!$E$18+1,1))-AVERAGE(OFFSET($H$3,0,0,'Données projet'!$E$18+1,1))</f>
        <v>331.3579800635751</v>
      </c>
      <c r="HA66" s="62">
        <f t="shared" si="52"/>
        <v>209.40702003535273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250.08369276756494</v>
      </c>
      <c r="HH66" s="23">
        <f>EXP(-LN(2)/25)*HH65+(1-EXP(-LN(2)/25))/(LN(2)/25)*Calculateur!HC66*Calculateur!HE66*VLOOKUP('Données projet'!$B$18,Paramètres!$A$1:$I$89,3,0)*0.475*44/12</f>
        <v>24.15075352605206</v>
      </c>
      <c r="HI66" s="23">
        <f>EXP(-LN(2)/2)*HI65+(1-EXP(-LN(2)/2))/(LN(2)/2)*HC66*HF66*VLOOKUP('Données projet'!$B$18,Paramètres!$A$1:$I$89,3,0)*0.475*44/12</f>
        <v>24.918142607269655</v>
      </c>
      <c r="HJ66" s="24">
        <f t="shared" si="30"/>
        <v>299.15258890088666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46.772666666666659</v>
      </c>
      <c r="N67" s="14">
        <f>IF('Données projet'!$A$36&gt;35,N66+M67-V66,IF(A67&lt;'Données projet'!$A$36,$K$205^A67,IF(A67='Données projet'!$A$36,'Données projet'!$B$36,N66+M67-V66)))</f>
        <v>1012.4239999999994</v>
      </c>
      <c r="O67" s="14">
        <f>N67*VLOOKUP('Données projet'!$B$9,Paramètres!$A$1:$I$89,3,0)*VLOOKUP('Données projet'!$B$9,Paramètres!$A$1:$I$89,5,0)</f>
        <v>916.04123519999951</v>
      </c>
      <c r="P67" s="14">
        <f t="shared" si="33"/>
        <v>190.85352243680879</v>
      </c>
      <c r="Q67" s="22">
        <f t="shared" ref="Q67:Q98" si="54">(O67+P67)*0.475*44/12</f>
        <v>1927.8417028841075</v>
      </c>
      <c r="R67" s="62">
        <f t="shared" ref="R67:R130" si="55">Q67+(I67+J67)*44/12</f>
        <v>2221.1750362174407</v>
      </c>
      <c r="S67" s="62">
        <f ca="1">AVERAGE(OFFSET($R$3,0,0,'Données projet'!$E$9+1,1))-AVERAGE(OFFSET($H$3,0,0,'Données projet'!$E$9+1,1))</f>
        <v>2472.5049373954762</v>
      </c>
      <c r="T67" s="62">
        <f t="shared" si="34"/>
        <v>286.98388307318311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26.607895236478722</v>
      </c>
      <c r="AA67" s="23">
        <f>EXP(-LN(2)/25)*AA66+(1-EXP(-LN(2)/25))/(LN(2)/25)*Calculateur!V67*Calculateur!X67*VLOOKUP('Données projet'!$B$9,Paramètres!$A$1:$I$89,3,0)*0.475*44/12</f>
        <v>4.9358741070389023</v>
      </c>
      <c r="AB67" s="23">
        <f>EXP(-LN(2)/2)*AB66+(1-EXP(-LN(2)/2))/(LN(2)/2)*V67*Y67*VLOOKUP('Données projet'!$B$9,Paramètres!$A$1:$I$89,3,0)*0.475*44/12</f>
        <v>0.83684155253180992</v>
      </c>
      <c r="AC67" s="24">
        <f t="shared" si="3"/>
        <v>32.380610896049433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46.772666666666659</v>
      </c>
      <c r="AI67" s="14">
        <f>IF('Données projet'!$A$62&gt;35,AI66+AH67-AQ66,IF(A67&lt;'Données projet'!$A$62,$AF$205^A67,IF(A67='Données projet'!$A$62,'Données projet'!$B$62,AI66+AH67-AQ66)))</f>
        <v>1012.4239999999994</v>
      </c>
      <c r="AJ67" s="14">
        <f>AI67*VLOOKUP('Données projet'!$B$10,Paramètres!$A$1:$I$89,3,0)*VLOOKUP('Données projet'!$B$10,Paramètres!$A$1:$I$89,5,0)</f>
        <v>1026.5979359999994</v>
      </c>
      <c r="AK67" s="14">
        <f t="shared" si="35"/>
        <v>211.06948312008694</v>
      </c>
      <c r="AL67" s="22">
        <f t="shared" si="4"/>
        <v>2155.6040883008168</v>
      </c>
      <c r="AM67" s="62">
        <f t="shared" si="5"/>
        <v>2448.9374216341503</v>
      </c>
      <c r="AN67" s="62">
        <f ca="1">AVERAGE(OFFSET($AM$3,0,0,'Données projet'!$E$10+1,1))-AVERAGE(OFFSET($H$3,0,0,'Données projet'!$E$10+1,1))</f>
        <v>2761.1400657295467</v>
      </c>
      <c r="AO67" s="62">
        <f t="shared" si="36"/>
        <v>316.41877504316409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29.819192937433051</v>
      </c>
      <c r="AV67" s="23">
        <f>EXP(-LN(2)/25)*AV66+(1-EXP(-LN(2)/25))/(LN(2)/25)*Calculateur!AQ67*Calculateur!AS67*VLOOKUP('Données projet'!$B$10,Paramètres!$A$1:$I$89,3,0)*0.475*44/12</f>
        <v>5.5315830509918706</v>
      </c>
      <c r="AW67" s="23">
        <f>EXP(-LN(2)/2)*AW66+(1-EXP(-LN(2)/2))/(LN(2)/2)*AQ67*AT67*VLOOKUP('Données projet'!$B$10,Paramètres!$A$1:$I$89,3,0)*0.475*44/12</f>
        <v>0.93783967094082177</v>
      </c>
      <c r="AX67" s="23">
        <f t="shared" si="6"/>
        <v>36.288615659365746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46.772666666666659</v>
      </c>
      <c r="BD67" s="13">
        <f>IF('Données projet'!$A$88&gt;35,BD66+BC67-BL66,IF(A67&lt;'Données projet'!$A$88,$BA$205^A67,IF(A67='Données projet'!$A$88,'Données projet'!$B$88,BD66+BC67-BL66)))</f>
        <v>1012.4239999999994</v>
      </c>
      <c r="BE67" s="14">
        <f>BD67*VLOOKUP('Données projet'!$B$11,Paramètres!$A$1:$I$89,3,0)*VLOOKUP('Données projet'!$B$11,Paramètres!$A$1:$I$89,5,0)</f>
        <v>1058.1855647999994</v>
      </c>
      <c r="BF67" s="14">
        <f t="shared" si="37"/>
        <v>216.7978147543167</v>
      </c>
      <c r="BG67" s="22">
        <f t="shared" si="7"/>
        <v>2220.5960527237671</v>
      </c>
      <c r="BH67" s="62">
        <f t="shared" si="8"/>
        <v>2513.9293860571006</v>
      </c>
      <c r="BI67" s="62">
        <f ca="1">AVERAGE(OFFSET($BH$3,0,0,'Données projet'!$E$11+1,1))-AVERAGE(OFFSET($H$3,0,0,'Données projet'!$E$11+1,1))</f>
        <v>2843.5086223152098</v>
      </c>
      <c r="BJ67" s="62">
        <f t="shared" si="38"/>
        <v>324.81562437645522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30.736706566277157</v>
      </c>
      <c r="BQ67" s="23">
        <f>EXP(-LN(2)/25)*BQ66+(1-EXP(-LN(2)/25))/(LN(2)/25)*Calculateur!BL67*Calculateur!BN67*VLOOKUP('Données projet'!$B$11,Paramètres!$A$1:$I$89,3,0)*0.475*44/12</f>
        <v>5.7017856064070056</v>
      </c>
      <c r="BR67" s="23">
        <f>EXP(-LN(2)/2)*BR66+(1-EXP(-LN(2)/2))/(LN(2)/2)*BL67*BO67*VLOOKUP('Données projet'!$B$11,Paramètres!$A$1:$I$89,3,0)*0.475*44/12</f>
        <v>0.966696276200539</v>
      </c>
      <c r="BS67" s="24">
        <f t="shared" si="9"/>
        <v>37.405188448884701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46.772666666666659</v>
      </c>
      <c r="BY67" s="13">
        <f>IF('Données projet'!$A$114&gt;35,BY66+BX67-CG66,IF(A67&lt;'Données projet'!$A$114,$BV$205^A67,IF(A67='Données projet'!$A$114,'Données projet'!$B$114,BY66+BX67-CG66)))</f>
        <v>1012.4239999999994</v>
      </c>
      <c r="BZ67" s="14">
        <f>BY67*VLOOKUP('Données projet'!$B$12,Paramètres!$A$1:$I$89,3,0)*VLOOKUP('Données projet'!$B$12,Paramètres!$A$1:$I$89,5,0)</f>
        <v>1010.8041215999996</v>
      </c>
      <c r="CA67" s="14">
        <f t="shared" si="39"/>
        <v>208.19765313079026</v>
      </c>
      <c r="CB67" s="22">
        <f t="shared" si="10"/>
        <v>2123.0947576561252</v>
      </c>
      <c r="CC67" s="62">
        <f t="shared" si="11"/>
        <v>2416.4280909894587</v>
      </c>
      <c r="CD67" s="62">
        <f ca="1">AVERAGE(OFFSET($CC$3,0,0,'Données projet'!$E$12+1,1))-AVERAGE(OFFSET($H$3,0,0,'Données projet'!$E$12+1,1))</f>
        <v>2719.939926994799</v>
      </c>
      <c r="CE67" s="62">
        <f t="shared" si="40"/>
        <v>312.21824046329749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29.360436123011013</v>
      </c>
      <c r="CL67" s="23">
        <f>EXP(-LN(2)/25)*CL66+(1-EXP(-LN(2)/25))/(LN(2)/25)*Calculateur!CG67*Calculateur!CI67*VLOOKUP('Données projet'!$B$12,Paramètres!$A$1:$I$89,3,0)*0.475*44/12</f>
        <v>5.4464817732843054</v>
      </c>
      <c r="CM67" s="23">
        <f>EXP(-LN(2)/2)*CM66+(1-EXP(-LN(2)/2))/(LN(2)/2)*CG67*CJ67*VLOOKUP('Données projet'!$B$12,Paramètres!$A$1:$I$89,3,0)*0.475*44/12</f>
        <v>0.92341136831096304</v>
      </c>
      <c r="CN67" s="24">
        <f t="shared" si="12"/>
        <v>35.730329264606283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51.041333333333327</v>
      </c>
      <c r="CT67" s="13">
        <f>IF('Données projet'!$A$140&gt;35,CT66+CS67-DB66,IF(A67&lt;'Données projet'!$A$140,$CQ$205^A67,IF(A67='Données projet'!$A$140,'Données projet'!$B$140,CT66+CS67-DB66)))</f>
        <v>1128.8720000000003</v>
      </c>
      <c r="CU67" s="18">
        <f>CT67*VLOOKUP('Données projet'!$B$13,Paramètres!$A$1:$I$89,3,0)*VLOOKUP('Données projet'!$B$13,Paramètres!$A$1:$I$89,5,0)</f>
        <v>986.18257920000042</v>
      </c>
      <c r="CV67" s="14">
        <f t="shared" si="41"/>
        <v>203.71019221647396</v>
      </c>
      <c r="CW67" s="22">
        <f t="shared" si="13"/>
        <v>2072.3965768836924</v>
      </c>
      <c r="CX67" s="62">
        <f t="shared" si="14"/>
        <v>2365.7299102170259</v>
      </c>
      <c r="CY67" s="62">
        <f ca="1">AVERAGE(OFFSET($CX$3,0,0,'Données projet'!$E$13+1,1))-AVERAGE(OFFSET($H$3,0,0,'Données projet'!$E$13+1,1))</f>
        <v>1036.0130072090849</v>
      </c>
      <c r="CZ67" s="62">
        <f t="shared" si="42"/>
        <v>346.56593355696174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29.07997615125371</v>
      </c>
      <c r="DG67" s="23">
        <f>EXP(-LN(2)/25)*DG66+(1-EXP(-LN(2)/25))/(LN(2)/25)*Calculateur!DB67*Calculateur!DD67*VLOOKUP('Données projet'!$B$13,Paramètres!$A$1:$I$89,3,0)*0.475*44/12</f>
        <v>5.3944552939121264</v>
      </c>
      <c r="DH67" s="23">
        <f>EXP(-LN(2)/2)*DH66+(1-EXP(-LN(2)/2))/(LN(2)/2)*DB67*DE67*VLOOKUP('Données projet'!$B$13,Paramètres!$A$1:$I$89,3,0)*0.475*44/12</f>
        <v>0.91459065716103871</v>
      </c>
      <c r="DI67" s="24">
        <f t="shared" si="15"/>
        <v>35.389022102326869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6.8212102632969618E-13</v>
      </c>
      <c r="DP67" s="18">
        <f>DO67*VLOOKUP('Données projet'!$B$14,Paramètres!$A$1:$I$89,3,0)*VLOOKUP('Données projet'!$B$14,Paramètres!$A$1:$I$89,5,0)</f>
        <v>3.8130565371830017E-13</v>
      </c>
      <c r="DQ67" s="14">
        <f t="shared" si="43"/>
        <v>4.9019074112354236E-12</v>
      </c>
      <c r="DR67" s="22">
        <f t="shared" si="16"/>
        <v>9.2015960881277352E-12</v>
      </c>
      <c r="DS67" s="62">
        <f t="shared" si="17"/>
        <v>293.33333333334252</v>
      </c>
      <c r="DT67" s="62">
        <f ca="1">AVERAGE(OFFSET($DS$3,0,0,'Données projet'!$E$14+1,1))-AVERAGE(OFFSET($H$3,0,0,'Données projet'!$E$14+1,1))</f>
        <v>446.48069057792151</v>
      </c>
      <c r="DU67" s="62">
        <f t="shared" si="44"/>
        <v>561.75656782935948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170.59694949630486</v>
      </c>
      <c r="EB67" s="23">
        <f>EXP(-LN(2)/25)*EB66+(1-EXP(-LN(2)/25))/(LN(2)/25)*Calculateur!DW67*Calculateur!DY67*VLOOKUP('Données projet'!$B$14,Paramètres!$A$1:$I$89,3,0)*0.475*44/12</f>
        <v>72.528009915341045</v>
      </c>
      <c r="EC67" s="23">
        <f>EXP(-LN(2)/2)*EC66+(1-EXP(-LN(2)/2))/(LN(2)/2)*DW67*DZ67*VLOOKUP('Données projet'!$B$14,Paramètres!$A$1:$I$89,3,0)*0.475*44/12</f>
        <v>33.54629297555919</v>
      </c>
      <c r="ED67" s="24">
        <f t="shared" si="18"/>
        <v>276.67125238720507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1.7053025658242404E-13</v>
      </c>
      <c r="EK67" s="18">
        <f>EJ67*VLOOKUP('Données projet'!$B$15,Paramètres!$A$1:$I$89,3,0)*VLOOKUP('Données projet'!$B$15,Paramètres!$A$1:$I$89,5,0)</f>
        <v>1.6493686416652052E-13</v>
      </c>
      <c r="EL67" s="14">
        <f t="shared" si="45"/>
        <v>2.3376205369651282E-12</v>
      </c>
      <c r="EM67" s="22">
        <f t="shared" si="19"/>
        <v>4.3586208069709543E-12</v>
      </c>
      <c r="EN67" s="62">
        <f t="shared" si="20"/>
        <v>293.33333333333769</v>
      </c>
      <c r="EO67" s="62">
        <f ca="1">AVERAGE(OFFSET($EN$3,0,0,'Données projet'!$E$15+1,1))-AVERAGE(OFFSET($H$3,0,0,'Données projet'!$E$15+1,1))</f>
        <v>301.18531163828169</v>
      </c>
      <c r="EP67" s="62">
        <f t="shared" si="46"/>
        <v>192.30530273268101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220.30640077506959</v>
      </c>
      <c r="EW67" s="23">
        <f>EXP(-LN(2)/25)*EW66+(1-EXP(-LN(2)/25))/(LN(2)/25)*Calculateur!ER67*Calculateur!ET67*VLOOKUP('Données projet'!$B$15,Paramètres!$A$1:$I$89,3,0)*0.475*44/12</f>
        <v>21.107270925400766</v>
      </c>
      <c r="EX67" s="23">
        <f>EXP(-LN(2)/2)*EX66+(1-EXP(-LN(2)/2))/(LN(2)/2)*ER67*EU67*VLOOKUP('Données projet'!$B$15,Paramètres!$A$1:$I$89,3,0)*0.475*44/12</f>
        <v>15.832272926880812</v>
      </c>
      <c r="EY67" s="24">
        <f t="shared" si="21"/>
        <v>257.24594462735115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1.7053025658242404E-13</v>
      </c>
      <c r="FF67" s="18">
        <f>FE67*VLOOKUP('Données projet'!$B$16,Paramètres!$A$1:$I$89,3,0)*VLOOKUP('Données projet'!$B$16,Paramètres!$A$1:$I$89,5,0)</f>
        <v>1.3301360013429075E-13</v>
      </c>
      <c r="FG67" s="14">
        <f t="shared" si="47"/>
        <v>1.9329766731057041E-12</v>
      </c>
      <c r="FH67" s="22">
        <f t="shared" si="22"/>
        <v>3.5982663925596575E-12</v>
      </c>
      <c r="FI67" s="62">
        <f t="shared" si="23"/>
        <v>293.3333333333369</v>
      </c>
      <c r="FJ67" s="62">
        <f ca="1">AVERAGE(OFFSET($FI$3,0,0,'Données projet'!$E$16+1,1))-AVERAGE(OFFSET($H$3,0,0,'Données projet'!$E$16+1,1))</f>
        <v>249.2899297828755</v>
      </c>
      <c r="FK67" s="62">
        <f t="shared" si="48"/>
        <v>162.88011837476813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177.66645223795939</v>
      </c>
      <c r="FR67" s="23">
        <f>EXP(-LN(2)/25)*FR66+(1-EXP(-LN(2)/25))/(LN(2)/25)*Calculateur!FM67*Calculateur!FO67*VLOOKUP('Données projet'!$B$16,Paramètres!$A$1:$I$89,3,0)*0.475*44/12</f>
        <v>17.021992681774805</v>
      </c>
      <c r="FS67" s="23">
        <f>EXP(-LN(2)/2)*FS66+(1-EXP(-LN(2)/2))/(LN(2)/2)*FM67*FP67*VLOOKUP('Données projet'!$B$16,Paramètres!$A$1:$I$89,3,0)*0.475*44/12</f>
        <v>12.767962037807106</v>
      </c>
      <c r="FT67" s="24">
        <f t="shared" si="24"/>
        <v>207.4564069575413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1.7053025658242404E-13</v>
      </c>
      <c r="GA67" s="18">
        <f>FZ67*VLOOKUP('Données projet'!$B$17,Paramètres!$A$1:$I$89,3,0)*VLOOKUP('Données projet'!$B$17,Paramètres!$A$1:$I$89,5,0)</f>
        <v>1.1439169611549005E-13</v>
      </c>
      <c r="GB67" s="14">
        <f t="shared" si="49"/>
        <v>1.6918016515029816E-12</v>
      </c>
      <c r="GC67" s="22">
        <f t="shared" si="25"/>
        <v>3.1457867471021712E-12</v>
      </c>
      <c r="GD67" s="62">
        <f t="shared" si="26"/>
        <v>293.33333333333644</v>
      </c>
      <c r="GE67" s="62">
        <f ca="1">AVERAGE(OFFSET($GD$3,0,0,'Données projet'!$E$17+1,1))-AVERAGE(OFFSET($H$3,0,0,'Données projet'!$E$17+1,1))</f>
        <v>218.89895999738746</v>
      </c>
      <c r="GF67" s="62">
        <f t="shared" si="50"/>
        <v>145.64042897395763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188.32643937223693</v>
      </c>
      <c r="GM67" s="23">
        <f>EXP(-LN(2)/25)*GM66+(1-EXP(-LN(2)/25))/(LN(2)/25)*Calculateur!GH67*Calculateur!GJ67*VLOOKUP('Données projet'!$B$17,Paramètres!$A$1:$I$89,3,0)*0.475*44/12</f>
        <v>18.043312242681299</v>
      </c>
      <c r="GN67" s="23">
        <f>EXP(-LN(2)/2)*GN66+(1-EXP(-LN(2)/2))/(LN(2)/2)*GH67*GK67*VLOOKUP('Données projet'!$B$17,Paramètres!$A$1:$I$89,3,0)*0.475*44/12</f>
        <v>10.980447352514112</v>
      </c>
      <c r="GO67" s="23">
        <f t="shared" si="27"/>
        <v>217.35019896743236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1.7053025658242404E-13</v>
      </c>
      <c r="GV67" s="18">
        <f>GU67*VLOOKUP('Données projet'!$B$18,Paramètres!$A$1:$I$89,3,0)*VLOOKUP('Données projet'!$B$18,Paramètres!$A$1:$I$89,5,0)</f>
        <v>1.8355876818532125E-13</v>
      </c>
      <c r="GW67" s="14">
        <f t="shared" si="51"/>
        <v>2.5693529898865504E-12</v>
      </c>
      <c r="GX67" s="22">
        <f t="shared" si="28"/>
        <v>4.7946546453085093E-12</v>
      </c>
      <c r="GY67" s="62">
        <f t="shared" si="29"/>
        <v>293.33333333333809</v>
      </c>
      <c r="GZ67" s="62">
        <f ca="1">AVERAGE(OFFSET($GY$3,0,0,'Données projet'!$E$18+1,1))-AVERAGE(OFFSET($H$3,0,0,'Données projet'!$E$18+1,1))</f>
        <v>331.3579800635751</v>
      </c>
      <c r="HA67" s="62">
        <f t="shared" si="52"/>
        <v>209.40702003535273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245.17970408838391</v>
      </c>
      <c r="HH67" s="23">
        <f>EXP(-LN(2)/25)*HH66+(1-EXP(-LN(2)/25))/(LN(2)/25)*Calculateur!HC67*Calculateur!HE67*VLOOKUP('Données projet'!$B$18,Paramètres!$A$1:$I$89,3,0)*0.475*44/12</f>
        <v>23.490349900849235</v>
      </c>
      <c r="HI67" s="23">
        <f>EXP(-LN(2)/2)*HI66+(1-EXP(-LN(2)/2))/(LN(2)/2)*HC67*HF67*VLOOKUP('Données projet'!$B$18,Paramètres!$A$1:$I$89,3,0)*0.475*44/12</f>
        <v>17.619787612173813</v>
      </c>
      <c r="HJ67" s="24">
        <f t="shared" si="30"/>
        <v>286.28984160140698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46.772666666666659</v>
      </c>
      <c r="N68" s="14">
        <f>IF('Données projet'!$A$36&gt;35,N67+M68-V67,IF(A68&lt;'Données projet'!$A$36,$K$205^A68,IF(A68='Données projet'!$A$36,'Données projet'!$B$36,N67+M68-V67)))</f>
        <v>1059.196666666666</v>
      </c>
      <c r="O68" s="14">
        <f>N68*VLOOKUP('Données projet'!$B$9,Paramètres!$A$1:$I$89,3,0)*VLOOKUP('Données projet'!$B$9,Paramètres!$A$1:$I$89,5,0)</f>
        <v>958.36114399999929</v>
      </c>
      <c r="P68" s="14">
        <f t="shared" si="33"/>
        <v>198.62378956259175</v>
      </c>
      <c r="Q68" s="22">
        <f t="shared" si="54"/>
        <v>2015.0820926215126</v>
      </c>
      <c r="R68" s="62">
        <f t="shared" si="55"/>
        <v>2308.4154259548459</v>
      </c>
      <c r="S68" s="62">
        <f ca="1">AVERAGE(OFFSET($R$3,0,0,'Données projet'!$E$9+1,1))-AVERAGE(OFFSET($H$3,0,0,'Données projet'!$E$9+1,1))</f>
        <v>2472.5049373954762</v>
      </c>
      <c r="T68" s="62">
        <f t="shared" si="34"/>
        <v>286.98388307318311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26.086130640104965</v>
      </c>
      <c r="AA68" s="23">
        <f>EXP(-LN(2)/25)*AA67+(1-EXP(-LN(2)/25))/(LN(2)/25)*Calculateur!V68*Calculateur!X68*VLOOKUP('Données projet'!$B$9,Paramètres!$A$1:$I$89,3,0)*0.475*44/12</f>
        <v>4.8009023700155851</v>
      </c>
      <c r="AB68" s="23">
        <f>EXP(-LN(2)/2)*AB67+(1-EXP(-LN(2)/2))/(LN(2)/2)*V68*Y68*VLOOKUP('Données projet'!$B$9,Paramètres!$A$1:$I$89,3,0)*0.475*44/12</f>
        <v>0.59173633657392122</v>
      </c>
      <c r="AC68" s="24">
        <f t="shared" ref="AC68:AC131" si="57">SUM(Z68:AB68)</f>
        <v>31.47876934669447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46.772666666666659</v>
      </c>
      <c r="AI68" s="14">
        <f>IF('Données projet'!$A$62&gt;35,AI67+AH68-AQ67,IF(A68&lt;'Données projet'!$A$62,$AF$205^A68,IF(A68='Données projet'!$A$62,'Données projet'!$B$62,AI67+AH68-AQ67)))</f>
        <v>1059.196666666666</v>
      </c>
      <c r="AJ68" s="14">
        <f>AI68*VLOOKUP('Données projet'!$B$10,Paramètres!$A$1:$I$89,3,0)*VLOOKUP('Données projet'!$B$10,Paramètres!$A$1:$I$89,5,0)</f>
        <v>1074.0254199999995</v>
      </c>
      <c r="AK68" s="14">
        <f t="shared" si="35"/>
        <v>219.66280770222599</v>
      </c>
      <c r="AL68" s="22">
        <f t="shared" ref="AL68:AL131" si="58">(AJ68+AK68)*0.475*44/12</f>
        <v>2253.1736632480424</v>
      </c>
      <c r="AM68" s="62">
        <f t="shared" ref="AM68:AM131" si="59">AL68+(AD68+AE68)*44/12</f>
        <v>2546.5069965813759</v>
      </c>
      <c r="AN68" s="62">
        <f ca="1">AVERAGE(OFFSET($AM$3,0,0,'Données projet'!$E$10+1,1))-AVERAGE(OFFSET($H$3,0,0,'Données projet'!$E$10+1,1))</f>
        <v>2761.1400657295467</v>
      </c>
      <c r="AO68" s="62">
        <f t="shared" si="36"/>
        <v>316.41877504316409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29.234456751841773</v>
      </c>
      <c r="AV68" s="23">
        <f>EXP(-LN(2)/25)*AV67+(1-EXP(-LN(2)/25))/(LN(2)/25)*Calculateur!AQ68*Calculateur!AS68*VLOOKUP('Données projet'!$B$10,Paramètres!$A$1:$I$89,3,0)*0.475*44/12</f>
        <v>5.3803216215691876</v>
      </c>
      <c r="AW68" s="23">
        <f>EXP(-LN(2)/2)*AW67+(1-EXP(-LN(2)/2))/(LN(2)/2)*AQ68*AT68*VLOOKUP('Données projet'!$B$10,Paramètres!$A$1:$I$89,3,0)*0.475*44/12</f>
        <v>0.66315279098801538</v>
      </c>
      <c r="AX68" s="23">
        <f t="shared" ref="AX68:AX131" si="60">SUM(AU68:AW68)</f>
        <v>35.277931164398971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46.772666666666659</v>
      </c>
      <c r="BD68" s="13">
        <f>IF('Données projet'!$A$88&gt;35,BD67+BC68-BL67,IF(A68&lt;'Données projet'!$A$88,$BA$205^A68,IF(A68='Données projet'!$A$88,'Données projet'!$B$88,BD67+BC68-BL67)))</f>
        <v>1059.196666666666</v>
      </c>
      <c r="BE68" s="14">
        <f>BD68*VLOOKUP('Données projet'!$B$11,Paramètres!$A$1:$I$89,3,0)*VLOOKUP('Données projet'!$B$11,Paramètres!$A$1:$I$89,5,0)</f>
        <v>1107.0723559999994</v>
      </c>
      <c r="BF68" s="14">
        <f t="shared" si="37"/>
        <v>225.62435833296539</v>
      </c>
      <c r="BG68" s="22">
        <f t="shared" ref="BG68:BG131" si="61">(BE68+BF68)*0.475*44/12</f>
        <v>2321.1134441299137</v>
      </c>
      <c r="BH68" s="62">
        <f t="shared" ref="BH68:BH131" si="62">BG68+(AY68+AZ68)*44/12</f>
        <v>2614.4467774632471</v>
      </c>
      <c r="BI68" s="62">
        <f ca="1">AVERAGE(OFFSET($BH$3,0,0,'Données projet'!$E$11+1,1))-AVERAGE(OFFSET($H$3,0,0,'Données projet'!$E$11+1,1))</f>
        <v>2843.5086223152098</v>
      </c>
      <c r="BJ68" s="62">
        <f t="shared" si="38"/>
        <v>324.81562437645522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30.133978498052301</v>
      </c>
      <c r="BQ68" s="23">
        <f>EXP(-LN(2)/25)*BQ67+(1-EXP(-LN(2)/25))/(LN(2)/25)*Calculateur!BL68*Calculateur!BN68*VLOOKUP('Données projet'!$B$11,Paramètres!$A$1:$I$89,3,0)*0.475*44/12</f>
        <v>5.5458699791559329</v>
      </c>
      <c r="BR68" s="23">
        <f>EXP(-LN(2)/2)*BR67+(1-EXP(-LN(2)/2))/(LN(2)/2)*BL68*BO68*VLOOKUP('Données projet'!$B$11,Paramètres!$A$1:$I$89,3,0)*0.475*44/12</f>
        <v>0.68355749224918483</v>
      </c>
      <c r="BS68" s="24">
        <f t="shared" ref="BS68:BS131" si="63">SUM(BP68:BR68)</f>
        <v>36.363405969457418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46.772666666666659</v>
      </c>
      <c r="BY68" s="13">
        <f>IF('Données projet'!$A$114&gt;35,BY67+BX68-CG67,IF(A68&lt;'Données projet'!$A$114,$BV$205^A68,IF(A68='Données projet'!$A$114,'Données projet'!$B$114,BY67+BX68-CG67)))</f>
        <v>1059.196666666666</v>
      </c>
      <c r="BZ68" s="14">
        <f>BY68*VLOOKUP('Données projet'!$B$12,Paramètres!$A$1:$I$89,3,0)*VLOOKUP('Données projet'!$B$12,Paramètres!$A$1:$I$89,5,0)</f>
        <v>1057.5019519999994</v>
      </c>
      <c r="CA68" s="14">
        <f t="shared" si="39"/>
        <v>216.67405618131829</v>
      </c>
      <c r="CB68" s="22">
        <f t="shared" ref="CB68:CB131" si="64">(BZ68+CA68)*0.475*44/12</f>
        <v>2219.1898809157947</v>
      </c>
      <c r="CC68" s="62">
        <f t="shared" ref="CC68:CC131" si="65">CB68+(BT68+BU68)*44/12</f>
        <v>2512.5232142491282</v>
      </c>
      <c r="CD68" s="62">
        <f ca="1">AVERAGE(OFFSET($CC$3,0,0,'Données projet'!$E$12+1,1))-AVERAGE(OFFSET($H$3,0,0,'Données projet'!$E$12+1,1))</f>
        <v>2719.939926994799</v>
      </c>
      <c r="CE68" s="62">
        <f t="shared" si="40"/>
        <v>312.21824046329749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28.784695878736525</v>
      </c>
      <c r="CL68" s="23">
        <f>EXP(-LN(2)/25)*CL67+(1-EXP(-LN(2)/25))/(LN(2)/25)*Calculateur!CG68*Calculateur!CI68*VLOOKUP('Données projet'!$B$12,Paramètres!$A$1:$I$89,3,0)*0.475*44/12</f>
        <v>5.2975474427758176</v>
      </c>
      <c r="CM68" s="23">
        <f>EXP(-LN(2)/2)*CM67+(1-EXP(-LN(2)/2))/(LN(2)/2)*CG68*CJ68*VLOOKUP('Données projet'!$B$12,Paramètres!$A$1:$I$89,3,0)*0.475*44/12</f>
        <v>0.65295044035743066</v>
      </c>
      <c r="CN68" s="24">
        <f t="shared" ref="CN68:CN131" si="66">SUM(CK68:CM68)</f>
        <v>34.735193761869773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51.041333333333327</v>
      </c>
      <c r="CT68" s="13">
        <f>IF('Données projet'!$A$140&gt;35,CT67+CS68-DB67,IF(A68&lt;'Données projet'!$A$140,$CQ$205^A68,IF(A68='Données projet'!$A$140,'Données projet'!$B$140,CT67+CS68-DB67)))</f>
        <v>1179.9133333333336</v>
      </c>
      <c r="CU68" s="18">
        <f>CT68*VLOOKUP('Données projet'!$B$13,Paramètres!$A$1:$I$89,3,0)*VLOOKUP('Données projet'!$B$13,Paramètres!$A$1:$I$89,5,0)</f>
        <v>1030.7722880000006</v>
      </c>
      <c r="CV68" s="14">
        <f t="shared" si="41"/>
        <v>211.82765417657021</v>
      </c>
      <c r="CW68" s="22">
        <f t="shared" ref="CW68:CW131" si="67">(CU68+CV68)*0.475*44/12</f>
        <v>2164.1948992908606</v>
      </c>
      <c r="CX68" s="62">
        <f t="shared" ref="CX68:CX131" si="68">CW68+(CO68+CP68)*44/12</f>
        <v>2457.5282326241941</v>
      </c>
      <c r="CY68" s="62">
        <f ca="1">AVERAGE(OFFSET($CX$3,0,0,'Données projet'!$E$13+1,1))-AVERAGE(OFFSET($H$3,0,0,'Données projet'!$E$13+1,1))</f>
        <v>1036.0130072090849</v>
      </c>
      <c r="CZ68" s="62">
        <f t="shared" si="42"/>
        <v>346.56593355696174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28.50973555596169</v>
      </c>
      <c r="DG68" s="23">
        <f>EXP(-LN(2)/25)*DG67+(1-EXP(-LN(2)/25))/(LN(2)/25)*Calculateur!DB68*Calculateur!DD68*VLOOKUP('Données projet'!$B$13,Paramètres!$A$1:$I$89,3,0)*0.475*44/12</f>
        <v>5.2469436302180243</v>
      </c>
      <c r="DH68" s="23">
        <f>EXP(-LN(2)/2)*DH67+(1-EXP(-LN(2)/2))/(LN(2)/2)*DB68*DE68*VLOOKUP('Données projet'!$B$13,Paramètres!$A$1:$I$89,3,0)*0.475*44/12</f>
        <v>0.6467132556884313</v>
      </c>
      <c r="DI68" s="24">
        <f t="shared" ref="DI68:DI131" si="69">SUM(DF68:DH68)</f>
        <v>34.403392441868149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6.8212102632969618E-13</v>
      </c>
      <c r="DP68" s="18">
        <f>DO68*VLOOKUP('Données projet'!$B$14,Paramètres!$A$1:$I$89,3,0)*VLOOKUP('Données projet'!$B$14,Paramètres!$A$1:$I$89,5,0)</f>
        <v>3.8130565371830017E-13</v>
      </c>
      <c r="DQ68" s="14">
        <f t="shared" si="43"/>
        <v>4.9019074112354236E-12</v>
      </c>
      <c r="DR68" s="22">
        <f t="shared" ref="DR68:DR131" si="70">(DP68+DQ68)*0.475*44/12</f>
        <v>9.2015960881277352E-12</v>
      </c>
      <c r="DS68" s="62">
        <f t="shared" ref="DS68:DS131" si="71">DR68+(DJ68+DK68)*44/12</f>
        <v>293.33333333334252</v>
      </c>
      <c r="DT68" s="62">
        <f ca="1">AVERAGE(OFFSET($DS$3,0,0,'Données projet'!$E$14+1,1))-AVERAGE(OFFSET($H$3,0,0,'Données projet'!$E$14+1,1))</f>
        <v>446.48069057792151</v>
      </c>
      <c r="DU68" s="62">
        <f t="shared" si="44"/>
        <v>561.75656782935948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167.25164737054706</v>
      </c>
      <c r="EB68" s="23">
        <f>EXP(-LN(2)/25)*EB67+(1-EXP(-LN(2)/25))/(LN(2)/25)*Calculateur!DW68*Calculateur!DY68*VLOOKUP('Données projet'!$B$14,Paramètres!$A$1:$I$89,3,0)*0.475*44/12</f>
        <v>70.544727670123763</v>
      </c>
      <c r="EC68" s="23">
        <f>EXP(-LN(2)/2)*EC67+(1-EXP(-LN(2)/2))/(LN(2)/2)*DW68*DZ68*VLOOKUP('Données projet'!$B$14,Paramètres!$A$1:$I$89,3,0)*0.475*44/12</f>
        <v>23.720811246688552</v>
      </c>
      <c r="ED68" s="24">
        <f t="shared" ref="ED68:ED131" si="72">SUM(EA68:EC68)</f>
        <v>261.51718628735938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1.7053025658242404E-13</v>
      </c>
      <c r="EK68" s="18">
        <f>EJ68*VLOOKUP('Données projet'!$B$15,Paramètres!$A$1:$I$89,3,0)*VLOOKUP('Données projet'!$B$15,Paramètres!$A$1:$I$89,5,0)</f>
        <v>1.6493686416652052E-13</v>
      </c>
      <c r="EL68" s="14">
        <f t="shared" si="45"/>
        <v>2.3376205369651282E-12</v>
      </c>
      <c r="EM68" s="22">
        <f t="shared" ref="EM68:EM131" si="73">(EK68+EL68)*0.475*44/12</f>
        <v>4.3586208069709543E-12</v>
      </c>
      <c r="EN68" s="62">
        <f t="shared" ref="EN68:EN131" si="74">EM68+(EE68+EF68)*44/12</f>
        <v>293.33333333333769</v>
      </c>
      <c r="EO68" s="62">
        <f ca="1">AVERAGE(OFFSET($EN$3,0,0,'Données projet'!$E$15+1,1))-AVERAGE(OFFSET($H$3,0,0,'Données projet'!$E$15+1,1))</f>
        <v>301.18531163828169</v>
      </c>
      <c r="EP68" s="62">
        <f t="shared" si="46"/>
        <v>192.30530273268101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215.98632662950666</v>
      </c>
      <c r="EW68" s="23">
        <f>EXP(-LN(2)/25)*EW67+(1-EXP(-LN(2)/25))/(LN(2)/25)*Calculateur!ER68*Calculateur!ET68*VLOOKUP('Données projet'!$B$15,Paramètres!$A$1:$I$89,3,0)*0.475*44/12</f>
        <v>20.530091491962544</v>
      </c>
      <c r="EX68" s="23">
        <f>EXP(-LN(2)/2)*EX67+(1-EXP(-LN(2)/2))/(LN(2)/2)*ER68*EU68*VLOOKUP('Données projet'!$B$15,Paramètres!$A$1:$I$89,3,0)*0.475*44/12</f>
        <v>11.195107548193612</v>
      </c>
      <c r="EY68" s="24">
        <f t="shared" ref="EY68:EY131" si="75">SUM(EV68:EX68)</f>
        <v>247.71152566966282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1.7053025658242404E-13</v>
      </c>
      <c r="FF68" s="18">
        <f>FE68*VLOOKUP('Données projet'!$B$16,Paramètres!$A$1:$I$89,3,0)*VLOOKUP('Données projet'!$B$16,Paramètres!$A$1:$I$89,5,0)</f>
        <v>1.3301360013429075E-13</v>
      </c>
      <c r="FG68" s="14">
        <f t="shared" si="47"/>
        <v>1.9329766731057041E-12</v>
      </c>
      <c r="FH68" s="22">
        <f t="shared" ref="FH68:FH131" si="76">(FF68+FG68)*0.475*44/12</f>
        <v>3.5982663925596575E-12</v>
      </c>
      <c r="FI68" s="62">
        <f t="shared" ref="FI68:FI131" si="77">FH68+(EZ68+FA68)*44/12</f>
        <v>293.3333333333369</v>
      </c>
      <c r="FJ68" s="62">
        <f ca="1">AVERAGE(OFFSET($FI$3,0,0,'Données projet'!$E$16+1,1))-AVERAGE(OFFSET($H$3,0,0,'Données projet'!$E$16+1,1))</f>
        <v>249.2899297828755</v>
      </c>
      <c r="FK68" s="62">
        <f t="shared" si="48"/>
        <v>162.88011837476813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174.18252147540863</v>
      </c>
      <c r="FR68" s="23">
        <f>EXP(-LN(2)/25)*FR67+(1-EXP(-LN(2)/25))/(LN(2)/25)*Calculateur!FM68*Calculateur!FO68*VLOOKUP('Données projet'!$B$16,Paramètres!$A$1:$I$89,3,0)*0.475*44/12</f>
        <v>16.556525396743982</v>
      </c>
      <c r="FS68" s="23">
        <f>EXP(-LN(2)/2)*FS67+(1-EXP(-LN(2)/2))/(LN(2)/2)*FM68*FP68*VLOOKUP('Données projet'!$B$16,Paramètres!$A$1:$I$89,3,0)*0.475*44/12</f>
        <v>9.0283125388658156</v>
      </c>
      <c r="FT68" s="24">
        <f t="shared" ref="FT68:FT131" si="78">SUM(FQ68:FS68)</f>
        <v>199.76735941101842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1.7053025658242404E-13</v>
      </c>
      <c r="GA68" s="18">
        <f>FZ68*VLOOKUP('Données projet'!$B$17,Paramètres!$A$1:$I$89,3,0)*VLOOKUP('Données projet'!$B$17,Paramètres!$A$1:$I$89,5,0)</f>
        <v>1.1439169611549005E-13</v>
      </c>
      <c r="GB68" s="14">
        <f t="shared" si="49"/>
        <v>1.6918016515029816E-12</v>
      </c>
      <c r="GC68" s="22">
        <f t="shared" ref="GC68:GC131" si="79">(GA68+GB68)*0.475*44/12</f>
        <v>3.1457867471021712E-12</v>
      </c>
      <c r="GD68" s="62">
        <f t="shared" ref="GD68:GD131" si="80">GC68+(FU68+FV68)*44/12</f>
        <v>293.33333333333644</v>
      </c>
      <c r="GE68" s="62">
        <f ca="1">AVERAGE(OFFSET($GD$3,0,0,'Données projet'!$E$17+1,1))-AVERAGE(OFFSET($H$3,0,0,'Données projet'!$E$17+1,1))</f>
        <v>218.89895999738746</v>
      </c>
      <c r="GF68" s="62">
        <f t="shared" si="50"/>
        <v>145.64042897395763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184.63347276393313</v>
      </c>
      <c r="GM68" s="23">
        <f>EXP(-LN(2)/25)*GM67+(1-EXP(-LN(2)/25))/(LN(2)/25)*Calculateur!GH68*Calculateur!GJ68*VLOOKUP('Données projet'!$B$17,Paramètres!$A$1:$I$89,3,0)*0.475*44/12</f>
        <v>17.549916920548625</v>
      </c>
      <c r="GN68" s="23">
        <f>EXP(-LN(2)/2)*GN67+(1-EXP(-LN(2)/2))/(LN(2)/2)*GH68*GK68*VLOOKUP('Données projet'!$B$17,Paramètres!$A$1:$I$89,3,0)*0.475*44/12</f>
        <v>7.7643487834246017</v>
      </c>
      <c r="GO68" s="23">
        <f t="shared" ref="GO68:GO131" si="81">SUM(GL68:GN68)</f>
        <v>209.94773846790636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1.7053025658242404E-13</v>
      </c>
      <c r="GV68" s="18">
        <f>GU68*VLOOKUP('Données projet'!$B$18,Paramètres!$A$1:$I$89,3,0)*VLOOKUP('Données projet'!$B$18,Paramètres!$A$1:$I$89,5,0)</f>
        <v>1.8355876818532125E-13</v>
      </c>
      <c r="GW68" s="14">
        <f t="shared" si="51"/>
        <v>2.5693529898865504E-12</v>
      </c>
      <c r="GX68" s="22">
        <f t="shared" ref="GX68:GX131" si="82">(GV68+GW68)*0.475*44/12</f>
        <v>4.7946546453085093E-12</v>
      </c>
      <c r="GY68" s="62">
        <f t="shared" ref="GY68:GY131" si="83">GX68+(GP68+GQ68)*44/12</f>
        <v>293.33333333333809</v>
      </c>
      <c r="GZ68" s="62">
        <f ca="1">AVERAGE(OFFSET($GY$3,0,0,'Données projet'!$E$18+1,1))-AVERAGE(OFFSET($H$3,0,0,'Données projet'!$E$18+1,1))</f>
        <v>331.3579800635751</v>
      </c>
      <c r="HA68" s="62">
        <f t="shared" si="52"/>
        <v>209.40702003535273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240.37187963606388</v>
      </c>
      <c r="HH68" s="23">
        <f>EXP(-LN(2)/25)*HH67+(1-EXP(-LN(2)/25))/(LN(2)/25)*Calculateur!HC68*Calculateur!HE68*VLOOKUP('Données projet'!$B$18,Paramètres!$A$1:$I$89,3,0)*0.475*44/12</f>
        <v>22.8480050475067</v>
      </c>
      <c r="HI68" s="23">
        <f>EXP(-LN(2)/2)*HI67+(1-EXP(-LN(2)/2))/(LN(2)/2)*HC68*HF68*VLOOKUP('Données projet'!$B$18,Paramètres!$A$1:$I$89,3,0)*0.475*44/12</f>
        <v>12.459071303634829</v>
      </c>
      <c r="HJ68" s="24">
        <f t="shared" ref="HJ68:HJ131" si="84">SUM(HG68:HI68)</f>
        <v>275.67895598720543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46.772666666666659</v>
      </c>
      <c r="N69" s="14">
        <f>IF('Données projet'!$A$36&gt;35,N68+M69-V68,IF(A69&lt;'Données projet'!$A$36,$K$205^A69,IF(A69='Données projet'!$A$36,'Données projet'!$B$36,N68+M69-V68)))</f>
        <v>1105.9693333333328</v>
      </c>
      <c r="O69" s="14">
        <f>N69*VLOOKUP('Données projet'!$B$9,Paramètres!$A$1:$I$89,3,0)*VLOOKUP('Données projet'!$B$9,Paramètres!$A$1:$I$89,5,0)</f>
        <v>1000.6810527999995</v>
      </c>
      <c r="P69" s="14">
        <f t="shared" ref="P69:P132" si="87">EXP(-1.0587+0.8836*LN(O69)+0.284)</f>
        <v>206.35420581402593</v>
      </c>
      <c r="Q69" s="22">
        <f t="shared" si="54"/>
        <v>2102.2530754194272</v>
      </c>
      <c r="R69" s="62">
        <f t="shared" si="55"/>
        <v>2395.5864087527607</v>
      </c>
      <c r="S69" s="62">
        <f ca="1">AVERAGE(OFFSET($R$3,0,0,'Données projet'!$E$9+1,1))-AVERAGE(OFFSET($H$3,0,0,'Données projet'!$E$9+1,1))</f>
        <v>2472.5049373954762</v>
      </c>
      <c r="T69" s="62">
        <f t="shared" ref="T69:T132" si="88">$T$3</f>
        <v>286.98388307318311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25.574597529221119</v>
      </c>
      <c r="AA69" s="23">
        <f>EXP(-LN(2)/25)*AA68+(1-EXP(-LN(2)/25))/(LN(2)/25)*Calculateur!V69*Calculateur!X69*VLOOKUP('Données projet'!$B$9,Paramètres!$A$1:$I$89,3,0)*0.475*44/12</f>
        <v>4.6696214422390261</v>
      </c>
      <c r="AB69" s="23">
        <f>EXP(-LN(2)/2)*AB68+(1-EXP(-LN(2)/2))/(LN(2)/2)*V69*Y69*VLOOKUP('Données projet'!$B$9,Paramètres!$A$1:$I$89,3,0)*0.475*44/12</f>
        <v>0.41842077626590496</v>
      </c>
      <c r="AC69" s="24">
        <f t="shared" si="57"/>
        <v>30.66263974772605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46.772666666666659</v>
      </c>
      <c r="AI69" s="14">
        <f>IF('Données projet'!$A$62&gt;35,AI68+AH69-AQ68,IF(A69&lt;'Données projet'!$A$62,$AF$205^A69,IF(A69='Données projet'!$A$62,'Données projet'!$B$62,AI68+AH69-AQ68)))</f>
        <v>1105.9693333333328</v>
      </c>
      <c r="AJ69" s="14">
        <f>AI69*VLOOKUP('Données projet'!$B$10,Paramètres!$A$1:$I$89,3,0)*VLOOKUP('Données projet'!$B$10,Paramètres!$A$1:$I$89,5,0)</f>
        <v>1121.4529039999995</v>
      </c>
      <c r="AK69" s="14">
        <f t="shared" ref="AK69:AK132" si="89">EXP(-1.0587+0.8836*LN(AJ69)+0.284)</f>
        <v>228.21206024763566</v>
      </c>
      <c r="AL69" s="22">
        <f t="shared" si="58"/>
        <v>2350.6664793979648</v>
      </c>
      <c r="AM69" s="62">
        <f t="shared" si="59"/>
        <v>2643.9998127312983</v>
      </c>
      <c r="AN69" s="62">
        <f ca="1">AVERAGE(OFFSET($AM$3,0,0,'Données projet'!$E$10+1,1))-AVERAGE(OFFSET($H$3,0,0,'Données projet'!$E$10+1,1))</f>
        <v>2761.1400657295467</v>
      </c>
      <c r="AO69" s="62">
        <f t="shared" ref="AO69:AO132" si="90">$AO$3</f>
        <v>316.41877504316409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28.661186886196084</v>
      </c>
      <c r="AV69" s="23">
        <f>EXP(-LN(2)/25)*AV68+(1-EXP(-LN(2)/25))/(LN(2)/25)*Calculateur!AQ69*Calculateur!AS69*VLOOKUP('Données projet'!$B$10,Paramètres!$A$1:$I$89,3,0)*0.475*44/12</f>
        <v>5.233196443888561</v>
      </c>
      <c r="AW69" s="23">
        <f>EXP(-LN(2)/2)*AW68+(1-EXP(-LN(2)/2))/(LN(2)/2)*AQ69*AT69*VLOOKUP('Données projet'!$B$10,Paramètres!$A$1:$I$89,3,0)*0.475*44/12</f>
        <v>0.46891983547041088</v>
      </c>
      <c r="AX69" s="23">
        <f t="shared" si="60"/>
        <v>34.363303165555052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46.772666666666659</v>
      </c>
      <c r="BD69" s="13">
        <f>IF('Données projet'!$A$88&gt;35,BD68+BC69-BL68,IF(A69&lt;'Données projet'!$A$88,$BA$205^A69,IF(A69='Données projet'!$A$88,'Données projet'!$B$88,BD68+BC69-BL68)))</f>
        <v>1105.9693333333328</v>
      </c>
      <c r="BE69" s="14">
        <f>BD69*VLOOKUP('Données projet'!$B$11,Paramètres!$A$1:$I$89,3,0)*VLOOKUP('Données projet'!$B$11,Paramètres!$A$1:$I$89,5,0)</f>
        <v>1155.9591471999995</v>
      </c>
      <c r="BF69" s="14">
        <f t="shared" ref="BF69:BF132" si="91">EXP(-1.0587+0.8836*LN(BE69)+0.284)</f>
        <v>234.40563377946432</v>
      </c>
      <c r="BG69" s="22">
        <f t="shared" si="61"/>
        <v>2421.5519935392326</v>
      </c>
      <c r="BH69" s="62">
        <f t="shared" si="62"/>
        <v>2714.8853268725661</v>
      </c>
      <c r="BI69" s="62">
        <f ca="1">AVERAGE(OFFSET($BH$3,0,0,'Données projet'!$E$11+1,1))-AVERAGE(OFFSET($H$3,0,0,'Données projet'!$E$11+1,1))</f>
        <v>2843.5086223152098</v>
      </c>
      <c r="BJ69" s="62">
        <f t="shared" ref="BJ69:BJ132" si="92">$BJ$3</f>
        <v>324.81562437645522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29.543069559617514</v>
      </c>
      <c r="BQ69" s="23">
        <f>EXP(-LN(2)/25)*BQ68+(1-EXP(-LN(2)/25))/(LN(2)/25)*Calculateur!BL69*Calculateur!BN69*VLOOKUP('Données projet'!$B$11,Paramètres!$A$1:$I$89,3,0)*0.475*44/12</f>
        <v>5.3942178729312866</v>
      </c>
      <c r="BR69" s="23">
        <f>EXP(-LN(2)/2)*BR68+(1-EXP(-LN(2)/2))/(LN(2)/2)*BL69*BO69*VLOOKUP('Données projet'!$B$11,Paramètres!$A$1:$I$89,3,0)*0.475*44/12</f>
        <v>0.4833481381002695</v>
      </c>
      <c r="BS69" s="24">
        <f t="shared" si="63"/>
        <v>35.420635570649068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46.772666666666659</v>
      </c>
      <c r="BY69" s="13">
        <f>IF('Données projet'!$A$114&gt;35,BY68+BX69-CG68,IF(A69&lt;'Données projet'!$A$114,$BV$205^A69,IF(A69='Données projet'!$A$114,'Données projet'!$B$114,BY68+BX69-CG68)))</f>
        <v>1105.9693333333328</v>
      </c>
      <c r="BZ69" s="14">
        <f>BY69*VLOOKUP('Données projet'!$B$12,Paramètres!$A$1:$I$89,3,0)*VLOOKUP('Données projet'!$B$12,Paramètres!$A$1:$I$89,5,0)</f>
        <v>1104.1997823999995</v>
      </c>
      <c r="CA69" s="14">
        <f t="shared" ref="CA69:CA132" si="93">EXP(-1.0587+0.8836*LN(BZ69)+0.284)</f>
        <v>225.10698684313303</v>
      </c>
      <c r="CB69" s="22">
        <f t="shared" si="64"/>
        <v>2315.2092897651223</v>
      </c>
      <c r="CC69" s="62">
        <f t="shared" si="65"/>
        <v>2608.5426230984558</v>
      </c>
      <c r="CD69" s="62">
        <f ca="1">AVERAGE(OFFSET($CC$3,0,0,'Données projet'!$E$12+1,1))-AVERAGE(OFFSET($H$3,0,0,'Données projet'!$E$12+1,1))</f>
        <v>2719.939926994799</v>
      </c>
      <c r="CE69" s="62">
        <f t="shared" ref="CE69:CE132" si="94">$CE$3</f>
        <v>312.21824046329749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28.220245549485384</v>
      </c>
      <c r="CL69" s="23">
        <f>EXP(-LN(2)/25)*CL68+(1-EXP(-LN(2)/25))/(LN(2)/25)*Calculateur!CG69*Calculateur!CI69*VLOOKUP('Données projet'!$B$12,Paramètres!$A$1:$I$89,3,0)*0.475*44/12</f>
        <v>5.1526857293672004</v>
      </c>
      <c r="CM69" s="23">
        <f>EXP(-LN(2)/2)*CM68+(1-EXP(-LN(2)/2))/(LN(2)/2)*CG69*CJ69*VLOOKUP('Données projet'!$B$12,Paramètres!$A$1:$I$89,3,0)*0.475*44/12</f>
        <v>0.46170568415548158</v>
      </c>
      <c r="CN69" s="24">
        <f t="shared" si="66"/>
        <v>33.834636963008066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51.041333333333327</v>
      </c>
      <c r="CT69" s="13">
        <f>IF('Données projet'!$A$140&gt;35,CT68+CS69-DB68,IF(A69&lt;'Données projet'!$A$140,$CQ$205^A69,IF(A69='Données projet'!$A$140,'Données projet'!$B$140,CT68+CS69-DB68)))</f>
        <v>1230.954666666667</v>
      </c>
      <c r="CU69" s="18">
        <f>CT69*VLOOKUP('Données projet'!$B$13,Paramètres!$A$1:$I$89,3,0)*VLOOKUP('Données projet'!$B$13,Paramètres!$A$1:$I$89,5,0)</f>
        <v>1075.3619968000003</v>
      </c>
      <c r="CV69" s="14">
        <f t="shared" ref="CV69:CV132" si="95">EXP(-1.0587+0.8836*LN(CU69)+0.284)</f>
        <v>219.9043316253171</v>
      </c>
      <c r="CW69" s="22">
        <f t="shared" si="67"/>
        <v>2255.9221886740943</v>
      </c>
      <c r="CX69" s="62">
        <f t="shared" si="68"/>
        <v>2549.2555220074278</v>
      </c>
      <c r="CY69" s="62">
        <f ca="1">AVERAGE(OFFSET($CX$3,0,0,'Données projet'!$E$13+1,1))-AVERAGE(OFFSET($H$3,0,0,'Données projet'!$E$13+1,1))</f>
        <v>1036.0130072090849</v>
      </c>
      <c r="CZ69" s="62">
        <f t="shared" ref="CZ69:CZ132" si="96">$CZ$3</f>
        <v>346.56593355696174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27.950677030930926</v>
      </c>
      <c r="DG69" s="23">
        <f>EXP(-LN(2)/25)*DG68+(1-EXP(-LN(2)/25))/(LN(2)/25)*Calculateur!DB69*Calculateur!DD69*VLOOKUP('Données projet'!$B$13,Paramètres!$A$1:$I$89,3,0)*0.475*44/12</f>
        <v>5.1034656807249394</v>
      </c>
      <c r="DH69" s="23">
        <f>EXP(-LN(2)/2)*DH68+(1-EXP(-LN(2)/2))/(LN(2)/2)*DB69*DE69*VLOOKUP('Données projet'!$B$13,Paramètres!$A$1:$I$89,3,0)*0.475*44/12</f>
        <v>0.45729532858051936</v>
      </c>
      <c r="DI69" s="24">
        <f t="shared" si="69"/>
        <v>33.511438040236385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6.8212102632969618E-13</v>
      </c>
      <c r="DP69" s="18">
        <f>DO69*VLOOKUP('Données projet'!$B$14,Paramètres!$A$1:$I$89,3,0)*VLOOKUP('Données projet'!$B$14,Paramètres!$A$1:$I$89,5,0)</f>
        <v>3.8130565371830017E-13</v>
      </c>
      <c r="DQ69" s="14">
        <f t="shared" ref="DQ69:DQ132" si="97">EXP(-1.0587+0.8836*LN(DP69)+0.284)</f>
        <v>4.9019074112354236E-12</v>
      </c>
      <c r="DR69" s="22">
        <f t="shared" si="70"/>
        <v>9.2015960881277352E-12</v>
      </c>
      <c r="DS69" s="62">
        <f t="shared" si="71"/>
        <v>293.33333333334252</v>
      </c>
      <c r="DT69" s="62">
        <f ca="1">AVERAGE(OFFSET($DS$3,0,0,'Données projet'!$E$14+1,1))-AVERAGE(OFFSET($H$3,0,0,'Données projet'!$E$14+1,1))</f>
        <v>446.48069057792151</v>
      </c>
      <c r="DU69" s="62">
        <f t="shared" ref="DU69:DU132" si="98">$DU$3</f>
        <v>561.75656782935948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163.97194457904254</v>
      </c>
      <c r="EB69" s="23">
        <f>EXP(-LN(2)/25)*EB68+(1-EXP(-LN(2)/25))/(LN(2)/25)*Calculateur!DW69*Calculateur!DY69*VLOOKUP('Données projet'!$B$14,Paramètres!$A$1:$I$89,3,0)*0.475*44/12</f>
        <v>68.615678382198226</v>
      </c>
      <c r="EC69" s="23">
        <f>EXP(-LN(2)/2)*EC68+(1-EXP(-LN(2)/2))/(LN(2)/2)*DW69*DZ69*VLOOKUP('Données projet'!$B$14,Paramètres!$A$1:$I$89,3,0)*0.475*44/12</f>
        <v>16.773146487779599</v>
      </c>
      <c r="ED69" s="24">
        <f t="shared" si="72"/>
        <v>249.36076944902035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1.7053025658242404E-13</v>
      </c>
      <c r="EK69" s="18">
        <f>EJ69*VLOOKUP('Données projet'!$B$15,Paramètres!$A$1:$I$89,3,0)*VLOOKUP('Données projet'!$B$15,Paramètres!$A$1:$I$89,5,0)</f>
        <v>1.6493686416652052E-13</v>
      </c>
      <c r="EL69" s="14">
        <f t="shared" ref="EL69:EL132" si="99">EXP(-1.0587+0.8836*LN(EK69)+0.284)</f>
        <v>2.3376205369651282E-12</v>
      </c>
      <c r="EM69" s="22">
        <f t="shared" si="73"/>
        <v>4.3586208069709543E-12</v>
      </c>
      <c r="EN69" s="62">
        <f t="shared" si="74"/>
        <v>293.33333333333769</v>
      </c>
      <c r="EO69" s="62">
        <f ca="1">AVERAGE(OFFSET($EN$3,0,0,'Données projet'!$E$15+1,1))-AVERAGE(OFFSET($H$3,0,0,'Données projet'!$E$15+1,1))</f>
        <v>301.18531163828169</v>
      </c>
      <c r="EP69" s="62">
        <f t="shared" ref="EP69:EP132" si="100">$EP$3</f>
        <v>192.30530273268101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211.75096650295316</v>
      </c>
      <c r="EW69" s="23">
        <f>EXP(-LN(2)/25)*EW68+(1-EXP(-LN(2)/25))/(LN(2)/25)*Calculateur!ER69*Calculateur!ET69*VLOOKUP('Données projet'!$B$15,Paramètres!$A$1:$I$89,3,0)*0.475*44/12</f>
        <v>19.96869506048424</v>
      </c>
      <c r="EX69" s="23">
        <f>EXP(-LN(2)/2)*EX68+(1-EXP(-LN(2)/2))/(LN(2)/2)*ER69*EU69*VLOOKUP('Données projet'!$B$15,Paramètres!$A$1:$I$89,3,0)*0.475*44/12</f>
        <v>7.9161364634404068</v>
      </c>
      <c r="EY69" s="24">
        <f t="shared" si="75"/>
        <v>239.63579802687781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1.7053025658242404E-13</v>
      </c>
      <c r="FF69" s="18">
        <f>FE69*VLOOKUP('Données projet'!$B$16,Paramètres!$A$1:$I$89,3,0)*VLOOKUP('Données projet'!$B$16,Paramètres!$A$1:$I$89,5,0)</f>
        <v>1.3301360013429075E-13</v>
      </c>
      <c r="FG69" s="14">
        <f t="shared" ref="FG69:FG132" si="101">EXP(-1.0587+0.8836*LN(FF69)+0.284)</f>
        <v>1.9329766731057041E-12</v>
      </c>
      <c r="FH69" s="22">
        <f t="shared" si="76"/>
        <v>3.5982663925596575E-12</v>
      </c>
      <c r="FI69" s="62">
        <f t="shared" si="77"/>
        <v>293.3333333333369</v>
      </c>
      <c r="FJ69" s="62">
        <f ca="1">AVERAGE(OFFSET($FI$3,0,0,'Données projet'!$E$16+1,1))-AVERAGE(OFFSET($H$3,0,0,'Données projet'!$E$16+1,1))</f>
        <v>249.2899297828755</v>
      </c>
      <c r="FK69" s="62">
        <f t="shared" ref="FK69:FK132" si="102">$FK$3</f>
        <v>162.88011837476813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170.76690847012355</v>
      </c>
      <c r="FR69" s="23">
        <f>EXP(-LN(2)/25)*FR68+(1-EXP(-LN(2)/25))/(LN(2)/25)*Calculateur!FM69*Calculateur!FO69*VLOOKUP('Données projet'!$B$16,Paramètres!$A$1:$I$89,3,0)*0.475*44/12</f>
        <v>16.103786339100189</v>
      </c>
      <c r="FS69" s="23">
        <f>EXP(-LN(2)/2)*FS68+(1-EXP(-LN(2)/2))/(LN(2)/2)*FM69*FP69*VLOOKUP('Données projet'!$B$16,Paramètres!$A$1:$I$89,3,0)*0.475*44/12</f>
        <v>6.3839810189035537</v>
      </c>
      <c r="FT69" s="24">
        <f t="shared" si="78"/>
        <v>193.25467582812729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1.7053025658242404E-13</v>
      </c>
      <c r="GA69" s="18">
        <f>FZ69*VLOOKUP('Données projet'!$B$17,Paramètres!$A$1:$I$89,3,0)*VLOOKUP('Données projet'!$B$17,Paramètres!$A$1:$I$89,5,0)</f>
        <v>1.1439169611549005E-13</v>
      </c>
      <c r="GB69" s="14">
        <f t="shared" ref="GB69:GB132" si="103">EXP(-1.0587+0.8836*LN(GA69)+0.284)</f>
        <v>1.6918016515029816E-12</v>
      </c>
      <c r="GC69" s="22">
        <f t="shared" si="79"/>
        <v>3.1457867471021712E-12</v>
      </c>
      <c r="GD69" s="62">
        <f t="shared" si="80"/>
        <v>293.33333333333644</v>
      </c>
      <c r="GE69" s="62">
        <f ca="1">AVERAGE(OFFSET($GD$3,0,0,'Données projet'!$E$17+1,1))-AVERAGE(OFFSET($H$3,0,0,'Données projet'!$E$17+1,1))</f>
        <v>218.89895999738746</v>
      </c>
      <c r="GF69" s="62">
        <f t="shared" ref="GF69:GF132" si="104">$GF$3</f>
        <v>145.64042897395763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181.01292297833095</v>
      </c>
      <c r="GM69" s="23">
        <f>EXP(-LN(2)/25)*GM68+(1-EXP(-LN(2)/25))/(LN(2)/25)*Calculateur!GH69*Calculateur!GJ69*VLOOKUP('Données projet'!$B$17,Paramètres!$A$1:$I$89,3,0)*0.475*44/12</f>
        <v>17.070013519446203</v>
      </c>
      <c r="GN69" s="23">
        <f>EXP(-LN(2)/2)*GN68+(1-EXP(-LN(2)/2))/(LN(2)/2)*GH69*GK69*VLOOKUP('Données projet'!$B$17,Paramètres!$A$1:$I$89,3,0)*0.475*44/12</f>
        <v>5.4902236762570569</v>
      </c>
      <c r="GO69" s="23">
        <f t="shared" si="81"/>
        <v>203.5731601740342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1.7053025658242404E-13</v>
      </c>
      <c r="GV69" s="18">
        <f>GU69*VLOOKUP('Données projet'!$B$18,Paramètres!$A$1:$I$89,3,0)*VLOOKUP('Données projet'!$B$18,Paramètres!$A$1:$I$89,5,0)</f>
        <v>1.8355876818532125E-13</v>
      </c>
      <c r="GW69" s="14">
        <f t="shared" ref="GW69:GW132" si="105">EXP(-1.0587+0.8836*LN(GV69)+0.284)</f>
        <v>2.5693529898865504E-12</v>
      </c>
      <c r="GX69" s="22">
        <f t="shared" si="82"/>
        <v>4.7946546453085093E-12</v>
      </c>
      <c r="GY69" s="62">
        <f t="shared" si="83"/>
        <v>293.33333333333809</v>
      </c>
      <c r="GZ69" s="62">
        <f ca="1">AVERAGE(OFFSET($GY$3,0,0,'Données projet'!$E$18+1,1))-AVERAGE(OFFSET($H$3,0,0,'Données projet'!$E$18+1,1))</f>
        <v>331.3579800635751</v>
      </c>
      <c r="HA69" s="62">
        <f t="shared" ref="HA69:HA132" si="106">$HA$3</f>
        <v>209.40702003535273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235.65833368877048</v>
      </c>
      <c r="HH69" s="23">
        <f>EXP(-LN(2)/25)*HH68+(1-EXP(-LN(2)/25))/(LN(2)/25)*Calculateur!HC69*Calculateur!HE69*VLOOKUP('Données projet'!$B$18,Paramètres!$A$1:$I$89,3,0)*0.475*44/12</f>
        <v>22.223225147958264</v>
      </c>
      <c r="HI69" s="23">
        <f>EXP(-LN(2)/2)*HI68+(1-EXP(-LN(2)/2))/(LN(2)/2)*HC69*HF69*VLOOKUP('Données projet'!$B$18,Paramètres!$A$1:$I$89,3,0)*0.475*44/12</f>
        <v>8.8098938060869063</v>
      </c>
      <c r="HJ69" s="24">
        <f t="shared" si="84"/>
        <v>266.69145264281565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46.772666666666659</v>
      </c>
      <c r="N70" s="14">
        <f>IF('Données projet'!$A$36&gt;35,N69+M70-V69,IF(A70&lt;'Données projet'!$A$36,$K$205^A70,IF(A70='Données projet'!$A$36,'Données projet'!$B$36,N69+M70-V69)))</f>
        <v>1152.7419999999995</v>
      </c>
      <c r="O70" s="14">
        <f>N70*VLOOKUP('Données projet'!$B$9,Paramètres!$A$1:$I$89,3,0)*VLOOKUP('Données projet'!$B$9,Paramètres!$A$1:$I$89,5,0)</f>
        <v>1043.0009615999995</v>
      </c>
      <c r="P70" s="14">
        <f t="shared" si="87"/>
        <v>214.0466492206541</v>
      </c>
      <c r="Q70" s="22">
        <f t="shared" si="54"/>
        <v>2189.3579221793048</v>
      </c>
      <c r="R70" s="62">
        <f t="shared" si="55"/>
        <v>2482.6912555126382</v>
      </c>
      <c r="S70" s="62">
        <f ca="1">AVERAGE(OFFSET($R$3,0,0,'Données projet'!$E$9+1,1))-AVERAGE(OFFSET($H$3,0,0,'Données projet'!$E$9+1,1))</f>
        <v>2472.5049373954762</v>
      </c>
      <c r="T70" s="62">
        <f t="shared" si="88"/>
        <v>286.98388307318311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25.073095270637317</v>
      </c>
      <c r="AA70" s="23">
        <f>EXP(-LN(2)/25)*AA69+(1-EXP(-LN(2)/25))/(LN(2)/25)*Calculateur!V70*Calculateur!X70*VLOOKUP('Données projet'!$B$9,Paramètres!$A$1:$I$89,3,0)*0.475*44/12</f>
        <v>4.5419303983362811</v>
      </c>
      <c r="AB70" s="23">
        <f>EXP(-LN(2)/2)*AB69+(1-EXP(-LN(2)/2))/(LN(2)/2)*V70*Y70*VLOOKUP('Données projet'!$B$9,Paramètres!$A$1:$I$89,3,0)*0.475*44/12</f>
        <v>0.29586816828696061</v>
      </c>
      <c r="AC70" s="24">
        <f t="shared" si="57"/>
        <v>29.910893837260559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46.772666666666659</v>
      </c>
      <c r="AI70" s="14">
        <f>IF('Données projet'!$A$62&gt;35,AI69+AH70-AQ69,IF(A70&lt;'Données projet'!$A$62,$AF$205^A70,IF(A70='Données projet'!$A$62,'Données projet'!$B$62,AI69+AH70-AQ69)))</f>
        <v>1152.7419999999995</v>
      </c>
      <c r="AJ70" s="14">
        <f>AI70*VLOOKUP('Données projet'!$B$10,Paramètres!$A$1:$I$89,3,0)*VLOOKUP('Données projet'!$B$10,Paramètres!$A$1:$I$89,5,0)</f>
        <v>1168.8803879999996</v>
      </c>
      <c r="AK70" s="14">
        <f t="shared" si="89"/>
        <v>236.71931771418369</v>
      </c>
      <c r="AL70" s="22">
        <f t="shared" si="58"/>
        <v>2448.0861541188692</v>
      </c>
      <c r="AM70" s="62">
        <f t="shared" si="59"/>
        <v>2741.4194874522027</v>
      </c>
      <c r="AN70" s="62">
        <f ca="1">AVERAGE(OFFSET($AM$3,0,0,'Données projet'!$E$10+1,1))-AVERAGE(OFFSET($H$3,0,0,'Données projet'!$E$10+1,1))</f>
        <v>2761.1400657295467</v>
      </c>
      <c r="AO70" s="62">
        <f t="shared" si="90"/>
        <v>316.41877504316409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28.099158492955617</v>
      </c>
      <c r="AV70" s="23">
        <f>EXP(-LN(2)/25)*AV69+(1-EXP(-LN(2)/25))/(LN(2)/25)*Calculateur!AQ70*Calculateur!AS70*VLOOKUP('Données projet'!$B$10,Paramètres!$A$1:$I$89,3,0)*0.475*44/12</f>
        <v>5.0900944119285878</v>
      </c>
      <c r="AW70" s="23">
        <f>EXP(-LN(2)/2)*AW69+(1-EXP(-LN(2)/2))/(LN(2)/2)*AQ70*AT70*VLOOKUP('Données projet'!$B$10,Paramètres!$A$1:$I$89,3,0)*0.475*44/12</f>
        <v>0.33157639549400769</v>
      </c>
      <c r="AX70" s="23">
        <f t="shared" si="60"/>
        <v>33.520829300378217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46.772666666666659</v>
      </c>
      <c r="BD70" s="13">
        <f>IF('Données projet'!$A$88&gt;35,BD69+BC70-BL69,IF(A70&lt;'Données projet'!$A$88,$BA$205^A70,IF(A70='Données projet'!$A$88,'Données projet'!$B$88,BD69+BC70-BL69)))</f>
        <v>1152.7419999999995</v>
      </c>
      <c r="BE70" s="14">
        <f>BD70*VLOOKUP('Données projet'!$B$11,Paramètres!$A$1:$I$89,3,0)*VLOOKUP('Données projet'!$B$11,Paramètres!$A$1:$I$89,5,0)</f>
        <v>1204.8459383999996</v>
      </c>
      <c r="BF70" s="14">
        <f t="shared" si="91"/>
        <v>243.14377441939081</v>
      </c>
      <c r="BG70" s="22">
        <f t="shared" si="61"/>
        <v>2521.9154164937718</v>
      </c>
      <c r="BH70" s="62">
        <f t="shared" si="62"/>
        <v>2815.2487498271053</v>
      </c>
      <c r="BI70" s="62">
        <f ca="1">AVERAGE(OFFSET($BH$3,0,0,'Données projet'!$E$11+1,1))-AVERAGE(OFFSET($H$3,0,0,'Données projet'!$E$11+1,1))</f>
        <v>2843.5086223152098</v>
      </c>
      <c r="BJ70" s="62">
        <f t="shared" si="92"/>
        <v>324.81562437645522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28.96374798504657</v>
      </c>
      <c r="BQ70" s="23">
        <f>EXP(-LN(2)/25)*BQ69+(1-EXP(-LN(2)/25))/(LN(2)/25)*Calculateur!BL70*Calculateur!BN70*VLOOKUP('Données projet'!$B$11,Paramètres!$A$1:$I$89,3,0)*0.475*44/12</f>
        <v>5.2467127015263912</v>
      </c>
      <c r="BR70" s="23">
        <f>EXP(-LN(2)/2)*BR69+(1-EXP(-LN(2)/2))/(LN(2)/2)*BL70*BO70*VLOOKUP('Données projet'!$B$11,Paramètres!$A$1:$I$89,3,0)*0.475*44/12</f>
        <v>0.34177874612459241</v>
      </c>
      <c r="BS70" s="24">
        <f t="shared" si="63"/>
        <v>34.552239432697547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46.772666666666659</v>
      </c>
      <c r="BY70" s="13">
        <f>IF('Données projet'!$A$114&gt;35,BY69+BX70-CG69,IF(A70&lt;'Données projet'!$A$114,$BV$205^A70,IF(A70='Données projet'!$A$114,'Données projet'!$B$114,BY69+BX70-CG69)))</f>
        <v>1152.7419999999995</v>
      </c>
      <c r="BZ70" s="14">
        <f>BY70*VLOOKUP('Données projet'!$B$12,Paramètres!$A$1:$I$89,3,0)*VLOOKUP('Données projet'!$B$12,Paramètres!$A$1:$I$89,5,0)</f>
        <v>1150.8976127999997</v>
      </c>
      <c r="CA70" s="14">
        <f t="shared" si="93"/>
        <v>233.49849381482983</v>
      </c>
      <c r="CB70" s="22">
        <f t="shared" si="64"/>
        <v>2411.1565523541612</v>
      </c>
      <c r="CC70" s="62">
        <f t="shared" si="65"/>
        <v>2704.4898856874947</v>
      </c>
      <c r="CD70" s="62">
        <f ca="1">AVERAGE(OFFSET($CC$3,0,0,'Données projet'!$E$12+1,1))-AVERAGE(OFFSET($H$3,0,0,'Données projet'!$E$12+1,1))</f>
        <v>2719.939926994799</v>
      </c>
      <c r="CE70" s="62">
        <f t="shared" si="94"/>
        <v>312.21824046329749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27.666863746910153</v>
      </c>
      <c r="CL70" s="23">
        <f>EXP(-LN(2)/25)*CL69+(1-EXP(-LN(2)/25))/(LN(2)/25)*Calculateur!CG70*Calculateur!CI70*VLOOKUP('Données projet'!$B$12,Paramètres!$A$1:$I$89,3,0)*0.475*44/12</f>
        <v>5.0117852671296887</v>
      </c>
      <c r="CM70" s="23">
        <f>EXP(-LN(2)/2)*CM69+(1-EXP(-LN(2)/2))/(LN(2)/2)*CG70*CJ70*VLOOKUP('Données projet'!$B$12,Paramètres!$A$1:$I$89,3,0)*0.475*44/12</f>
        <v>0.32647522017871533</v>
      </c>
      <c r="CN70" s="24">
        <f t="shared" si="66"/>
        <v>33.005124234218556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51.041333333333327</v>
      </c>
      <c r="CT70" s="13">
        <f>IF('Données projet'!$A$140&gt;35,CT69+CS70-DB69,IF(A70&lt;'Données projet'!$A$140,$CQ$205^A70,IF(A70='Données projet'!$A$140,'Données projet'!$B$140,CT69+CS70-DB69)))</f>
        <v>1281.9960000000003</v>
      </c>
      <c r="CU70" s="18">
        <f>CT70*VLOOKUP('Données projet'!$B$13,Paramètres!$A$1:$I$89,3,0)*VLOOKUP('Données projet'!$B$13,Paramètres!$A$1:$I$89,5,0)</f>
        <v>1119.9517056000004</v>
      </c>
      <c r="CV70" s="14">
        <f t="shared" si="95"/>
        <v>227.94210908496996</v>
      </c>
      <c r="CW70" s="22">
        <f t="shared" si="67"/>
        <v>2347.5817272429899</v>
      </c>
      <c r="CX70" s="62">
        <f t="shared" si="68"/>
        <v>2640.9150605763234</v>
      </c>
      <c r="CY70" s="62">
        <f ca="1">AVERAGE(OFFSET($CX$3,0,0,'Données projet'!$E$13+1,1))-AVERAGE(OFFSET($H$3,0,0,'Données projet'!$E$13+1,1))</f>
        <v>1036.0130072090849</v>
      </c>
      <c r="CZ70" s="62">
        <f t="shared" si="96"/>
        <v>346.56593355696174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27.402581302583986</v>
      </c>
      <c r="DG70" s="23">
        <f>EXP(-LN(2)/25)*DG69+(1-EXP(-LN(2)/25))/(LN(2)/25)*Calculateur!DB70*Calculateur!DD70*VLOOKUP('Données projet'!$B$13,Paramètres!$A$1:$I$89,3,0)*0.475*44/12</f>
        <v>4.9639111433059195</v>
      </c>
      <c r="DH70" s="23">
        <f>EXP(-LN(2)/2)*DH69+(1-EXP(-LN(2)/2))/(LN(2)/2)*DB70*DE70*VLOOKUP('Données projet'!$B$13,Paramètres!$A$1:$I$89,3,0)*0.475*44/12</f>
        <v>0.32335662784421565</v>
      </c>
      <c r="DI70" s="24">
        <f t="shared" si="69"/>
        <v>32.689849073734116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6.8212102632969618E-13</v>
      </c>
      <c r="DP70" s="18">
        <f>DO70*VLOOKUP('Données projet'!$B$14,Paramètres!$A$1:$I$89,3,0)*VLOOKUP('Données projet'!$B$14,Paramètres!$A$1:$I$89,5,0)</f>
        <v>3.8130565371830017E-13</v>
      </c>
      <c r="DQ70" s="14">
        <f t="shared" si="97"/>
        <v>4.9019074112354236E-12</v>
      </c>
      <c r="DR70" s="22">
        <f t="shared" si="70"/>
        <v>9.2015960881277352E-12</v>
      </c>
      <c r="DS70" s="62">
        <f t="shared" si="71"/>
        <v>293.33333333334252</v>
      </c>
      <c r="DT70" s="62">
        <f ca="1">AVERAGE(OFFSET($DS$3,0,0,'Données projet'!$E$14+1,1))-AVERAGE(OFFSET($H$3,0,0,'Données projet'!$E$14+1,1))</f>
        <v>446.48069057792151</v>
      </c>
      <c r="DU70" s="62">
        <f t="shared" si="98"/>
        <v>561.75656782935948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160.75655475885824</v>
      </c>
      <c r="EB70" s="23">
        <f>EXP(-LN(2)/25)*EB69+(1-EXP(-LN(2)/25))/(LN(2)/25)*Calculateur!DW70*Calculateur!DY70*VLOOKUP('Données projet'!$B$14,Paramètres!$A$1:$I$89,3,0)*0.475*44/12</f>
        <v>66.739379048495309</v>
      </c>
      <c r="EC70" s="23">
        <f>EXP(-LN(2)/2)*EC69+(1-EXP(-LN(2)/2))/(LN(2)/2)*DW70*DZ70*VLOOKUP('Données projet'!$B$14,Paramètres!$A$1:$I$89,3,0)*0.475*44/12</f>
        <v>11.860405623344278</v>
      </c>
      <c r="ED70" s="24">
        <f t="shared" si="72"/>
        <v>239.3563394306978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1.7053025658242404E-13</v>
      </c>
      <c r="EK70" s="18">
        <f>EJ70*VLOOKUP('Données projet'!$B$15,Paramètres!$A$1:$I$89,3,0)*VLOOKUP('Données projet'!$B$15,Paramètres!$A$1:$I$89,5,0)</f>
        <v>1.6493686416652052E-13</v>
      </c>
      <c r="EL70" s="14">
        <f t="shared" si="99"/>
        <v>2.3376205369651282E-12</v>
      </c>
      <c r="EM70" s="22">
        <f t="shared" si="73"/>
        <v>4.3586208069709543E-12</v>
      </c>
      <c r="EN70" s="62">
        <f t="shared" si="74"/>
        <v>293.33333333333769</v>
      </c>
      <c r="EO70" s="62">
        <f ca="1">AVERAGE(OFFSET($EN$3,0,0,'Données projet'!$E$15+1,1))-AVERAGE(OFFSET($H$3,0,0,'Données projet'!$E$15+1,1))</f>
        <v>301.18531163828169</v>
      </c>
      <c r="EP70" s="62">
        <f t="shared" si="100"/>
        <v>192.30530273268101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207.5986592051668</v>
      </c>
      <c r="EW70" s="23">
        <f>EXP(-LN(2)/25)*EW69+(1-EXP(-LN(2)/25))/(LN(2)/25)*Calculateur!ER70*Calculateur!ET70*VLOOKUP('Données projet'!$B$15,Paramètres!$A$1:$I$89,3,0)*0.475*44/12</f>
        <v>19.422650043947264</v>
      </c>
      <c r="EX70" s="23">
        <f>EXP(-LN(2)/2)*EX69+(1-EXP(-LN(2)/2))/(LN(2)/2)*ER70*EU70*VLOOKUP('Données projet'!$B$15,Paramètres!$A$1:$I$89,3,0)*0.475*44/12</f>
        <v>5.5975537740968067</v>
      </c>
      <c r="EY70" s="24">
        <f t="shared" si="75"/>
        <v>232.61886302321088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1.7053025658242404E-13</v>
      </c>
      <c r="FF70" s="18">
        <f>FE70*VLOOKUP('Données projet'!$B$16,Paramètres!$A$1:$I$89,3,0)*VLOOKUP('Données projet'!$B$16,Paramètres!$A$1:$I$89,5,0)</f>
        <v>1.3301360013429075E-13</v>
      </c>
      <c r="FG70" s="14">
        <f t="shared" si="101"/>
        <v>1.9329766731057041E-12</v>
      </c>
      <c r="FH70" s="22">
        <f t="shared" si="76"/>
        <v>3.5982663925596575E-12</v>
      </c>
      <c r="FI70" s="62">
        <f t="shared" si="77"/>
        <v>293.3333333333369</v>
      </c>
      <c r="FJ70" s="62">
        <f ca="1">AVERAGE(OFFSET($FI$3,0,0,'Données projet'!$E$16+1,1))-AVERAGE(OFFSET($H$3,0,0,'Données projet'!$E$16+1,1))</f>
        <v>249.2899297828755</v>
      </c>
      <c r="FK70" s="62">
        <f t="shared" si="102"/>
        <v>162.88011837476813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167.4182735525539</v>
      </c>
      <c r="FR70" s="23">
        <f>EXP(-LN(2)/25)*FR69+(1-EXP(-LN(2)/25))/(LN(2)/25)*Calculateur!FM70*Calculateur!FO70*VLOOKUP('Données projet'!$B$16,Paramètres!$A$1:$I$89,3,0)*0.475*44/12</f>
        <v>15.663427454796176</v>
      </c>
      <c r="FS70" s="23">
        <f>EXP(-LN(2)/2)*FS69+(1-EXP(-LN(2)/2))/(LN(2)/2)*FM70*FP70*VLOOKUP('Données projet'!$B$16,Paramètres!$A$1:$I$89,3,0)*0.475*44/12</f>
        <v>4.5141562694329078</v>
      </c>
      <c r="FT70" s="24">
        <f t="shared" si="78"/>
        <v>187.59585727678297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1.7053025658242404E-13</v>
      </c>
      <c r="GA70" s="18">
        <f>FZ70*VLOOKUP('Données projet'!$B$17,Paramètres!$A$1:$I$89,3,0)*VLOOKUP('Données projet'!$B$17,Paramètres!$A$1:$I$89,5,0)</f>
        <v>1.1439169611549005E-13</v>
      </c>
      <c r="GB70" s="14">
        <f t="shared" si="103"/>
        <v>1.6918016515029816E-12</v>
      </c>
      <c r="GC70" s="22">
        <f t="shared" si="79"/>
        <v>3.1457867471021712E-12</v>
      </c>
      <c r="GD70" s="62">
        <f t="shared" si="80"/>
        <v>293.33333333333644</v>
      </c>
      <c r="GE70" s="62">
        <f ca="1">AVERAGE(OFFSET($GD$3,0,0,'Données projet'!$E$17+1,1))-AVERAGE(OFFSET($H$3,0,0,'Données projet'!$E$17+1,1))</f>
        <v>218.89895999738746</v>
      </c>
      <c r="GF70" s="62">
        <f t="shared" si="104"/>
        <v>145.64042897395763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177.4633699657071</v>
      </c>
      <c r="GM70" s="23">
        <f>EXP(-LN(2)/25)*GM69+(1-EXP(-LN(2)/25))/(LN(2)/25)*Calculateur!GH70*Calculateur!GJ70*VLOOKUP('Données projet'!$B$17,Paramètres!$A$1:$I$89,3,0)*0.475*44/12</f>
        <v>16.603233102083948</v>
      </c>
      <c r="GN70" s="23">
        <f>EXP(-LN(2)/2)*GN69+(1-EXP(-LN(2)/2))/(LN(2)/2)*GH70*GK70*VLOOKUP('Données projet'!$B$17,Paramètres!$A$1:$I$89,3,0)*0.475*44/12</f>
        <v>3.8821743917123017</v>
      </c>
      <c r="GO70" s="23">
        <f t="shared" si="81"/>
        <v>197.94877745950336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1.7053025658242404E-13</v>
      </c>
      <c r="GV70" s="18">
        <f>GU70*VLOOKUP('Données projet'!$B$18,Paramètres!$A$1:$I$89,3,0)*VLOOKUP('Données projet'!$B$18,Paramètres!$A$1:$I$89,5,0)</f>
        <v>1.8355876818532125E-13</v>
      </c>
      <c r="GW70" s="14">
        <f t="shared" si="105"/>
        <v>2.5693529898865504E-12</v>
      </c>
      <c r="GX70" s="22">
        <f t="shared" si="82"/>
        <v>4.7946546453085093E-12</v>
      </c>
      <c r="GY70" s="62">
        <f t="shared" si="83"/>
        <v>293.33333333333809</v>
      </c>
      <c r="GZ70" s="62">
        <f ca="1">AVERAGE(OFFSET($GY$3,0,0,'Données projet'!$E$18+1,1))-AVERAGE(OFFSET($H$3,0,0,'Données projet'!$E$18+1,1))</f>
        <v>331.3579800635751</v>
      </c>
      <c r="HA70" s="62">
        <f t="shared" si="106"/>
        <v>209.40702003535273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231.03721750252436</v>
      </c>
      <c r="HH70" s="23">
        <f>EXP(-LN(2)/25)*HH69+(1-EXP(-LN(2)/25))/(LN(2)/25)*Calculateur!HC70*Calculateur!HE70*VLOOKUP('Données projet'!$B$18,Paramètres!$A$1:$I$89,3,0)*0.475*44/12</f>
        <v>21.615529887618727</v>
      </c>
      <c r="HI70" s="23">
        <f>EXP(-LN(2)/2)*HI69+(1-EXP(-LN(2)/2))/(LN(2)/2)*HC70*HF70*VLOOKUP('Données projet'!$B$18,Paramètres!$A$1:$I$89,3,0)*0.475*44/12</f>
        <v>6.2295356518174145</v>
      </c>
      <c r="HJ70" s="24">
        <f t="shared" si="84"/>
        <v>258.88228304196048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46.772666666666659</v>
      </c>
      <c r="N71" s="14">
        <f>IF('Données projet'!$A$36&gt;35,N70+M71-V70,IF(A71&lt;'Données projet'!$A$36,$K$205^A71,IF(A71='Données projet'!$A$36,'Données projet'!$B$36,N70+M71-V70)))</f>
        <v>1199.5146666666662</v>
      </c>
      <c r="O71" s="14">
        <f>N71*VLOOKUP('Données projet'!$B$9,Paramètres!$A$1:$I$89,3,0)*VLOOKUP('Données projet'!$B$9,Paramètres!$A$1:$I$89,5,0)</f>
        <v>1085.3208703999996</v>
      </c>
      <c r="P71" s="14">
        <f t="shared" si="87"/>
        <v>221.70283678441569</v>
      </c>
      <c r="Q71" s="22">
        <f t="shared" si="54"/>
        <v>2276.3996233461899</v>
      </c>
      <c r="R71" s="62">
        <f t="shared" si="55"/>
        <v>2569.7329566795233</v>
      </c>
      <c r="S71" s="62">
        <f ca="1">AVERAGE(OFFSET($R$3,0,0,'Données projet'!$E$9+1,1))-AVERAGE(OFFSET($H$3,0,0,'Données projet'!$E$9+1,1))</f>
        <v>2472.5049373954762</v>
      </c>
      <c r="T71" s="62">
        <f t="shared" si="88"/>
        <v>286.98388307318311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24.58142716545817</v>
      </c>
      <c r="AA71" s="23">
        <f>EXP(-LN(2)/25)*AA70+(1-EXP(-LN(2)/25))/(LN(2)/25)*Calculateur!V71*Calculateur!X71*VLOOKUP('Données projet'!$B$9,Paramètres!$A$1:$I$89,3,0)*0.475*44/12</f>
        <v>4.4177310727440364</v>
      </c>
      <c r="AB71" s="23">
        <f>EXP(-LN(2)/2)*AB70+(1-EXP(-LN(2)/2))/(LN(2)/2)*V71*Y71*VLOOKUP('Données projet'!$B$9,Paramètres!$A$1:$I$89,3,0)*0.475*44/12</f>
        <v>0.20921038813295248</v>
      </c>
      <c r="AC71" s="24">
        <f t="shared" si="57"/>
        <v>29.208368626335158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46.772666666666659</v>
      </c>
      <c r="AI71" s="14">
        <f>IF('Données projet'!$A$62&gt;35,AI70+AH71-AQ70,IF(A71&lt;'Données projet'!$A$62,$AF$205^A71,IF(A71='Données projet'!$A$62,'Données projet'!$B$62,AI70+AH71-AQ70)))</f>
        <v>1199.5146666666662</v>
      </c>
      <c r="AJ71" s="14">
        <f>AI71*VLOOKUP('Données projet'!$B$10,Paramètres!$A$1:$I$89,3,0)*VLOOKUP('Données projet'!$B$10,Paramètres!$A$1:$I$89,5,0)</f>
        <v>1216.3078719999996</v>
      </c>
      <c r="AK71" s="14">
        <f t="shared" si="89"/>
        <v>245.18647897545245</v>
      </c>
      <c r="AL71" s="22">
        <f t="shared" si="58"/>
        <v>2545.4359946155787</v>
      </c>
      <c r="AM71" s="62">
        <f t="shared" si="59"/>
        <v>2838.7693279489122</v>
      </c>
      <c r="AN71" s="62">
        <f ca="1">AVERAGE(OFFSET($AM$3,0,0,'Données projet'!$E$10+1,1))-AVERAGE(OFFSET($H$3,0,0,'Données projet'!$E$10+1,1))</f>
        <v>2761.1400657295467</v>
      </c>
      <c r="AO71" s="62">
        <f t="shared" si="90"/>
        <v>316.41877504316409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27.548151133703122</v>
      </c>
      <c r="AV71" s="23">
        <f>EXP(-LN(2)/25)*AV70+(1-EXP(-LN(2)/25))/(LN(2)/25)*Calculateur!AQ71*Calculateur!AS71*VLOOKUP('Données projet'!$B$10,Paramètres!$A$1:$I$89,3,0)*0.475*44/12</f>
        <v>4.9509055125579691</v>
      </c>
      <c r="AW71" s="23">
        <f>EXP(-LN(2)/2)*AW70+(1-EXP(-LN(2)/2))/(LN(2)/2)*AQ71*AT71*VLOOKUP('Données projet'!$B$10,Paramètres!$A$1:$I$89,3,0)*0.475*44/12</f>
        <v>0.23445991773520544</v>
      </c>
      <c r="AX71" s="23">
        <f t="shared" si="60"/>
        <v>32.733516563996297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46.772666666666659</v>
      </c>
      <c r="BD71" s="13">
        <f>IF('Données projet'!$A$88&gt;35,BD70+BC71-BL70,IF(A71&lt;'Données projet'!$A$88,$BA$205^A71,IF(A71='Données projet'!$A$88,'Données projet'!$B$88,BD70+BC71-BL70)))</f>
        <v>1199.5146666666662</v>
      </c>
      <c r="BE71" s="14">
        <f>BD71*VLOOKUP('Données projet'!$B$11,Paramètres!$A$1:$I$89,3,0)*VLOOKUP('Données projet'!$B$11,Paramètres!$A$1:$I$89,5,0)</f>
        <v>1253.7327295999996</v>
      </c>
      <c r="BF71" s="14">
        <f t="shared" si="91"/>
        <v>251.84073066091003</v>
      </c>
      <c r="BG71" s="22">
        <f t="shared" si="61"/>
        <v>2622.2071099544173</v>
      </c>
      <c r="BH71" s="62">
        <f t="shared" si="62"/>
        <v>2915.5404432877508</v>
      </c>
      <c r="BI71" s="62">
        <f ca="1">AVERAGE(OFFSET($BH$3,0,0,'Données projet'!$E$11+1,1))-AVERAGE(OFFSET($H$3,0,0,'Données projet'!$E$11+1,1))</f>
        <v>2843.5086223152098</v>
      </c>
      <c r="BJ71" s="62">
        <f t="shared" si="92"/>
        <v>324.81562437645522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28.395786553201692</v>
      </c>
      <c r="BQ71" s="23">
        <f>EXP(-LN(2)/25)*BQ70+(1-EXP(-LN(2)/25))/(LN(2)/25)*Calculateur!BL71*Calculateur!BN71*VLOOKUP('Données projet'!$B$11,Paramètres!$A$1:$I$89,3,0)*0.475*44/12</f>
        <v>5.103241066790523</v>
      </c>
      <c r="BR71" s="23">
        <f>EXP(-LN(2)/2)*BR70+(1-EXP(-LN(2)/2))/(LN(2)/2)*BL71*BO71*VLOOKUP('Données projet'!$B$11,Paramètres!$A$1:$I$89,3,0)*0.475*44/12</f>
        <v>0.24167406905013475</v>
      </c>
      <c r="BS71" s="24">
        <f t="shared" si="63"/>
        <v>33.740701689042346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46.772666666666659</v>
      </c>
      <c r="BY71" s="13">
        <f>IF('Données projet'!$A$114&gt;35,BY70+BX71-CG70,IF(A71&lt;'Données projet'!$A$114,$BV$205^A71,IF(A71='Données projet'!$A$114,'Données projet'!$B$114,BY70+BX71-CG70)))</f>
        <v>1199.5146666666662</v>
      </c>
      <c r="BZ71" s="14">
        <f>BY71*VLOOKUP('Données projet'!$B$12,Paramètres!$A$1:$I$89,3,0)*VLOOKUP('Données projet'!$B$12,Paramètres!$A$1:$I$89,5,0)</f>
        <v>1197.5954431999996</v>
      </c>
      <c r="CA71" s="14">
        <f t="shared" si="93"/>
        <v>241.85045013375034</v>
      </c>
      <c r="CB71" s="22">
        <f t="shared" si="64"/>
        <v>2507.0349308896148</v>
      </c>
      <c r="CC71" s="62">
        <f t="shared" si="65"/>
        <v>2800.3682642229483</v>
      </c>
      <c r="CD71" s="62">
        <f ca="1">AVERAGE(OFFSET($CC$3,0,0,'Données projet'!$E$12+1,1))-AVERAGE(OFFSET($H$3,0,0,'Données projet'!$E$12+1,1))</f>
        <v>2719.939926994799</v>
      </c>
      <c r="CE71" s="62">
        <f t="shared" si="94"/>
        <v>312.21824046329749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27.12433342395385</v>
      </c>
      <c r="CL71" s="23">
        <f>EXP(-LN(2)/25)*CL70+(1-EXP(-LN(2)/25))/(LN(2)/25)*Calculateur!CG71*Calculateur!CI71*VLOOKUP('Données projet'!$B$12,Paramètres!$A$1:$I$89,3,0)*0.475*44/12</f>
        <v>4.8747377354416948</v>
      </c>
      <c r="CM71" s="23">
        <f>EXP(-LN(2)/2)*CM70+(1-EXP(-LN(2)/2))/(LN(2)/2)*CG71*CJ71*VLOOKUP('Données projet'!$B$12,Paramètres!$A$1:$I$89,3,0)*0.475*44/12</f>
        <v>0.23085284207774079</v>
      </c>
      <c r="CN71" s="24">
        <f t="shared" si="66"/>
        <v>32.229924001473286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51.041333333333327</v>
      </c>
      <c r="CT71" s="13">
        <f>IF('Données projet'!$A$140&gt;35,CT70+CS71-DB70,IF(A71&lt;'Données projet'!$A$140,$CQ$205^A71,IF(A71='Données projet'!$A$140,'Données projet'!$B$140,CT70+CS71-DB70)))</f>
        <v>1333.0373333333337</v>
      </c>
      <c r="CU71" s="18">
        <f>CT71*VLOOKUP('Données projet'!$B$13,Paramètres!$A$1:$I$89,3,0)*VLOOKUP('Données projet'!$B$13,Paramètres!$A$1:$I$89,5,0)</f>
        <v>1164.5414144000003</v>
      </c>
      <c r="CV71" s="14">
        <f t="shared" si="95"/>
        <v>235.94271252281442</v>
      </c>
      <c r="CW71" s="22">
        <f t="shared" si="67"/>
        <v>2439.1765210572357</v>
      </c>
      <c r="CX71" s="62">
        <f t="shared" si="68"/>
        <v>2732.5098543905692</v>
      </c>
      <c r="CY71" s="62">
        <f ca="1">AVERAGE(OFFSET($CX$3,0,0,'Données projet'!$E$13+1,1))-AVERAGE(OFFSET($H$3,0,0,'Données projet'!$E$13+1,1))</f>
        <v>1036.0130072090849</v>
      </c>
      <c r="CZ71" s="62">
        <f t="shared" si="96"/>
        <v>346.56593355696174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26.865233397164545</v>
      </c>
      <c r="DG71" s="23">
        <f>EXP(-LN(2)/25)*DG70+(1-EXP(-LN(2)/25))/(LN(2)/25)*Calculateur!DB71*Calculateur!DD71*VLOOKUP('Données projet'!$B$13,Paramètres!$A$1:$I$89,3,0)*0.475*44/12</f>
        <v>4.8281727320514776</v>
      </c>
      <c r="DH71" s="23">
        <f>EXP(-LN(2)/2)*DH70+(1-EXP(-LN(2)/2))/(LN(2)/2)*DB71*DE71*VLOOKUP('Données projet'!$B$13,Paramètres!$A$1:$I$89,3,0)*0.475*44/12</f>
        <v>0.22864766429025968</v>
      </c>
      <c r="DI71" s="24">
        <f t="shared" si="69"/>
        <v>31.922053793506283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6.8212102632969618E-13</v>
      </c>
      <c r="DP71" s="18">
        <f>DO71*VLOOKUP('Données projet'!$B$14,Paramètres!$A$1:$I$89,3,0)*VLOOKUP('Données projet'!$B$14,Paramètres!$A$1:$I$89,5,0)</f>
        <v>3.8130565371830017E-13</v>
      </c>
      <c r="DQ71" s="14">
        <f t="shared" si="97"/>
        <v>4.9019074112354236E-12</v>
      </c>
      <c r="DR71" s="22">
        <f t="shared" si="70"/>
        <v>9.2015960881277352E-12</v>
      </c>
      <c r="DS71" s="62">
        <f t="shared" si="71"/>
        <v>293.33333333334252</v>
      </c>
      <c r="DT71" s="62">
        <f ca="1">AVERAGE(OFFSET($DS$3,0,0,'Données projet'!$E$14+1,1))-AVERAGE(OFFSET($H$3,0,0,'Données projet'!$E$14+1,1))</f>
        <v>446.48069057792151</v>
      </c>
      <c r="DU71" s="62">
        <f t="shared" si="98"/>
        <v>561.75656782935948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157.60421677185363</v>
      </c>
      <c r="EB71" s="23">
        <f>EXP(-LN(2)/25)*EB70+(1-EXP(-LN(2)/25))/(LN(2)/25)*Calculateur!DW71*Calculateur!DY71*VLOOKUP('Données projet'!$B$14,Paramètres!$A$1:$I$89,3,0)*0.475*44/12</f>
        <v>64.914387218742789</v>
      </c>
      <c r="EC71" s="23">
        <f>EXP(-LN(2)/2)*EC70+(1-EXP(-LN(2)/2))/(LN(2)/2)*DW71*DZ71*VLOOKUP('Données projet'!$B$14,Paramètres!$A$1:$I$89,3,0)*0.475*44/12</f>
        <v>8.3865732438898011</v>
      </c>
      <c r="ED71" s="24">
        <f t="shared" si="72"/>
        <v>230.90517723448625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1.7053025658242404E-13</v>
      </c>
      <c r="EK71" s="18">
        <f>EJ71*VLOOKUP('Données projet'!$B$15,Paramètres!$A$1:$I$89,3,0)*VLOOKUP('Données projet'!$B$15,Paramètres!$A$1:$I$89,5,0)</f>
        <v>1.6493686416652052E-13</v>
      </c>
      <c r="EL71" s="14">
        <f t="shared" si="99"/>
        <v>2.3376205369651282E-12</v>
      </c>
      <c r="EM71" s="22">
        <f t="shared" si="73"/>
        <v>4.3586208069709543E-12</v>
      </c>
      <c r="EN71" s="62">
        <f t="shared" si="74"/>
        <v>293.33333333333769</v>
      </c>
      <c r="EO71" s="62">
        <f ca="1">AVERAGE(OFFSET($EN$3,0,0,'Données projet'!$E$15+1,1))-AVERAGE(OFFSET($H$3,0,0,'Données projet'!$E$15+1,1))</f>
        <v>301.18531163828169</v>
      </c>
      <c r="EP71" s="62">
        <f t="shared" si="100"/>
        <v>192.30530273268101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203.52777612083264</v>
      </c>
      <c r="EW71" s="23">
        <f>EXP(-LN(2)/25)*EW70+(1-EXP(-LN(2)/25))/(LN(2)/25)*Calculateur!ER71*Calculateur!ET71*VLOOKUP('Données projet'!$B$15,Paramètres!$A$1:$I$89,3,0)*0.475*44/12</f>
        <v>18.891536657102751</v>
      </c>
      <c r="EX71" s="23">
        <f>EXP(-LN(2)/2)*EX70+(1-EXP(-LN(2)/2))/(LN(2)/2)*ER71*EU71*VLOOKUP('Données projet'!$B$15,Paramètres!$A$1:$I$89,3,0)*0.475*44/12</f>
        <v>3.9580682317202043</v>
      </c>
      <c r="EY71" s="24">
        <f t="shared" si="75"/>
        <v>226.37738100965561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1.7053025658242404E-13</v>
      </c>
      <c r="FF71" s="18">
        <f>FE71*VLOOKUP('Données projet'!$B$16,Paramètres!$A$1:$I$89,3,0)*VLOOKUP('Données projet'!$B$16,Paramètres!$A$1:$I$89,5,0)</f>
        <v>1.3301360013429075E-13</v>
      </c>
      <c r="FG71" s="14">
        <f t="shared" si="101"/>
        <v>1.9329766731057041E-12</v>
      </c>
      <c r="FH71" s="22">
        <f t="shared" si="76"/>
        <v>3.5982663925596575E-12</v>
      </c>
      <c r="FI71" s="62">
        <f t="shared" si="77"/>
        <v>293.3333333333369</v>
      </c>
      <c r="FJ71" s="62">
        <f ca="1">AVERAGE(OFFSET($FI$3,0,0,'Données projet'!$E$16+1,1))-AVERAGE(OFFSET($H$3,0,0,'Données projet'!$E$16+1,1))</f>
        <v>249.2899297828755</v>
      </c>
      <c r="FK71" s="62">
        <f t="shared" si="102"/>
        <v>162.88011837476813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164.13530332325215</v>
      </c>
      <c r="FR71" s="23">
        <f>EXP(-LN(2)/25)*FR70+(1-EXP(-LN(2)/25))/(LN(2)/25)*Calculateur!FM71*Calculateur!FO71*VLOOKUP('Données projet'!$B$16,Paramètres!$A$1:$I$89,3,0)*0.475*44/12</f>
        <v>15.235110207340924</v>
      </c>
      <c r="FS71" s="23">
        <f>EXP(-LN(2)/2)*FS70+(1-EXP(-LN(2)/2))/(LN(2)/2)*FM71*FP71*VLOOKUP('Données projet'!$B$16,Paramètres!$A$1:$I$89,3,0)*0.475*44/12</f>
        <v>3.1919905094517769</v>
      </c>
      <c r="FT71" s="24">
        <f t="shared" si="78"/>
        <v>182.56240404004484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1.7053025658242404E-13</v>
      </c>
      <c r="GA71" s="18">
        <f>FZ71*VLOOKUP('Données projet'!$B$17,Paramètres!$A$1:$I$89,3,0)*VLOOKUP('Données projet'!$B$17,Paramètres!$A$1:$I$89,5,0)</f>
        <v>1.1439169611549005E-13</v>
      </c>
      <c r="GB71" s="14">
        <f t="shared" si="103"/>
        <v>1.6918016515029816E-12</v>
      </c>
      <c r="GC71" s="22">
        <f t="shared" si="79"/>
        <v>3.1457867471021712E-12</v>
      </c>
      <c r="GD71" s="62">
        <f t="shared" si="80"/>
        <v>293.33333333333644</v>
      </c>
      <c r="GE71" s="62">
        <f ca="1">AVERAGE(OFFSET($GD$3,0,0,'Données projet'!$E$17+1,1))-AVERAGE(OFFSET($H$3,0,0,'Données projet'!$E$17+1,1))</f>
        <v>218.89895999738746</v>
      </c>
      <c r="GF71" s="62">
        <f t="shared" si="104"/>
        <v>145.64042897395763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173.98342152264726</v>
      </c>
      <c r="GM71" s="23">
        <f>EXP(-LN(2)/25)*GM70+(1-EXP(-LN(2)/25))/(LN(2)/25)*Calculateur!GH71*Calculateur!GJ71*VLOOKUP('Données projet'!$B$17,Paramètres!$A$1:$I$89,3,0)*0.475*44/12</f>
        <v>16.14921681978138</v>
      </c>
      <c r="GN71" s="23">
        <f>EXP(-LN(2)/2)*GN70+(1-EXP(-LN(2)/2))/(LN(2)/2)*GH71*GK71*VLOOKUP('Données projet'!$B$17,Paramètres!$A$1:$I$89,3,0)*0.475*44/12</f>
        <v>2.7451118381285289</v>
      </c>
      <c r="GO71" s="23">
        <f t="shared" si="81"/>
        <v>192.87775018055717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1.7053025658242404E-13</v>
      </c>
      <c r="GV71" s="18">
        <f>GU71*VLOOKUP('Données projet'!$B$18,Paramètres!$A$1:$I$89,3,0)*VLOOKUP('Données projet'!$B$18,Paramètres!$A$1:$I$89,5,0)</f>
        <v>1.8355876818532125E-13</v>
      </c>
      <c r="GW71" s="14">
        <f t="shared" si="105"/>
        <v>2.5693529898865504E-12</v>
      </c>
      <c r="GX71" s="22">
        <f t="shared" si="82"/>
        <v>4.7946546453085093E-12</v>
      </c>
      <c r="GY71" s="62">
        <f t="shared" si="83"/>
        <v>293.33333333333809</v>
      </c>
      <c r="GZ71" s="62">
        <f ca="1">AVERAGE(OFFSET($GY$3,0,0,'Données projet'!$E$18+1,1))-AVERAGE(OFFSET($H$3,0,0,'Données projet'!$E$18+1,1))</f>
        <v>331.3579800635751</v>
      </c>
      <c r="HA71" s="62">
        <f t="shared" si="106"/>
        <v>209.40702003535273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226.50671858608794</v>
      </c>
      <c r="HH71" s="23">
        <f>EXP(-LN(2)/25)*HH70+(1-EXP(-LN(2)/25))/(LN(2)/25)*Calculateur!HC71*Calculateur!HE71*VLOOKUP('Données projet'!$B$18,Paramètres!$A$1:$I$89,3,0)*0.475*44/12</f>
        <v>21.024452086130481</v>
      </c>
      <c r="HI71" s="23">
        <f>EXP(-LN(2)/2)*HI70+(1-EXP(-LN(2)/2))/(LN(2)/2)*HC71*HF71*VLOOKUP('Données projet'!$B$18,Paramètres!$A$1:$I$89,3,0)*0.475*44/12</f>
        <v>4.4049469030434532</v>
      </c>
      <c r="HJ71" s="24">
        <f t="shared" si="84"/>
        <v>251.93611757526187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46.772666666666659</v>
      </c>
      <c r="N72" s="14">
        <f>IF('Données projet'!$A$36&gt;35,N71+M72-V71,IF(A72&lt;'Données projet'!$A$36,$K$205^A72,IF(A72='Données projet'!$A$36,'Données projet'!$B$36,N71+M72-V71)))</f>
        <v>1246.287333333333</v>
      </c>
      <c r="O72" s="14">
        <f>N72*VLOOKUP('Données projet'!$B$9,Paramètres!$A$1:$I$89,3,0)*VLOOKUP('Données projet'!$B$9,Paramètres!$A$1:$I$89,5,0)</f>
        <v>1127.6407791999995</v>
      </c>
      <c r="P72" s="14">
        <f t="shared" si="87"/>
        <v>229.32434402345839</v>
      </c>
      <c r="Q72" s="22">
        <f t="shared" si="54"/>
        <v>2363.3809229475228</v>
      </c>
      <c r="R72" s="62">
        <f t="shared" si="55"/>
        <v>2656.7142562808563</v>
      </c>
      <c r="S72" s="62">
        <f ca="1">AVERAGE(OFFSET($R$3,0,0,'Données projet'!$E$9+1,1))-AVERAGE(OFFSET($H$3,0,0,'Données projet'!$E$9+1,1))</f>
        <v>2472.5049373954762</v>
      </c>
      <c r="T72" s="62">
        <f t="shared" si="88"/>
        <v>286.98388307318311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24.099400371933651</v>
      </c>
      <c r="AA72" s="23">
        <f>EXP(-LN(2)/25)*AA71+(1-EXP(-LN(2)/25))/(LN(2)/25)*Calculateur!V72*Calculateur!X72*VLOOKUP('Données projet'!$B$9,Paramètres!$A$1:$I$89,3,0)*0.475*44/12</f>
        <v>4.2969279842414707</v>
      </c>
      <c r="AB72" s="23">
        <f>EXP(-LN(2)/2)*AB71+(1-EXP(-LN(2)/2))/(LN(2)/2)*V72*Y72*VLOOKUP('Données projet'!$B$9,Paramètres!$A$1:$I$89,3,0)*0.475*44/12</f>
        <v>0.1479340841434803</v>
      </c>
      <c r="AC72" s="24">
        <f t="shared" si="57"/>
        <v>28.544262440318601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46.772666666666659</v>
      </c>
      <c r="AI72" s="14">
        <f>IF('Données projet'!$A$62&gt;35,AI71+AH72-AQ71,IF(A72&lt;'Données projet'!$A$62,$AF$205^A72,IF(A72='Données projet'!$A$62,'Données projet'!$B$62,AI71+AH72-AQ71)))</f>
        <v>1246.287333333333</v>
      </c>
      <c r="AJ72" s="14">
        <f>AI72*VLOOKUP('Données projet'!$B$10,Paramètres!$A$1:$I$89,3,0)*VLOOKUP('Données projet'!$B$10,Paramètres!$A$1:$I$89,5,0)</f>
        <v>1263.7353559999997</v>
      </c>
      <c r="AK72" s="14">
        <f t="shared" si="89"/>
        <v>253.61528643470891</v>
      </c>
      <c r="AL72" s="22">
        <f t="shared" si="58"/>
        <v>2642.7190355737844</v>
      </c>
      <c r="AM72" s="62">
        <f t="shared" si="59"/>
        <v>2936.0523689071179</v>
      </c>
      <c r="AN72" s="62">
        <f ca="1">AVERAGE(OFFSET($AM$3,0,0,'Données projet'!$E$10+1,1))-AVERAGE(OFFSET($H$3,0,0,'Données projet'!$E$10+1,1))</f>
        <v>2761.1400657295467</v>
      </c>
      <c r="AO72" s="62">
        <f t="shared" si="90"/>
        <v>316.41877504316409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27.007948692684266</v>
      </c>
      <c r="AV72" s="23">
        <f>EXP(-LN(2)/25)*AV71+(1-EXP(-LN(2)/25))/(LN(2)/25)*Calculateur!AQ72*Calculateur!AS72*VLOOKUP('Données projet'!$B$10,Paramètres!$A$1:$I$89,3,0)*0.475*44/12</f>
        <v>4.8155227409602661</v>
      </c>
      <c r="AW72" s="23">
        <f>EXP(-LN(2)/2)*AW71+(1-EXP(-LN(2)/2))/(LN(2)/2)*AQ72*AT72*VLOOKUP('Données projet'!$B$10,Paramètres!$A$1:$I$89,3,0)*0.475*44/12</f>
        <v>0.16578819774700385</v>
      </c>
      <c r="AX72" s="23">
        <f t="shared" si="60"/>
        <v>31.989259631391537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46.772666666666659</v>
      </c>
      <c r="BD72" s="13">
        <f>IF('Données projet'!$A$88&gt;35,BD71+BC72-BL71,IF(A72&lt;'Données projet'!$A$88,$BA$205^A72,IF(A72='Données projet'!$A$88,'Données projet'!$B$88,BD71+BC72-BL71)))</f>
        <v>1246.287333333333</v>
      </c>
      <c r="BE72" s="14">
        <f>BD72*VLOOKUP('Données projet'!$B$11,Paramètres!$A$1:$I$89,3,0)*VLOOKUP('Données projet'!$B$11,Paramètres!$A$1:$I$89,5,0)</f>
        <v>1302.6195207999997</v>
      </c>
      <c r="BF72" s="14">
        <f t="shared" si="91"/>
        <v>260.49829219533621</v>
      </c>
      <c r="BG72" s="22">
        <f t="shared" si="61"/>
        <v>2722.4301909668766</v>
      </c>
      <c r="BH72" s="62">
        <f t="shared" si="62"/>
        <v>3015.7635243002101</v>
      </c>
      <c r="BI72" s="62">
        <f ca="1">AVERAGE(OFFSET($BH$3,0,0,'Données projet'!$E$11+1,1))-AVERAGE(OFFSET($H$3,0,0,'Données projet'!$E$11+1,1))</f>
        <v>2843.5086223152098</v>
      </c>
      <c r="BJ72" s="62">
        <f t="shared" si="92"/>
        <v>324.81562437645522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27.838962498613025</v>
      </c>
      <c r="BQ72" s="23">
        <f>EXP(-LN(2)/25)*BQ71+(1-EXP(-LN(2)/25))/(LN(2)/25)*Calculateur!BL72*Calculateur!BN72*VLOOKUP('Données projet'!$B$11,Paramètres!$A$1:$I$89,3,0)*0.475*44/12</f>
        <v>4.9636926714513523</v>
      </c>
      <c r="BR72" s="23">
        <f>EXP(-LN(2)/2)*BR71+(1-EXP(-LN(2)/2))/(LN(2)/2)*BL72*BO72*VLOOKUP('Données projet'!$B$11,Paramètres!$A$1:$I$89,3,0)*0.475*44/12</f>
        <v>0.17088937306229621</v>
      </c>
      <c r="BS72" s="24">
        <f t="shared" si="63"/>
        <v>32.973544543126671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46.772666666666659</v>
      </c>
      <c r="BY72" s="13">
        <f>IF('Données projet'!$A$114&gt;35,BY71+BX72-CG71,IF(A72&lt;'Données projet'!$A$114,$BV$205^A72,IF(A72='Données projet'!$A$114,'Données projet'!$B$114,BY71+BX72-CG71)))</f>
        <v>1246.287333333333</v>
      </c>
      <c r="BZ72" s="14">
        <f>BY72*VLOOKUP('Données projet'!$B$12,Paramètres!$A$1:$I$89,3,0)*VLOOKUP('Données projet'!$B$12,Paramètres!$A$1:$I$89,5,0)</f>
        <v>1244.2932735999998</v>
      </c>
      <c r="CA72" s="14">
        <f t="shared" si="93"/>
        <v>250.16457449586895</v>
      </c>
      <c r="CB72" s="22">
        <f t="shared" si="64"/>
        <v>2602.8474187669713</v>
      </c>
      <c r="CC72" s="62">
        <f t="shared" si="65"/>
        <v>2896.1807521003047</v>
      </c>
      <c r="CD72" s="62">
        <f ca="1">AVERAGE(OFFSET($CC$3,0,0,'Données projet'!$E$12+1,1))-AVERAGE(OFFSET($H$3,0,0,'Données projet'!$E$12+1,1))</f>
        <v>2719.939926994799</v>
      </c>
      <c r="CE72" s="62">
        <f t="shared" si="94"/>
        <v>312.21824046329749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26.592441789719899</v>
      </c>
      <c r="CL72" s="23">
        <f>EXP(-LN(2)/25)*CL71+(1-EXP(-LN(2)/25))/(LN(2)/25)*Calculateur!CG72*Calculateur!CI72*VLOOKUP('Données projet'!$B$12,Paramètres!$A$1:$I$89,3,0)*0.475*44/12</f>
        <v>4.7414377757147257</v>
      </c>
      <c r="CM72" s="23">
        <f>EXP(-LN(2)/2)*CM71+(1-EXP(-LN(2)/2))/(LN(2)/2)*CG72*CJ72*VLOOKUP('Données projet'!$B$12,Paramètres!$A$1:$I$89,3,0)*0.475*44/12</f>
        <v>0.16323761008935767</v>
      </c>
      <c r="CN72" s="24">
        <f t="shared" si="66"/>
        <v>31.497117175523982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51.041333333333327</v>
      </c>
      <c r="CT72" s="13">
        <f>IF('Données projet'!$A$140&gt;35,CT71+CS72-DB71,IF(A72&lt;'Données projet'!$A$140,$CQ$205^A72,IF(A72='Données projet'!$A$140,'Données projet'!$B$140,CT71+CS72-DB71)))</f>
        <v>1384.078666666667</v>
      </c>
      <c r="CU72" s="18">
        <f>CT72*VLOOKUP('Données projet'!$B$13,Paramètres!$A$1:$I$89,3,0)*VLOOKUP('Données projet'!$B$13,Paramètres!$A$1:$I$89,5,0)</f>
        <v>1209.1311232000005</v>
      </c>
      <c r="CV72" s="14">
        <f t="shared" si="95"/>
        <v>243.90772824773248</v>
      </c>
      <c r="CW72" s="22">
        <f t="shared" si="67"/>
        <v>2530.7093329381346</v>
      </c>
      <c r="CX72" s="62">
        <f t="shared" si="68"/>
        <v>2824.0426662714681</v>
      </c>
      <c r="CY72" s="62">
        <f ca="1">AVERAGE(OFFSET($CX$3,0,0,'Données projet'!$E$13+1,1))-AVERAGE(OFFSET($H$3,0,0,'Données projet'!$E$13+1,1))</f>
        <v>1036.0130072090849</v>
      </c>
      <c r="CZ72" s="62">
        <f t="shared" si="96"/>
        <v>346.56593355696174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26.338422556420522</v>
      </c>
      <c r="DG72" s="23">
        <f>EXP(-LN(2)/25)*DG71+(1-EXP(-LN(2)/25))/(LN(2)/25)*Calculateur!DB72*Calculateur!DD72*VLOOKUP('Données projet'!$B$13,Paramètres!$A$1:$I$89,3,0)*0.475*44/12</f>
        <v>4.6961460947909606</v>
      </c>
      <c r="DH72" s="23">
        <f>EXP(-LN(2)/2)*DH71+(1-EXP(-LN(2)/2))/(LN(2)/2)*DB72*DE72*VLOOKUP('Données projet'!$B$13,Paramètres!$A$1:$I$89,3,0)*0.475*44/12</f>
        <v>0.16167831392210782</v>
      </c>
      <c r="DI72" s="24">
        <f t="shared" si="69"/>
        <v>31.196246965133589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6.8212102632969618E-13</v>
      </c>
      <c r="DP72" s="18">
        <f>DO72*VLOOKUP('Données projet'!$B$14,Paramètres!$A$1:$I$89,3,0)*VLOOKUP('Données projet'!$B$14,Paramètres!$A$1:$I$89,5,0)</f>
        <v>3.8130565371830017E-13</v>
      </c>
      <c r="DQ72" s="14">
        <f t="shared" si="97"/>
        <v>4.9019074112354236E-12</v>
      </c>
      <c r="DR72" s="22">
        <f t="shared" si="70"/>
        <v>9.2015960881277352E-12</v>
      </c>
      <c r="DS72" s="62">
        <f t="shared" si="71"/>
        <v>293.33333333334252</v>
      </c>
      <c r="DT72" s="62">
        <f ca="1">AVERAGE(OFFSET($DS$3,0,0,'Données projet'!$E$14+1,1))-AVERAGE(OFFSET($H$3,0,0,'Données projet'!$E$14+1,1))</f>
        <v>446.48069057792151</v>
      </c>
      <c r="DU72" s="62">
        <f t="shared" si="98"/>
        <v>561.75656782935948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154.51369421003784</v>
      </c>
      <c r="EB72" s="23">
        <f>EXP(-LN(2)/25)*EB71+(1-EXP(-LN(2)/25))/(LN(2)/25)*Calculateur!DW72*Calculateur!DY72*VLOOKUP('Données projet'!$B$14,Paramètres!$A$1:$I$89,3,0)*0.475*44/12</f>
        <v>63.139299886547008</v>
      </c>
      <c r="EC72" s="23">
        <f>EXP(-LN(2)/2)*EC71+(1-EXP(-LN(2)/2))/(LN(2)/2)*DW72*DZ72*VLOOKUP('Données projet'!$B$14,Paramètres!$A$1:$I$89,3,0)*0.475*44/12</f>
        <v>5.9302028116721397</v>
      </c>
      <c r="ED72" s="24">
        <f t="shared" si="72"/>
        <v>223.58319690825698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1.7053025658242404E-13</v>
      </c>
      <c r="EK72" s="18">
        <f>EJ72*VLOOKUP('Données projet'!$B$15,Paramètres!$A$1:$I$89,3,0)*VLOOKUP('Données projet'!$B$15,Paramètres!$A$1:$I$89,5,0)</f>
        <v>1.6493686416652052E-13</v>
      </c>
      <c r="EL72" s="14">
        <f t="shared" si="99"/>
        <v>2.3376205369651282E-12</v>
      </c>
      <c r="EM72" s="22">
        <f t="shared" si="73"/>
        <v>4.3586208069709543E-12</v>
      </c>
      <c r="EN72" s="62">
        <f t="shared" si="74"/>
        <v>293.33333333333769</v>
      </c>
      <c r="EO72" s="62">
        <f ca="1">AVERAGE(OFFSET($EN$3,0,0,'Données projet'!$E$15+1,1))-AVERAGE(OFFSET($H$3,0,0,'Données projet'!$E$15+1,1))</f>
        <v>301.18531163828169</v>
      </c>
      <c r="EP72" s="62">
        <f t="shared" si="100"/>
        <v>192.30530273268101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199.53672057078876</v>
      </c>
      <c r="EW72" s="23">
        <f>EXP(-LN(2)/25)*EW71+(1-EXP(-LN(2)/25))/(LN(2)/25)*Calculateur!ER72*Calculateur!ET72*VLOOKUP('Données projet'!$B$15,Paramètres!$A$1:$I$89,3,0)*0.475*44/12</f>
        <v>18.374946593751542</v>
      </c>
      <c r="EX72" s="23">
        <f>EXP(-LN(2)/2)*EX71+(1-EXP(-LN(2)/2))/(LN(2)/2)*ER72*EU72*VLOOKUP('Données projet'!$B$15,Paramètres!$A$1:$I$89,3,0)*0.475*44/12</f>
        <v>2.7987768870484038</v>
      </c>
      <c r="EY72" s="24">
        <f t="shared" si="75"/>
        <v>220.71044405158869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1.7053025658242404E-13</v>
      </c>
      <c r="FF72" s="18">
        <f>FE72*VLOOKUP('Données projet'!$B$16,Paramètres!$A$1:$I$89,3,0)*VLOOKUP('Données projet'!$B$16,Paramètres!$A$1:$I$89,5,0)</f>
        <v>1.3301360013429075E-13</v>
      </c>
      <c r="FG72" s="14">
        <f t="shared" si="101"/>
        <v>1.9329766731057041E-12</v>
      </c>
      <c r="FH72" s="22">
        <f t="shared" si="76"/>
        <v>3.5982663925596575E-12</v>
      </c>
      <c r="FI72" s="62">
        <f t="shared" si="77"/>
        <v>293.3333333333369</v>
      </c>
      <c r="FJ72" s="62">
        <f ca="1">AVERAGE(OFFSET($FI$3,0,0,'Données projet'!$E$16+1,1))-AVERAGE(OFFSET($H$3,0,0,'Données projet'!$E$16+1,1))</f>
        <v>249.2899297828755</v>
      </c>
      <c r="FK72" s="62">
        <f t="shared" si="102"/>
        <v>162.88011837476813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160.91671013773291</v>
      </c>
      <c r="FR72" s="23">
        <f>EXP(-LN(2)/25)*FR71+(1-EXP(-LN(2)/25))/(LN(2)/25)*Calculateur!FM72*Calculateur!FO72*VLOOKUP('Données projet'!$B$16,Paramètres!$A$1:$I$89,3,0)*0.475*44/12</f>
        <v>14.818505317541561</v>
      </c>
      <c r="FS72" s="23">
        <f>EXP(-LN(2)/2)*FS71+(1-EXP(-LN(2)/2))/(LN(2)/2)*FM72*FP72*VLOOKUP('Données projet'!$B$16,Paramètres!$A$1:$I$89,3,0)*0.475*44/12</f>
        <v>2.2570781347164539</v>
      </c>
      <c r="FT72" s="24">
        <f t="shared" si="78"/>
        <v>177.99229358999094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1.7053025658242404E-13</v>
      </c>
      <c r="GA72" s="18">
        <f>FZ72*VLOOKUP('Données projet'!$B$17,Paramètres!$A$1:$I$89,3,0)*VLOOKUP('Données projet'!$B$17,Paramètres!$A$1:$I$89,5,0)</f>
        <v>1.1439169611549005E-13</v>
      </c>
      <c r="GB72" s="14">
        <f t="shared" si="103"/>
        <v>1.6918016515029816E-12</v>
      </c>
      <c r="GC72" s="22">
        <f t="shared" si="79"/>
        <v>3.1457867471021712E-12</v>
      </c>
      <c r="GD72" s="62">
        <f t="shared" si="80"/>
        <v>293.33333333333644</v>
      </c>
      <c r="GE72" s="62">
        <f ca="1">AVERAGE(OFFSET($GD$3,0,0,'Données projet'!$E$17+1,1))-AVERAGE(OFFSET($H$3,0,0,'Données projet'!$E$17+1,1))</f>
        <v>218.89895999738746</v>
      </c>
      <c r="GF72" s="62">
        <f t="shared" si="104"/>
        <v>145.64042897395763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170.57171274599685</v>
      </c>
      <c r="GM72" s="23">
        <f>EXP(-LN(2)/25)*GM71+(1-EXP(-LN(2)/25))/(LN(2)/25)*Calculateur!GH72*Calculateur!GJ72*VLOOKUP('Données projet'!$B$17,Paramètres!$A$1:$I$89,3,0)*0.475*44/12</f>
        <v>15.707615636594054</v>
      </c>
      <c r="GN72" s="23">
        <f>EXP(-LN(2)/2)*GN71+(1-EXP(-LN(2)/2))/(LN(2)/2)*GH72*GK72*VLOOKUP('Données projet'!$B$17,Paramètres!$A$1:$I$89,3,0)*0.475*44/12</f>
        <v>1.9410871958561511</v>
      </c>
      <c r="GO72" s="23">
        <f t="shared" si="81"/>
        <v>188.22041557844705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1.7053025658242404E-13</v>
      </c>
      <c r="GV72" s="18">
        <f>GU72*VLOOKUP('Données projet'!$B$18,Paramètres!$A$1:$I$89,3,0)*VLOOKUP('Données projet'!$B$18,Paramètres!$A$1:$I$89,5,0)</f>
        <v>1.8355876818532125E-13</v>
      </c>
      <c r="GW72" s="14">
        <f t="shared" si="105"/>
        <v>2.5693529898865504E-12</v>
      </c>
      <c r="GX72" s="22">
        <f t="shared" si="82"/>
        <v>4.7946546453085093E-12</v>
      </c>
      <c r="GY72" s="62">
        <f t="shared" si="83"/>
        <v>293.33333333333809</v>
      </c>
      <c r="GZ72" s="62">
        <f ca="1">AVERAGE(OFFSET($GY$3,0,0,'Données projet'!$E$18+1,1))-AVERAGE(OFFSET($H$3,0,0,'Données projet'!$E$18+1,1))</f>
        <v>331.3579800635751</v>
      </c>
      <c r="HA72" s="62">
        <f t="shared" si="106"/>
        <v>209.40702003535273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222.06505999007138</v>
      </c>
      <c r="HH72" s="23">
        <f>EXP(-LN(2)/25)*HH71+(1-EXP(-LN(2)/25))/(LN(2)/25)*Calculateur!HC72*Calculateur!HE72*VLOOKUP('Données projet'!$B$18,Paramètres!$A$1:$I$89,3,0)*0.475*44/12</f>
        <v>20.44953733820736</v>
      </c>
      <c r="HI72" s="23">
        <f>EXP(-LN(2)/2)*HI71+(1-EXP(-LN(2)/2))/(LN(2)/2)*HC72*HF72*VLOOKUP('Données projet'!$B$18,Paramètres!$A$1:$I$89,3,0)*0.475*44/12</f>
        <v>3.1147678259087073</v>
      </c>
      <c r="HJ72" s="24">
        <f t="shared" si="84"/>
        <v>245.62936515418744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1293.06</v>
      </c>
      <c r="L73" s="13">
        <f>VLOOKUP(A73,'Données projet'!$A$35:$I$55,9,0)</f>
        <v>46.772666666666659</v>
      </c>
      <c r="M73" s="13">
        <f t="array" ref="M73">INDEX(L:L,MIN(IF(ISNUMBER(L73:L269),ROW(L73:L269),"")))</f>
        <v>46.772666666666659</v>
      </c>
      <c r="N73" s="14">
        <f>IF('Données projet'!$A$36&gt;35,N72+M73-V72,IF(A73&lt;'Données projet'!$A$36,$K$205^A73,IF(A73='Données projet'!$A$36,'Données projet'!$B$36,N72+M73-V72)))</f>
        <v>1293.0599999999997</v>
      </c>
      <c r="O73" s="14">
        <f>N73*VLOOKUP('Données projet'!$B$9,Paramètres!$A$1:$I$89,3,0)*VLOOKUP('Données projet'!$B$9,Paramètres!$A$1:$I$89,5,0)</f>
        <v>1169.9606879999997</v>
      </c>
      <c r="P73" s="14">
        <f t="shared" si="87"/>
        <v>236.9126214995718</v>
      </c>
      <c r="Q73" s="22">
        <f t="shared" si="54"/>
        <v>2450.3043473784201</v>
      </c>
      <c r="R73" s="62">
        <f t="shared" si="55"/>
        <v>2743.6376807117535</v>
      </c>
      <c r="S73" s="62">
        <f ca="1">AVERAGE(OFFSET($R$3,0,0,'Données projet'!$E$9+1,1))-AVERAGE(OFFSET($H$3,0,0,'Données projet'!$E$9+1,1))</f>
        <v>2472.5049373954762</v>
      </c>
      <c r="T73" s="62">
        <f t="shared" si="88"/>
        <v>286.98388307318311</v>
      </c>
      <c r="U73" s="16">
        <f>IF(ISNA(VLOOKUP(A73,'Données projet'!$A$35:$I$55,3,0)),0,VLOOKUP(A73,'Données projet'!$A$35:$I$55,3,0))</f>
        <v>4</v>
      </c>
      <c r="V73" s="16">
        <f>IF(ISNA(VLOOKUP(A73,'Données projet'!$A$35:$I$55,4,0)),0,VLOOKUP(A73,'Données projet'!$A$35:$I$55,4,0))</f>
        <v>258.61</v>
      </c>
      <c r="W73" s="17">
        <f>IF(ISNA(VLOOKUP(A73,'Données projet'!$A$35:$I$55,5,0)),0%,VLOOKUP(A73,'Données projet'!$A$35:$I$55,5,0)*VLOOKUP('Données projet'!$B$9,Paramètres!$A$1:$I$89,7,0))</f>
        <v>0.215</v>
      </c>
      <c r="X73" s="17">
        <f>IF(ISNA(VLOOKUP(A73,'Données projet'!$A$35:$I$55,6,0)),0%,VLOOKUP(A73,'Données projet'!$A$35:$I$55,6,0)*VLOOKUP('Données projet'!$B$9,Paramètres!$A$1:$I$89,7,0))</f>
        <v>4.3000000000000003E-2</v>
      </c>
      <c r="Y73" s="17">
        <f>IF(ISNA(VLOOKUP(A73,'Données projet'!$A$35:$I$55,7,0)),0%,VLOOKUP(A73,'Données projet'!$A$35:$I$55,7,0))</f>
        <v>0.15</v>
      </c>
      <c r="Z73" s="23">
        <f>EXP(-LN(2)/35)*Z72+(1-EXP(-LN(2)/35))/(LN(2)/35)*V73*W73*VLOOKUP('Données projet'!$B$9,Paramètres!$A$1:$I$89,3,0)*0.475*44/12</f>
        <v>79.240741820580723</v>
      </c>
      <c r="AA73" s="23">
        <f>EXP(-LN(2)/25)*AA72+(1-EXP(-LN(2)/25))/(LN(2)/25)*Calculateur!V73*Calculateur!X73*VLOOKUP('Données projet'!$B$9,Paramètres!$A$1:$I$89,3,0)*0.475*44/12</f>
        <v>15.25841682513456</v>
      </c>
      <c r="AB73" s="23">
        <f>EXP(-LN(2)/2)*AB72+(1-EXP(-LN(2)/2))/(LN(2)/2)*V73*Y73*VLOOKUP('Données projet'!$B$9,Paramètres!$A$1:$I$89,3,0)*0.475*44/12</f>
        <v>33.221031027867902</v>
      </c>
      <c r="AC73" s="24">
        <f t="shared" si="57"/>
        <v>127.72018967358318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1293.06</v>
      </c>
      <c r="AG73" s="13">
        <f>VLOOKUP(A73,'Données projet'!$A$61:$I$81,9,0)</f>
        <v>46.772666666666659</v>
      </c>
      <c r="AH73" s="13">
        <f t="array" ref="AH73">INDEX(AG:AG,MIN(IF(ISNUMBER(AG73:AG269),ROW(AG73:AG269),"")))</f>
        <v>46.772666666666659</v>
      </c>
      <c r="AI73" s="14">
        <f>IF('Données projet'!$A$62&gt;35,AI72+AH73-AQ72,IF(A73&lt;'Données projet'!$A$62,$AF$205^A73,IF(A73='Données projet'!$A$62,'Données projet'!$B$62,AI72+AH73-AQ72)))</f>
        <v>1293.0599999999997</v>
      </c>
      <c r="AJ73" s="14">
        <f>AI73*VLOOKUP('Données projet'!$B$10,Paramètres!$A$1:$I$89,3,0)*VLOOKUP('Données projet'!$B$10,Paramètres!$A$1:$I$89,5,0)</f>
        <v>1311.1628399999997</v>
      </c>
      <c r="AK73" s="14">
        <f t="shared" si="89"/>
        <v>262.00734430299042</v>
      </c>
      <c r="AL73" s="22">
        <f t="shared" si="58"/>
        <v>2739.9380709943744</v>
      </c>
      <c r="AM73" s="62">
        <f t="shared" si="59"/>
        <v>3033.2714043277078</v>
      </c>
      <c r="AN73" s="62">
        <f ca="1">AVERAGE(OFFSET($AM$3,0,0,'Données projet'!$E$10+1,1))-AVERAGE(OFFSET($H$3,0,0,'Données projet'!$E$10+1,1))</f>
        <v>2761.1400657295467</v>
      </c>
      <c r="AO73" s="62">
        <f t="shared" si="90"/>
        <v>316.41877504316409</v>
      </c>
      <c r="AP73" s="16">
        <f>IF(ISNA(VLOOKUP(A73,'Données projet'!$A$61:$I$81,3,0)),0,VLOOKUP(A73,'Données projet'!$A$61:$I$81,3,0))</f>
        <v>4</v>
      </c>
      <c r="AQ73" s="16">
        <f>IF(ISNA(VLOOKUP(A73,'Données projet'!$A$61:$I$81,4,0)),0,VLOOKUP(A73,'Données projet'!$A$61:$I$81,4,0))</f>
        <v>258.61</v>
      </c>
      <c r="AR73" s="17">
        <f>IF(ISNA(VLOOKUP(A73,'Données projet'!$A$61:$I$81,5,0)),0%,VLOOKUP(A73,'Données projet'!$A$61:$I$81,5,0)*VLOOKUP('Données projet'!$B$10,Paramètres!$A$1:$I$89,7,0))</f>
        <v>0.215</v>
      </c>
      <c r="AS73" s="17">
        <f>IF(ISNA(VLOOKUP(A73,'Données projet'!$A$61:$I$81,6,0)),0%,VLOOKUP(A73,'Données projet'!$A$61:$I$81,6,0)*VLOOKUP('Données projet'!$B$10,Paramètres!$A$1:$I$89,7,0))</f>
        <v>4.3000000000000003E-2</v>
      </c>
      <c r="AT73" s="17">
        <f>IF(ISNA(VLOOKUP(A73,'Données projet'!$A$61:$I$81,7,0)),0%,VLOOKUP(A73,'Données projet'!$A$61:$I$81,7,0))</f>
        <v>0.15</v>
      </c>
      <c r="AU73" s="23">
        <f>EXP(-LN(2)/35)*AU72+(1-EXP(-LN(2)/35))/(LN(2)/35)*AQ73*AR73*VLOOKUP('Données projet'!$B$10,Paramètres!$A$1:$I$89,3,0)*0.475*44/12</f>
        <v>88.80427962651288</v>
      </c>
      <c r="AV73" s="23">
        <f>EXP(-LN(2)/25)*AV72+(1-EXP(-LN(2)/25))/(LN(2)/25)*Calculateur!AQ73*Calculateur!AS73*VLOOKUP('Données projet'!$B$10,Paramètres!$A$1:$I$89,3,0)*0.475*44/12</f>
        <v>17.099949890237006</v>
      </c>
      <c r="AW73" s="23">
        <f>EXP(-LN(2)/2)*AW72+(1-EXP(-LN(2)/2))/(LN(2)/2)*AQ73*AT73*VLOOKUP('Données projet'!$B$10,Paramètres!$A$1:$I$89,3,0)*0.475*44/12</f>
        <v>37.230465807093339</v>
      </c>
      <c r="AX73" s="23">
        <f t="shared" si="60"/>
        <v>143.13469532384323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1293.06</v>
      </c>
      <c r="BB73" s="13">
        <f>VLOOKUP(A73,'Données projet'!$A$87:$I$107,9,0)</f>
        <v>46.772666666666659</v>
      </c>
      <c r="BC73" s="13">
        <f t="array" ref="BC73">INDEX(BB:BB,MIN(IF(ISNUMBER(BB73:BB269),ROW(BB73:BB269),"")))</f>
        <v>46.772666666666659</v>
      </c>
      <c r="BD73" s="13">
        <f>IF('Données projet'!$A$88&gt;35,BD72+BC73-BL72,IF(A73&lt;'Données projet'!$A$88,$BA$205^A73,IF(A73='Données projet'!$A$88,'Données projet'!$B$88,BD72+BC73-BL72)))</f>
        <v>1293.0599999999997</v>
      </c>
      <c r="BE73" s="14">
        <f>BD73*VLOOKUP('Données projet'!$B$11,Paramètres!$A$1:$I$89,3,0)*VLOOKUP('Données projet'!$B$11,Paramètres!$A$1:$I$89,5,0)</f>
        <v>1351.5063119999998</v>
      </c>
      <c r="BF73" s="14">
        <f t="shared" si="91"/>
        <v>269.1181067712788</v>
      </c>
      <c r="BG73" s="22">
        <f t="shared" si="61"/>
        <v>2822.5875293599765</v>
      </c>
      <c r="BH73" s="62">
        <f t="shared" si="62"/>
        <v>3115.92086269331</v>
      </c>
      <c r="BI73" s="62">
        <f ca="1">AVERAGE(OFFSET($BH$3,0,0,'Données projet'!$E$11+1,1))-AVERAGE(OFFSET($H$3,0,0,'Données projet'!$E$11+1,1))</f>
        <v>2843.5086223152098</v>
      </c>
      <c r="BJ73" s="62">
        <f t="shared" si="92"/>
        <v>324.81562437645522</v>
      </c>
      <c r="BK73" s="16">
        <f>IF(ISNA(VLOOKUP(A73,'Données projet'!$A$87:$I$107,3,0)),0,VLOOKUP(A73,'Données projet'!$A$87:$I$107,3,0))</f>
        <v>4</v>
      </c>
      <c r="BL73" s="16">
        <f>IF(ISNA(VLOOKUP(A73,'Données projet'!$A$87:$I$107,4,0)),0,VLOOKUP(A73,'Données projet'!$A$87:$I$107,4,0))</f>
        <v>258.61</v>
      </c>
      <c r="BM73" s="17">
        <f>IF(ISNA(VLOOKUP(A73,'Données projet'!$A$87:$I$107,5,0)),0%,VLOOKUP(A73,'Données projet'!$A$87:$I$107,5,0)*VLOOKUP('Données projet'!$B$11,Paramètres!$A$1:$I$89,7,0))</f>
        <v>0.215</v>
      </c>
      <c r="BN73" s="17">
        <f>IF(ISNA(VLOOKUP(A73,'Données projet'!$A$87:$I$107,6,0)),0%,VLOOKUP(A73,'Données projet'!$A$87:$I$107,6,0)*VLOOKUP('Données projet'!$B$11,Paramètres!$A$1:$I$89,7,0))</f>
        <v>4.3000000000000003E-2</v>
      </c>
      <c r="BO73" s="17">
        <f>IF(ISNA(VLOOKUP(A73,'Données projet'!$A$87:$I$107,7,0)),0%,VLOOKUP(A73,'Données projet'!$A$87:$I$107,7,0))</f>
        <v>0.15</v>
      </c>
      <c r="BP73" s="23">
        <f>EXP(-LN(2)/35)*BP72+(1-EXP(-LN(2)/35))/(LN(2)/35)*BL73*BM73*VLOOKUP('Données projet'!$B$11,Paramètres!$A$1:$I$89,3,0)*0.475*44/12</f>
        <v>91.536718999636378</v>
      </c>
      <c r="BQ73" s="23">
        <f>EXP(-LN(2)/25)*BQ72+(1-EXP(-LN(2)/25))/(LN(2)/25)*Calculateur!BL73*Calculateur!BN73*VLOOKUP('Données projet'!$B$11,Paramètres!$A$1:$I$89,3,0)*0.475*44/12</f>
        <v>17.62610219455199</v>
      </c>
      <c r="BR73" s="23">
        <f>EXP(-LN(2)/2)*BR72+(1-EXP(-LN(2)/2))/(LN(2)/2)*BL73*BO73*VLOOKUP('Données projet'!$B$11,Paramètres!$A$1:$I$89,3,0)*0.475*44/12</f>
        <v>38.376018601157746</v>
      </c>
      <c r="BS73" s="24">
        <f t="shared" si="63"/>
        <v>147.53883979534612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1293.06</v>
      </c>
      <c r="BW73" s="13">
        <f>VLOOKUP(A73,'Données projet'!$A$113:$I$133,9,0)</f>
        <v>46.772666666666659</v>
      </c>
      <c r="BX73" s="13">
        <f t="array" ref="BX73">INDEX(BW:BW,MIN(IF(ISNUMBER(BW73:BW269),ROW(BW73:BW269),"")))</f>
        <v>46.772666666666659</v>
      </c>
      <c r="BY73" s="13">
        <f>IF('Données projet'!$A$114&gt;35,BY72+BX73-CG72,IF(A73&lt;'Données projet'!$A$114,$BV$205^A73,IF(A73='Données projet'!$A$114,'Données projet'!$B$114,BY72+BX73-CG72)))</f>
        <v>1293.0599999999997</v>
      </c>
      <c r="BZ73" s="14">
        <f>BY73*VLOOKUP('Données projet'!$B$12,Paramètres!$A$1:$I$89,3,0)*VLOOKUP('Données projet'!$B$12,Paramètres!$A$1:$I$89,5,0)</f>
        <v>1290.991104</v>
      </c>
      <c r="CA73" s="14">
        <f t="shared" si="93"/>
        <v>258.4424492851864</v>
      </c>
      <c r="CB73" s="22">
        <f t="shared" si="64"/>
        <v>2698.5967719716996</v>
      </c>
      <c r="CC73" s="62">
        <f t="shared" si="65"/>
        <v>2991.9301053050331</v>
      </c>
      <c r="CD73" s="62">
        <f ca="1">AVERAGE(OFFSET($CC$3,0,0,'Données projet'!$E$12+1,1))-AVERAGE(OFFSET($H$3,0,0,'Données projet'!$E$12+1,1))</f>
        <v>2719.939926994799</v>
      </c>
      <c r="CE73" s="62">
        <f t="shared" si="94"/>
        <v>312.21824046329749</v>
      </c>
      <c r="CF73" s="16">
        <f>IF(ISNA(VLOOKUP(A73,'Données projet'!$A$113:$I$133,3,0)),0,VLOOKUP(A73,'Données projet'!$A$113:$I$133,3,0))</f>
        <v>4</v>
      </c>
      <c r="CG73" s="16">
        <f>IF(ISNA(VLOOKUP(A73,'Données projet'!$A$113:$I$133,4,0)),0,VLOOKUP(A73,'Données projet'!$A$113:$I$133,4,0))</f>
        <v>258.61</v>
      </c>
      <c r="CH73" s="17">
        <f>IF(ISNA(VLOOKUP(A73,'Données projet'!$A$113:$I$133,5,0)),0%,VLOOKUP(A73,'Données projet'!$A$113:$I$133,5,0)*VLOOKUP('Données projet'!$B$12,Paramètres!$A$1:$I$89,7,0))</f>
        <v>0.215</v>
      </c>
      <c r="CI73" s="17">
        <f>IF(ISNA(VLOOKUP(A73,'Données projet'!$A$113:$I$133,6,0)),0%,VLOOKUP(A73,'Données projet'!$A$113:$I$133,6,0)*VLOOKUP('Données projet'!$B$12,Paramètres!$A$1:$I$89,7,0))</f>
        <v>4.3000000000000003E-2</v>
      </c>
      <c r="CJ73" s="17">
        <f>IF(ISNA(VLOOKUP(A73,'Données projet'!$A$113:$I$133,7,0)),0%,VLOOKUP(A73,'Données projet'!$A$113:$I$133,7,0))</f>
        <v>0.15</v>
      </c>
      <c r="CK73" s="23">
        <f>EXP(-LN(2)/35)*CK72+(1-EXP(-LN(2)/35))/(LN(2)/35)*CG73*CH73*VLOOKUP('Données projet'!$B$12,Paramètres!$A$1:$I$89,3,0)*0.475*44/12</f>
        <v>87.438059939951131</v>
      </c>
      <c r="CL73" s="23">
        <f>EXP(-LN(2)/25)*CL72+(1-EXP(-LN(2)/25))/(LN(2)/25)*Calculateur!CG73*Calculateur!CI73*VLOOKUP('Données projet'!$B$12,Paramètres!$A$1:$I$89,3,0)*0.475*44/12</f>
        <v>16.836873738079515</v>
      </c>
      <c r="CM73" s="23">
        <f>EXP(-LN(2)/2)*CM72+(1-EXP(-LN(2)/2))/(LN(2)/2)*CG73*CJ73*VLOOKUP('Données projet'!$B$12,Paramètres!$A$1:$I$89,3,0)*0.475*44/12</f>
        <v>36.657689410061124</v>
      </c>
      <c r="CN73" s="24">
        <f t="shared" si="66"/>
        <v>140.93262308809176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1435.12</v>
      </c>
      <c r="CR73" s="13">
        <f>VLOOKUP(A73,'Données projet'!$A$139:$I$159,9,0)</f>
        <v>51.041333333333327</v>
      </c>
      <c r="CS73" s="13">
        <f t="array" ref="CS73">INDEX(CR:CR,MIN(IF(ISNUMBER(CR73:CR269),ROW(CR73:CR269),"")))</f>
        <v>51.041333333333327</v>
      </c>
      <c r="CT73" s="13">
        <f>IF('Données projet'!$A$140&gt;35,CT72+CS73-DB72,IF(A73&lt;'Données projet'!$A$140,$CQ$205^A73,IF(A73='Données projet'!$A$140,'Données projet'!$B$140,CT72+CS73-DB72)))</f>
        <v>1435.1200000000003</v>
      </c>
      <c r="CU73" s="18">
        <f>CT73*VLOOKUP('Données projet'!$B$13,Paramètres!$A$1:$I$89,3,0)*VLOOKUP('Données projet'!$B$13,Paramètres!$A$1:$I$89,5,0)</f>
        <v>1253.7208320000007</v>
      </c>
      <c r="CV73" s="14">
        <f t="shared" si="95"/>
        <v>251.83861894098399</v>
      </c>
      <c r="CW73" s="22">
        <f t="shared" si="67"/>
        <v>2622.1827103888813</v>
      </c>
      <c r="CX73" s="62">
        <f t="shared" si="68"/>
        <v>2915.5160437222148</v>
      </c>
      <c r="CY73" s="62">
        <f ca="1">AVERAGE(OFFSET($CX$3,0,0,'Données projet'!$E$13+1,1))-AVERAGE(OFFSET($H$3,0,0,'Données projet'!$E$13+1,1))</f>
        <v>1036.0130072090849</v>
      </c>
      <c r="CZ73" s="62">
        <f t="shared" si="96"/>
        <v>346.56593355696174</v>
      </c>
      <c r="DA73" s="16">
        <f>IF(ISNA(VLOOKUP(A73,'Données projet'!$A$139:$I$159,3,0)),0,VLOOKUP(A73,'Données projet'!$A$139:$I$159,3,0))</f>
        <v>4</v>
      </c>
      <c r="DB73" s="16">
        <f>IF(ISNA(VLOOKUP(A73,'Données projet'!$A$139:$I$159,4,0)),0,VLOOKUP(A73,'Données projet'!$A$139:$I$159,4,0))</f>
        <v>287.02</v>
      </c>
      <c r="DC73" s="17">
        <f>IF(ISNA(VLOOKUP(A73,'Données projet'!$A$139:$I$159,5,0)),0%,VLOOKUP(A73,'Données projet'!$A$139:$I$159,5,0)*VLOOKUP('Données projet'!$B$13,Paramètres!$A$1:$I$89,7,0))</f>
        <v>0.215</v>
      </c>
      <c r="DD73" s="17">
        <f>IF(ISNA(VLOOKUP(A73,'Données projet'!$A$139:$I$159,6,0)),0%,VLOOKUP(A73,'Données projet'!$A$139:$I$159,6,0)*VLOOKUP('Données projet'!$B$13,Paramètres!$A$1:$I$89,7,0))</f>
        <v>4.3000000000000003E-2</v>
      </c>
      <c r="DE73" s="17">
        <f>IF(ISNA(VLOOKUP(A73,'Données projet'!$A$139:$I$159,7,0)),0%,VLOOKUP(A73,'Données projet'!$A$139:$I$159,7,0))</f>
        <v>0.15</v>
      </c>
      <c r="DF73" s="23">
        <f>EXP(-LN(2)/35)*DF72+(1-EXP(-LN(2)/35))/(LN(2)/35)*DB73*DC73*VLOOKUP('Données projet'!$B$13,Paramètres!$A$1:$I$89,3,0)*0.475*44/12</f>
        <v>85.417015110580806</v>
      </c>
      <c r="DG73" s="23">
        <f>EXP(-LN(2)/25)*DG72+(1-EXP(-LN(2)/25))/(LN(2)/25)*Calculateur!DB73*Calculateur!DD73*VLOOKUP('Données projet'!$B$13,Paramètres!$A$1:$I$89,3,0)*0.475*44/12</f>
        <v>16.439814622051472</v>
      </c>
      <c r="DH73" s="23">
        <f>EXP(-LN(2)/2)*DH72+(1-EXP(-LN(2)/2))/(LN(2)/2)*DB73*DE73*VLOOKUP('Données projet'!$B$13,Paramètres!$A$1:$I$89,3,0)*0.475*44/12</f>
        <v>35.601409724881385</v>
      </c>
      <c r="DI73" s="24">
        <f t="shared" si="69"/>
        <v>137.45823945751366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6.8212102632969618E-13</v>
      </c>
      <c r="DP73" s="18">
        <f>DO73*VLOOKUP('Données projet'!$B$14,Paramètres!$A$1:$I$89,3,0)*VLOOKUP('Données projet'!$B$14,Paramètres!$A$1:$I$89,5,0)</f>
        <v>3.8130565371830017E-13</v>
      </c>
      <c r="DQ73" s="14">
        <f t="shared" si="97"/>
        <v>4.9019074112354236E-12</v>
      </c>
      <c r="DR73" s="22">
        <f t="shared" si="70"/>
        <v>9.2015960881277352E-12</v>
      </c>
      <c r="DS73" s="62">
        <f t="shared" si="71"/>
        <v>293.33333333334252</v>
      </c>
      <c r="DT73" s="62">
        <f ca="1">AVERAGE(OFFSET($DS$3,0,0,'Données projet'!$E$14+1,1))-AVERAGE(OFFSET($H$3,0,0,'Données projet'!$E$14+1,1))</f>
        <v>446.48069057792151</v>
      </c>
      <c r="DU73" s="62">
        <f t="shared" si="98"/>
        <v>561.75656782935948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151.48377491062664</v>
      </c>
      <c r="EB73" s="23">
        <f>EXP(-LN(2)/25)*EB72+(1-EXP(-LN(2)/25))/(LN(2)/25)*Calculateur!DW73*Calculateur!DY73*VLOOKUP('Données projet'!$B$14,Paramètres!$A$1:$I$89,3,0)*0.475*44/12</f>
        <v>61.412752410797907</v>
      </c>
      <c r="EC73" s="23">
        <f>EXP(-LN(2)/2)*EC72+(1-EXP(-LN(2)/2))/(LN(2)/2)*DW73*DZ73*VLOOKUP('Données projet'!$B$14,Paramètres!$A$1:$I$89,3,0)*0.475*44/12</f>
        <v>4.1932866219449005</v>
      </c>
      <c r="ED73" s="24">
        <f t="shared" si="72"/>
        <v>217.08981394336945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1.7053025658242404E-13</v>
      </c>
      <c r="EK73" s="18">
        <f>EJ73*VLOOKUP('Données projet'!$B$15,Paramètres!$A$1:$I$89,3,0)*VLOOKUP('Données projet'!$B$15,Paramètres!$A$1:$I$89,5,0)</f>
        <v>1.6493686416652052E-13</v>
      </c>
      <c r="EL73" s="14">
        <f t="shared" si="99"/>
        <v>2.3376205369651282E-12</v>
      </c>
      <c r="EM73" s="22">
        <f t="shared" si="73"/>
        <v>4.3586208069709543E-12</v>
      </c>
      <c r="EN73" s="62">
        <f t="shared" si="74"/>
        <v>293.33333333333769</v>
      </c>
      <c r="EO73" s="62">
        <f ca="1">AVERAGE(OFFSET($EN$3,0,0,'Données projet'!$E$15+1,1))-AVERAGE(OFFSET($H$3,0,0,'Données projet'!$E$15+1,1))</f>
        <v>301.18531163828169</v>
      </c>
      <c r="EP73" s="62">
        <f t="shared" si="100"/>
        <v>192.30530273268101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195.62392718577775</v>
      </c>
      <c r="EW73" s="23">
        <f>EXP(-LN(2)/25)*EW72+(1-EXP(-LN(2)/25))/(LN(2)/25)*Calculateur!ER73*Calculateur!ET73*VLOOKUP('Données projet'!$B$15,Paramètres!$A$1:$I$89,3,0)*0.475*44/12</f>
        <v>17.87248271284896</v>
      </c>
      <c r="EX73" s="23">
        <f>EXP(-LN(2)/2)*EX72+(1-EXP(-LN(2)/2))/(LN(2)/2)*ER73*EU73*VLOOKUP('Données projet'!$B$15,Paramètres!$A$1:$I$89,3,0)*0.475*44/12</f>
        <v>1.9790341158601024</v>
      </c>
      <c r="EY73" s="24">
        <f t="shared" si="75"/>
        <v>215.47544401448681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1.7053025658242404E-13</v>
      </c>
      <c r="FF73" s="18">
        <f>FE73*VLOOKUP('Données projet'!$B$16,Paramètres!$A$1:$I$89,3,0)*VLOOKUP('Données projet'!$B$16,Paramètres!$A$1:$I$89,5,0)</f>
        <v>1.3301360013429075E-13</v>
      </c>
      <c r="FG73" s="14">
        <f t="shared" si="101"/>
        <v>1.9329766731057041E-12</v>
      </c>
      <c r="FH73" s="22">
        <f t="shared" si="76"/>
        <v>3.5982663925596575E-12</v>
      </c>
      <c r="FI73" s="62">
        <f t="shared" si="77"/>
        <v>293.3333333333369</v>
      </c>
      <c r="FJ73" s="62">
        <f ca="1">AVERAGE(OFFSET($FI$3,0,0,'Données projet'!$E$16+1,1))-AVERAGE(OFFSET($H$3,0,0,'Données projet'!$E$16+1,1))</f>
        <v>249.2899297828755</v>
      </c>
      <c r="FK73" s="62">
        <f t="shared" si="102"/>
        <v>162.88011837476813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157.76123160143368</v>
      </c>
      <c r="FR73" s="23">
        <f>EXP(-LN(2)/25)*FR72+(1-EXP(-LN(2)/25))/(LN(2)/25)*Calculateur!FM73*Calculateur!FO73*VLOOKUP('Données projet'!$B$16,Paramètres!$A$1:$I$89,3,0)*0.475*44/12</f>
        <v>14.41329251036206</v>
      </c>
      <c r="FS73" s="23">
        <f>EXP(-LN(2)/2)*FS72+(1-EXP(-LN(2)/2))/(LN(2)/2)*FM73*FP73*VLOOKUP('Données projet'!$B$16,Paramètres!$A$1:$I$89,3,0)*0.475*44/12</f>
        <v>1.5959952547258884</v>
      </c>
      <c r="FT73" s="24">
        <f t="shared" si="78"/>
        <v>173.77051936652163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1.7053025658242404E-13</v>
      </c>
      <c r="GA73" s="18">
        <f>FZ73*VLOOKUP('Données projet'!$B$17,Paramètres!$A$1:$I$89,3,0)*VLOOKUP('Données projet'!$B$17,Paramètres!$A$1:$I$89,5,0)</f>
        <v>1.1439169611549005E-13</v>
      </c>
      <c r="GB73" s="14">
        <f t="shared" si="103"/>
        <v>1.6918016515029816E-12</v>
      </c>
      <c r="GC73" s="22">
        <f t="shared" si="79"/>
        <v>3.1457867471021712E-12</v>
      </c>
      <c r="GD73" s="62">
        <f t="shared" si="80"/>
        <v>293.33333333333644</v>
      </c>
      <c r="GE73" s="62">
        <f ca="1">AVERAGE(OFFSET($GD$3,0,0,'Données projet'!$E$17+1,1))-AVERAGE(OFFSET($H$3,0,0,'Données projet'!$E$17+1,1))</f>
        <v>218.89895999738746</v>
      </c>
      <c r="GF73" s="62">
        <f t="shared" si="104"/>
        <v>145.64042897395763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167.22690549751968</v>
      </c>
      <c r="GM73" s="23">
        <f>EXP(-LN(2)/25)*GM72+(1-EXP(-LN(2)/25))/(LN(2)/25)*Calculateur!GH73*Calculateur!GJ73*VLOOKUP('Données projet'!$B$17,Paramètres!$A$1:$I$89,3,0)*0.475*44/12</f>
        <v>15.278090060983784</v>
      </c>
      <c r="GN73" s="23">
        <f>EXP(-LN(2)/2)*GN72+(1-EXP(-LN(2)/2))/(LN(2)/2)*GH73*GK73*VLOOKUP('Données projet'!$B$17,Paramètres!$A$1:$I$89,3,0)*0.475*44/12</f>
        <v>1.3725559190642647</v>
      </c>
      <c r="GO73" s="23">
        <f t="shared" si="81"/>
        <v>183.87755147756772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1.7053025658242404E-13</v>
      </c>
      <c r="GV73" s="18">
        <f>GU73*VLOOKUP('Données projet'!$B$18,Paramètres!$A$1:$I$89,3,0)*VLOOKUP('Données projet'!$B$18,Paramètres!$A$1:$I$89,5,0)</f>
        <v>1.8355876818532125E-13</v>
      </c>
      <c r="GW73" s="14">
        <f t="shared" si="105"/>
        <v>2.5693529898865504E-12</v>
      </c>
      <c r="GX73" s="22">
        <f t="shared" si="82"/>
        <v>4.7946546453085093E-12</v>
      </c>
      <c r="GY73" s="62">
        <f t="shared" si="83"/>
        <v>293.33333333333809</v>
      </c>
      <c r="GZ73" s="62">
        <f ca="1">AVERAGE(OFFSET($GY$3,0,0,'Données projet'!$E$18+1,1))-AVERAGE(OFFSET($H$3,0,0,'Données projet'!$E$18+1,1))</f>
        <v>331.3579800635751</v>
      </c>
      <c r="HA73" s="62">
        <f t="shared" si="106"/>
        <v>209.40702003535273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217.71049960997846</v>
      </c>
      <c r="HH73" s="23">
        <f>EXP(-LN(2)/25)*HH72+(1-EXP(-LN(2)/25))/(LN(2)/25)*Calculateur!HC73*Calculateur!HE73*VLOOKUP('Données projet'!$B$18,Paramètres!$A$1:$I$89,3,0)*0.475*44/12</f>
        <v>19.89034366429965</v>
      </c>
      <c r="HI73" s="23">
        <f>EXP(-LN(2)/2)*HI72+(1-EXP(-LN(2)/2))/(LN(2)/2)*HC73*HF73*VLOOKUP('Données projet'!$B$18,Paramètres!$A$1:$I$89,3,0)*0.475*44/12</f>
        <v>2.2024734515217266</v>
      </c>
      <c r="HJ73" s="24">
        <f t="shared" si="84"/>
        <v>239.80331672579985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46.510000000000005</v>
      </c>
      <c r="N74" s="14">
        <f>IF('Données projet'!$A$36&gt;35,N73+M74-V73,IF(A74&lt;'Données projet'!$A$36,$K$205^A74,IF(A74='Données projet'!$A$36,'Données projet'!$B$36,N73+M74-V73)))</f>
        <v>1080.9599999999996</v>
      </c>
      <c r="O74" s="14">
        <f>N74*VLOOKUP('Données projet'!$B$9,Paramètres!$A$1:$I$89,3,0)*VLOOKUP('Données projet'!$B$9,Paramètres!$A$1:$I$89,5,0)</f>
        <v>978.05260799999962</v>
      </c>
      <c r="P74" s="14">
        <f t="shared" si="87"/>
        <v>202.22559340004938</v>
      </c>
      <c r="Q74" s="22">
        <f t="shared" si="54"/>
        <v>2055.651200771752</v>
      </c>
      <c r="R74" s="62">
        <f t="shared" si="55"/>
        <v>2348.9845341050855</v>
      </c>
      <c r="S74" s="62">
        <f ca="1">AVERAGE(OFFSET($R$3,0,0,'Données projet'!$E$9+1,1))-AVERAGE(OFFSET($H$3,0,0,'Données projet'!$E$9+1,1))</f>
        <v>2472.5049373954762</v>
      </c>
      <c r="T74" s="62">
        <f t="shared" si="88"/>
        <v>286.98388307318311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77.686879205559251</v>
      </c>
      <c r="AA74" s="23">
        <f>EXP(-LN(2)/25)*AA73+(1-EXP(-LN(2)/25))/(LN(2)/25)*Calculateur!V74*Calculateur!X74*VLOOKUP('Données projet'!$B$9,Paramètres!$A$1:$I$89,3,0)*0.475*44/12</f>
        <v>14.841174614645988</v>
      </c>
      <c r="AB74" s="23">
        <f>EXP(-LN(2)/2)*AB73+(1-EXP(-LN(2)/2))/(LN(2)/2)*V74*Y74*VLOOKUP('Données projet'!$B$9,Paramètres!$A$1:$I$89,3,0)*0.475*44/12</f>
        <v>23.490816317814097</v>
      </c>
      <c r="AC74" s="24">
        <f t="shared" si="57"/>
        <v>116.01887013801934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46.510000000000005</v>
      </c>
      <c r="AI74" s="14">
        <f>IF('Données projet'!$A$62&gt;35,AI73+AH74-AQ73,IF(A74&lt;'Données projet'!$A$62,$AF$205^A74,IF(A74='Données projet'!$A$62,'Données projet'!$B$62,AI73+AH74-AQ73)))</f>
        <v>1080.9599999999996</v>
      </c>
      <c r="AJ74" s="14">
        <f>AI74*VLOOKUP('Données projet'!$B$10,Paramètres!$A$1:$I$89,3,0)*VLOOKUP('Données projet'!$B$10,Paramètres!$A$1:$I$89,5,0)</f>
        <v>1096.0934399999996</v>
      </c>
      <c r="AK74" s="14">
        <f t="shared" si="89"/>
        <v>223.64612886164443</v>
      </c>
      <c r="AL74" s="22">
        <f t="shared" si="58"/>
        <v>2298.5464157673632</v>
      </c>
      <c r="AM74" s="62">
        <f t="shared" si="59"/>
        <v>2591.8797491006967</v>
      </c>
      <c r="AN74" s="62">
        <f ca="1">AVERAGE(OFFSET($AM$3,0,0,'Données projet'!$E$10+1,1))-AVERAGE(OFFSET($H$3,0,0,'Données projet'!$E$10+1,1))</f>
        <v>2761.1400657295467</v>
      </c>
      <c r="AO74" s="62">
        <f t="shared" si="90"/>
        <v>316.41877504316409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87.062881868299158</v>
      </c>
      <c r="AV74" s="23">
        <f>EXP(-LN(2)/25)*AV73+(1-EXP(-LN(2)/25))/(LN(2)/25)*Calculateur!AQ74*Calculateur!AS74*VLOOKUP('Données projet'!$B$10,Paramètres!$A$1:$I$89,3,0)*0.475*44/12</f>
        <v>16.632350861241193</v>
      </c>
      <c r="AW74" s="23">
        <f>EXP(-LN(2)/2)*AW73+(1-EXP(-LN(2)/2))/(LN(2)/2)*AQ74*AT74*VLOOKUP('Données projet'!$B$10,Paramètres!$A$1:$I$89,3,0)*0.475*44/12</f>
        <v>26.325914838929592</v>
      </c>
      <c r="AX74" s="23">
        <f t="shared" si="60"/>
        <v>130.02114756846993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46.510000000000005</v>
      </c>
      <c r="BD74" s="13">
        <f>IF('Données projet'!$A$88&gt;35,BD73+BC74-BL73,IF(A74&lt;'Données projet'!$A$88,$BA$205^A74,IF(A74='Données projet'!$A$88,'Données projet'!$B$88,BD73+BC74-BL73)))</f>
        <v>1080.9599999999996</v>
      </c>
      <c r="BE74" s="14">
        <f>BD74*VLOOKUP('Données projet'!$B$11,Paramètres!$A$1:$I$89,3,0)*VLOOKUP('Données projet'!$B$11,Paramètres!$A$1:$I$89,5,0)</f>
        <v>1129.8193919999997</v>
      </c>
      <c r="BF74" s="14">
        <f t="shared" si="91"/>
        <v>229.71578505207674</v>
      </c>
      <c r="BG74" s="22">
        <f t="shared" si="61"/>
        <v>2367.8571000323668</v>
      </c>
      <c r="BH74" s="62">
        <f t="shared" si="62"/>
        <v>2661.1904333657003</v>
      </c>
      <c r="BI74" s="62">
        <f ca="1">AVERAGE(OFFSET($BH$3,0,0,'Données projet'!$E$11+1,1))-AVERAGE(OFFSET($H$3,0,0,'Données projet'!$E$11+1,1))</f>
        <v>2843.5086223152098</v>
      </c>
      <c r="BJ74" s="62">
        <f t="shared" si="92"/>
        <v>324.81562437645522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89.741739771939152</v>
      </c>
      <c r="BQ74" s="23">
        <f>EXP(-LN(2)/25)*BQ73+(1-EXP(-LN(2)/25))/(LN(2)/25)*Calculateur!BL74*Calculateur!BN74*VLOOKUP('Données projet'!$B$11,Paramètres!$A$1:$I$89,3,0)*0.475*44/12</f>
        <v>17.144115503125537</v>
      </c>
      <c r="BR74" s="23">
        <f>EXP(-LN(2)/2)*BR73+(1-EXP(-LN(2)/2))/(LN(2)/2)*BL74*BO74*VLOOKUP('Données projet'!$B$11,Paramètres!$A$1:$I$89,3,0)*0.475*44/12</f>
        <v>27.135942987819728</v>
      </c>
      <c r="BS74" s="24">
        <f t="shared" si="63"/>
        <v>134.0217982628844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46.510000000000005</v>
      </c>
      <c r="BY74" s="13">
        <f>IF('Données projet'!$A$114&gt;35,BY73+BX74-CG73,IF(A74&lt;'Données projet'!$A$114,$BV$205^A74,IF(A74='Données projet'!$A$114,'Données projet'!$B$114,BY73+BX74-CG73)))</f>
        <v>1080.9599999999996</v>
      </c>
      <c r="BZ74" s="14">
        <f>BY74*VLOOKUP('Données projet'!$B$12,Paramètres!$A$1:$I$89,3,0)*VLOOKUP('Données projet'!$B$12,Paramètres!$A$1:$I$89,5,0)</f>
        <v>1079.2304639999998</v>
      </c>
      <c r="CA74" s="14">
        <f t="shared" si="93"/>
        <v>220.60317992198384</v>
      </c>
      <c r="CB74" s="22">
        <f t="shared" si="64"/>
        <v>2263.876929830788</v>
      </c>
      <c r="CC74" s="62">
        <f t="shared" si="65"/>
        <v>2557.2102631641214</v>
      </c>
      <c r="CD74" s="62">
        <f ca="1">AVERAGE(OFFSET($CC$3,0,0,'Données projet'!$E$12+1,1))-AVERAGE(OFFSET($H$3,0,0,'Données projet'!$E$12+1,1))</f>
        <v>2719.939926994799</v>
      </c>
      <c r="CE74" s="62">
        <f t="shared" si="94"/>
        <v>312.21824046329749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85.723452916479161</v>
      </c>
      <c r="CL74" s="23">
        <f>EXP(-LN(2)/25)*CL73+(1-EXP(-LN(2)/25))/(LN(2)/25)*Calculateur!CG74*Calculateur!CI74*VLOOKUP('Données projet'!$B$12,Paramètres!$A$1:$I$89,3,0)*0.475*44/12</f>
        <v>16.376468540299022</v>
      </c>
      <c r="CM74" s="23">
        <f>EXP(-LN(2)/2)*CM73+(1-EXP(-LN(2)/2))/(LN(2)/2)*CG74*CJ74*VLOOKUP('Données projet'!$B$12,Paramètres!$A$1:$I$89,3,0)*0.475*44/12</f>
        <v>25.920900764484514</v>
      </c>
      <c r="CN74" s="24">
        <f t="shared" si="66"/>
        <v>128.0208222212627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65.679000000000016</v>
      </c>
      <c r="CT74" s="13">
        <f>IF('Données projet'!$A$140&gt;35,CT73+CS74-DB73,IF(A74&lt;'Données projet'!$A$140,$CQ$205^A74,IF(A74='Données projet'!$A$140,'Données projet'!$B$140,CT73+CS74-DB73)))</f>
        <v>1213.7790000000005</v>
      </c>
      <c r="CU74" s="18">
        <f>CT74*VLOOKUP('Données projet'!$B$13,Paramètres!$A$1:$I$89,3,0)*VLOOKUP('Données projet'!$B$13,Paramètres!$A$1:$I$89,5,0)</f>
        <v>1060.3573344000006</v>
      </c>
      <c r="CV74" s="14">
        <f t="shared" si="95"/>
        <v>217.19092167143762</v>
      </c>
      <c r="CW74" s="22">
        <f t="shared" si="67"/>
        <v>2225.0632126577543</v>
      </c>
      <c r="CX74" s="62">
        <f t="shared" si="68"/>
        <v>2518.3965459910878</v>
      </c>
      <c r="CY74" s="62">
        <f ca="1">AVERAGE(OFFSET($CX$3,0,0,'Données projet'!$E$13+1,1))-AVERAGE(OFFSET($H$3,0,0,'Données projet'!$E$13+1,1))</f>
        <v>1036.0130072090849</v>
      </c>
      <c r="CZ74" s="62">
        <f t="shared" si="96"/>
        <v>346.56593355696174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83.742039543497157</v>
      </c>
      <c r="DG74" s="23">
        <f>EXP(-LN(2)/25)*DG73+(1-EXP(-LN(2)/25))/(LN(2)/25)*Calculateur!DB74*Calculateur!DD74*VLOOKUP('Données projet'!$B$13,Paramètres!$A$1:$I$89,3,0)*0.475*44/12</f>
        <v>15.990267026679197</v>
      </c>
      <c r="DH74" s="23">
        <f>EXP(-LN(2)/2)*DH73+(1-EXP(-LN(2)/2))/(LN(2)/2)*DB74*DE74*VLOOKUP('Données projet'!$B$13,Paramètres!$A$1:$I$89,3,0)*0.475*44/12</f>
        <v>25.173998236264328</v>
      </c>
      <c r="DI74" s="24">
        <f t="shared" si="69"/>
        <v>124.90630480644067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6.8212102632969618E-13</v>
      </c>
      <c r="DP74" s="18">
        <f>DO74*VLOOKUP('Données projet'!$B$14,Paramètres!$A$1:$I$89,3,0)*VLOOKUP('Données projet'!$B$14,Paramètres!$A$1:$I$89,5,0)</f>
        <v>3.8130565371830017E-13</v>
      </c>
      <c r="DQ74" s="14">
        <f t="shared" si="97"/>
        <v>4.9019074112354236E-12</v>
      </c>
      <c r="DR74" s="22">
        <f t="shared" si="70"/>
        <v>9.2015960881277352E-12</v>
      </c>
      <c r="DS74" s="62">
        <f t="shared" si="71"/>
        <v>293.33333333334252</v>
      </c>
      <c r="DT74" s="62">
        <f ca="1">AVERAGE(OFFSET($DS$3,0,0,'Données projet'!$E$14+1,1))-AVERAGE(OFFSET($H$3,0,0,'Données projet'!$E$14+1,1))</f>
        <v>446.48069057792151</v>
      </c>
      <c r="DU74" s="62">
        <f t="shared" si="98"/>
        <v>561.75656782935948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148.51327048060861</v>
      </c>
      <c r="EB74" s="23">
        <f>EXP(-LN(2)/25)*EB73+(1-EXP(-LN(2)/25))/(LN(2)/25)*Calculateur!DW74*Calculateur!DY74*VLOOKUP('Données projet'!$B$14,Paramètres!$A$1:$I$89,3,0)*0.475*44/12</f>
        <v>59.733417466568348</v>
      </c>
      <c r="EC74" s="23">
        <f>EXP(-LN(2)/2)*EC73+(1-EXP(-LN(2)/2))/(LN(2)/2)*DW74*DZ74*VLOOKUP('Données projet'!$B$14,Paramètres!$A$1:$I$89,3,0)*0.475*44/12</f>
        <v>2.9651014058360698</v>
      </c>
      <c r="ED74" s="24">
        <f t="shared" si="72"/>
        <v>211.21178935301302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1.7053025658242404E-13</v>
      </c>
      <c r="EK74" s="18">
        <f>EJ74*VLOOKUP('Données projet'!$B$15,Paramètres!$A$1:$I$89,3,0)*VLOOKUP('Données projet'!$B$15,Paramètres!$A$1:$I$89,5,0)</f>
        <v>1.6493686416652052E-13</v>
      </c>
      <c r="EL74" s="14">
        <f t="shared" si="99"/>
        <v>2.3376205369651282E-12</v>
      </c>
      <c r="EM74" s="22">
        <f t="shared" si="73"/>
        <v>4.3586208069709543E-12</v>
      </c>
      <c r="EN74" s="62">
        <f t="shared" si="74"/>
        <v>293.33333333333769</v>
      </c>
      <c r="EO74" s="62">
        <f ca="1">AVERAGE(OFFSET($EN$3,0,0,'Données projet'!$E$15+1,1))-AVERAGE(OFFSET($H$3,0,0,'Données projet'!$E$15+1,1))</f>
        <v>301.18531163828169</v>
      </c>
      <c r="EP74" s="62">
        <f t="shared" si="100"/>
        <v>192.30530273268101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191.78786129247848</v>
      </c>
      <c r="EW74" s="23">
        <f>EXP(-LN(2)/25)*EW73+(1-EXP(-LN(2)/25))/(LN(2)/25)*Calculateur!ER74*Calculateur!ET74*VLOOKUP('Données projet'!$B$15,Paramètres!$A$1:$I$89,3,0)*0.475*44/12</f>
        <v>17.383758733193087</v>
      </c>
      <c r="EX74" s="23">
        <f>EXP(-LN(2)/2)*EX73+(1-EXP(-LN(2)/2))/(LN(2)/2)*ER74*EU74*VLOOKUP('Données projet'!$B$15,Paramètres!$A$1:$I$89,3,0)*0.475*44/12</f>
        <v>1.3993884435242021</v>
      </c>
      <c r="EY74" s="24">
        <f t="shared" si="75"/>
        <v>210.57100846919576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1.7053025658242404E-13</v>
      </c>
      <c r="FF74" s="18">
        <f>FE74*VLOOKUP('Données projet'!$B$16,Paramètres!$A$1:$I$89,3,0)*VLOOKUP('Données projet'!$B$16,Paramètres!$A$1:$I$89,5,0)</f>
        <v>1.3301360013429075E-13</v>
      </c>
      <c r="FG74" s="14">
        <f t="shared" si="101"/>
        <v>1.9329766731057041E-12</v>
      </c>
      <c r="FH74" s="22">
        <f t="shared" si="76"/>
        <v>3.5982663925596575E-12</v>
      </c>
      <c r="FI74" s="62">
        <f t="shared" si="77"/>
        <v>293.3333333333369</v>
      </c>
      <c r="FJ74" s="62">
        <f ca="1">AVERAGE(OFFSET($FI$3,0,0,'Données projet'!$E$16+1,1))-AVERAGE(OFFSET($H$3,0,0,'Données projet'!$E$16+1,1))</f>
        <v>249.2899297828755</v>
      </c>
      <c r="FK74" s="62">
        <f t="shared" si="102"/>
        <v>162.88011837476813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154.66763007457942</v>
      </c>
      <c r="FR74" s="23">
        <f>EXP(-LN(2)/25)*FR73+(1-EXP(-LN(2)/25))/(LN(2)/25)*Calculateur!FM74*Calculateur!FO74*VLOOKUP('Données projet'!$B$16,Paramètres!$A$1:$I$89,3,0)*0.475*44/12</f>
        <v>14.019160268704098</v>
      </c>
      <c r="FS74" s="23">
        <f>EXP(-LN(2)/2)*FS73+(1-EXP(-LN(2)/2))/(LN(2)/2)*FM74*FP74*VLOOKUP('Données projet'!$B$16,Paramètres!$A$1:$I$89,3,0)*0.475*44/12</f>
        <v>1.128539067358227</v>
      </c>
      <c r="FT74" s="24">
        <f t="shared" si="78"/>
        <v>169.81532941064174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1.7053025658242404E-13</v>
      </c>
      <c r="GA74" s="18">
        <f>FZ74*VLOOKUP('Données projet'!$B$17,Paramètres!$A$1:$I$89,3,0)*VLOOKUP('Données projet'!$B$17,Paramètres!$A$1:$I$89,5,0)</f>
        <v>1.1439169611549005E-13</v>
      </c>
      <c r="GB74" s="14">
        <f t="shared" si="103"/>
        <v>1.6918016515029816E-12</v>
      </c>
      <c r="GC74" s="22">
        <f t="shared" si="79"/>
        <v>3.1457867471021712E-12</v>
      </c>
      <c r="GD74" s="62">
        <f t="shared" si="80"/>
        <v>293.33333333333644</v>
      </c>
      <c r="GE74" s="62">
        <f ca="1">AVERAGE(OFFSET($GD$3,0,0,'Données projet'!$E$17+1,1))-AVERAGE(OFFSET($H$3,0,0,'Données projet'!$E$17+1,1))</f>
        <v>218.89895999738746</v>
      </c>
      <c r="GF74" s="62">
        <f t="shared" si="104"/>
        <v>145.64042897395763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163.94768787905417</v>
      </c>
      <c r="GM74" s="23">
        <f>EXP(-LN(2)/25)*GM73+(1-EXP(-LN(2)/25))/(LN(2)/25)*Calculateur!GH74*Calculateur!GJ74*VLOOKUP('Données projet'!$B$17,Paramètres!$A$1:$I$89,3,0)*0.475*44/12</f>
        <v>14.860309884826345</v>
      </c>
      <c r="GN74" s="23">
        <f>EXP(-LN(2)/2)*GN73+(1-EXP(-LN(2)/2))/(LN(2)/2)*GH74*GK74*VLOOKUP('Données projet'!$B$17,Paramètres!$A$1:$I$89,3,0)*0.475*44/12</f>
        <v>0.97054359792807565</v>
      </c>
      <c r="GO74" s="23">
        <f t="shared" si="81"/>
        <v>179.77854136180858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1.7053025658242404E-13</v>
      </c>
      <c r="GV74" s="18">
        <f>GU74*VLOOKUP('Données projet'!$B$18,Paramètres!$A$1:$I$89,3,0)*VLOOKUP('Données projet'!$B$18,Paramètres!$A$1:$I$89,5,0)</f>
        <v>1.8355876818532125E-13</v>
      </c>
      <c r="GW74" s="14">
        <f t="shared" si="105"/>
        <v>2.5693529898865504E-12</v>
      </c>
      <c r="GX74" s="22">
        <f t="shared" si="82"/>
        <v>4.7946546453085093E-12</v>
      </c>
      <c r="GY74" s="62">
        <f t="shared" si="83"/>
        <v>293.33333333333809</v>
      </c>
      <c r="GZ74" s="62">
        <f ca="1">AVERAGE(OFFSET($GY$3,0,0,'Données projet'!$E$18+1,1))-AVERAGE(OFFSET($H$3,0,0,'Données projet'!$E$18+1,1))</f>
        <v>331.3579800635751</v>
      </c>
      <c r="HA74" s="62">
        <f t="shared" si="106"/>
        <v>209.40702003535273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213.44132950291959</v>
      </c>
      <c r="HH74" s="23">
        <f>EXP(-LN(2)/25)*HH73+(1-EXP(-LN(2)/25))/(LN(2)/25)*Calculateur!HC74*Calculateur!HE74*VLOOKUP('Données projet'!$B$18,Paramètres!$A$1:$I$89,3,0)*0.475*44/12</f>
        <v>19.346441170811662</v>
      </c>
      <c r="HI74" s="23">
        <f>EXP(-LN(2)/2)*HI73+(1-EXP(-LN(2)/2))/(LN(2)/2)*HC74*HF74*VLOOKUP('Données projet'!$B$18,Paramètres!$A$1:$I$89,3,0)*0.475*44/12</f>
        <v>1.5573839129543536</v>
      </c>
      <c r="HJ74" s="24">
        <f t="shared" si="84"/>
        <v>234.3451545866856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46.510000000000005</v>
      </c>
      <c r="N75" s="14">
        <f>IF('Données projet'!$A$36&gt;35,N74+M75-V74,IF(A75&lt;'Données projet'!$A$36,$K$205^A75,IF(A75='Données projet'!$A$36,'Données projet'!$B$36,N74+M75-V74)))</f>
        <v>1127.4699999999996</v>
      </c>
      <c r="O75" s="14">
        <f>N75*VLOOKUP('Données projet'!$B$9,Paramètres!$A$1:$I$89,3,0)*VLOOKUP('Données projet'!$B$9,Paramètres!$A$1:$I$89,5,0)</f>
        <v>1020.1348559999997</v>
      </c>
      <c r="P75" s="14">
        <f t="shared" si="87"/>
        <v>209.894910774718</v>
      </c>
      <c r="Q75" s="22">
        <f t="shared" si="54"/>
        <v>2142.3018437993001</v>
      </c>
      <c r="R75" s="62">
        <f t="shared" si="55"/>
        <v>2435.6351771326335</v>
      </c>
      <c r="S75" s="62">
        <f ca="1">AVERAGE(OFFSET($R$3,0,0,'Données projet'!$E$9+1,1))-AVERAGE(OFFSET($H$3,0,0,'Données projet'!$E$9+1,1))</f>
        <v>2472.5049373954762</v>
      </c>
      <c r="T75" s="62">
        <f t="shared" si="88"/>
        <v>286.98388307318311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76.16348688865574</v>
      </c>
      <c r="AA75" s="23">
        <f>EXP(-LN(2)/25)*AA74+(1-EXP(-LN(2)/25))/(LN(2)/25)*Calculateur!V75*Calculateur!X75*VLOOKUP('Données projet'!$B$9,Paramètres!$A$1:$I$89,3,0)*0.475*44/12</f>
        <v>14.43534191434504</v>
      </c>
      <c r="AB75" s="23">
        <f>EXP(-LN(2)/2)*AB74+(1-EXP(-LN(2)/2))/(LN(2)/2)*V75*Y75*VLOOKUP('Données projet'!$B$9,Paramètres!$A$1:$I$89,3,0)*0.475*44/12</f>
        <v>16.610515513933954</v>
      </c>
      <c r="AC75" s="24">
        <f t="shared" si="57"/>
        <v>107.20934431693473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46.510000000000005</v>
      </c>
      <c r="AI75" s="14">
        <f>IF('Données projet'!$A$62&gt;35,AI74+AH75-AQ74,IF(A75&lt;'Données projet'!$A$62,$AF$205^A75,IF(A75='Données projet'!$A$62,'Données projet'!$B$62,AI74+AH75-AQ74)))</f>
        <v>1127.4699999999996</v>
      </c>
      <c r="AJ75" s="14">
        <f>AI75*VLOOKUP('Données projet'!$B$10,Paramètres!$A$1:$I$89,3,0)*VLOOKUP('Données projet'!$B$10,Paramètres!$A$1:$I$89,5,0)</f>
        <v>1143.2545799999998</v>
      </c>
      <c r="AK75" s="14">
        <f t="shared" si="89"/>
        <v>232.12781069537209</v>
      </c>
      <c r="AL75" s="22">
        <f t="shared" si="58"/>
        <v>2395.4576637944392</v>
      </c>
      <c r="AM75" s="62">
        <f t="shared" si="59"/>
        <v>2688.7909971277727</v>
      </c>
      <c r="AN75" s="62">
        <f ca="1">AVERAGE(OFFSET($AM$3,0,0,'Données projet'!$E$10+1,1))-AVERAGE(OFFSET($H$3,0,0,'Données projet'!$E$10+1,1))</f>
        <v>2761.1400657295467</v>
      </c>
      <c r="AO75" s="62">
        <f t="shared" si="90"/>
        <v>316.41877504316409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85.355631857976249</v>
      </c>
      <c r="AV75" s="23">
        <f>EXP(-LN(2)/25)*AV74+(1-EXP(-LN(2)/25))/(LN(2)/25)*Calculateur!AQ75*Calculateur!AS75*VLOOKUP('Données projet'!$B$10,Paramètres!$A$1:$I$89,3,0)*0.475*44/12</f>
        <v>16.177538352283236</v>
      </c>
      <c r="AW75" s="23">
        <f>EXP(-LN(2)/2)*AW74+(1-EXP(-LN(2)/2))/(LN(2)/2)*AQ75*AT75*VLOOKUP('Données projet'!$B$10,Paramètres!$A$1:$I$89,3,0)*0.475*44/12</f>
        <v>18.615232903546673</v>
      </c>
      <c r="AX75" s="23">
        <f t="shared" si="60"/>
        <v>120.14840311380615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46.510000000000005</v>
      </c>
      <c r="BD75" s="13">
        <f>IF('Données projet'!$A$88&gt;35,BD74+BC75-BL74,IF(A75&lt;'Données projet'!$A$88,$BA$205^A75,IF(A75='Données projet'!$A$88,'Données projet'!$B$88,BD74+BC75-BL74)))</f>
        <v>1127.4699999999996</v>
      </c>
      <c r="BE75" s="14">
        <f>BD75*VLOOKUP('Données projet'!$B$11,Paramètres!$A$1:$I$89,3,0)*VLOOKUP('Données projet'!$B$11,Paramètres!$A$1:$I$89,5,0)</f>
        <v>1178.4316439999998</v>
      </c>
      <c r="BF75" s="14">
        <f t="shared" si="91"/>
        <v>238.42765594791535</v>
      </c>
      <c r="BG75" s="22">
        <f t="shared" si="61"/>
        <v>2467.6966140759523</v>
      </c>
      <c r="BH75" s="62">
        <f t="shared" si="62"/>
        <v>2761.0299474092858</v>
      </c>
      <c r="BI75" s="62">
        <f ca="1">AVERAGE(OFFSET($BH$3,0,0,'Données projet'!$E$11+1,1))-AVERAGE(OFFSET($H$3,0,0,'Données projet'!$E$11+1,1))</f>
        <v>2843.5086223152098</v>
      </c>
      <c r="BJ75" s="62">
        <f t="shared" si="92"/>
        <v>324.81562437645522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87.981958992067845</v>
      </c>
      <c r="BQ75" s="23">
        <f>EXP(-LN(2)/25)*BQ74+(1-EXP(-LN(2)/25))/(LN(2)/25)*Calculateur!BL75*Calculateur!BN75*VLOOKUP('Données projet'!$B$11,Paramètres!$A$1:$I$89,3,0)*0.475*44/12</f>
        <v>16.675308763122718</v>
      </c>
      <c r="BR75" s="23">
        <f>EXP(-LN(2)/2)*BR74+(1-EXP(-LN(2)/2))/(LN(2)/2)*BL75*BO75*VLOOKUP('Données projet'!$B$11,Paramètres!$A$1:$I$89,3,0)*0.475*44/12</f>
        <v>19.188009300578873</v>
      </c>
      <c r="BS75" s="24">
        <f t="shared" si="63"/>
        <v>123.84527705576943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46.510000000000005</v>
      </c>
      <c r="BY75" s="13">
        <f>IF('Données projet'!$A$114&gt;35,BY74+BX75-CG74,IF(A75&lt;'Données projet'!$A$114,$BV$205^A75,IF(A75='Données projet'!$A$114,'Données projet'!$B$114,BY74+BX75-CG74)))</f>
        <v>1127.4699999999996</v>
      </c>
      <c r="BZ75" s="14">
        <f>BY75*VLOOKUP('Données projet'!$B$12,Paramètres!$A$1:$I$89,3,0)*VLOOKUP('Données projet'!$B$12,Paramètres!$A$1:$I$89,5,0)</f>
        <v>1125.6660479999996</v>
      </c>
      <c r="CA75" s="14">
        <f t="shared" si="93"/>
        <v>228.96945924517482</v>
      </c>
      <c r="CB75" s="22">
        <f t="shared" si="64"/>
        <v>2359.3235084520124</v>
      </c>
      <c r="CC75" s="62">
        <f t="shared" si="65"/>
        <v>2652.6568417853459</v>
      </c>
      <c r="CD75" s="62">
        <f ca="1">AVERAGE(OFFSET($CC$3,0,0,'Données projet'!$E$12+1,1))-AVERAGE(OFFSET($H$3,0,0,'Données projet'!$E$12+1,1))</f>
        <v>2719.939926994799</v>
      </c>
      <c r="CE75" s="62">
        <f t="shared" si="94"/>
        <v>312.21824046329749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84.042468290930458</v>
      </c>
      <c r="CL75" s="23">
        <f>EXP(-LN(2)/25)*CL74+(1-EXP(-LN(2)/25))/(LN(2)/25)*Calculateur!CG75*Calculateur!CI75*VLOOKUP('Données projet'!$B$12,Paramètres!$A$1:$I$89,3,0)*0.475*44/12</f>
        <v>15.928653146863494</v>
      </c>
      <c r="CM75" s="23">
        <f>EXP(-LN(2)/2)*CM74+(1-EXP(-LN(2)/2))/(LN(2)/2)*CG75*CJ75*VLOOKUP('Données projet'!$B$12,Paramètres!$A$1:$I$89,3,0)*0.475*44/12</f>
        <v>18.328844705030566</v>
      </c>
      <c r="CN75" s="24">
        <f t="shared" si="66"/>
        <v>118.29996614282452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65.679000000000016</v>
      </c>
      <c r="CT75" s="13">
        <f>IF('Données projet'!$A$140&gt;35,CT74+CS75-DB74,IF(A75&lt;'Données projet'!$A$140,$CQ$205^A75,IF(A75='Données projet'!$A$140,'Données projet'!$B$140,CT74+CS75-DB74)))</f>
        <v>1279.4580000000005</v>
      </c>
      <c r="CU75" s="18">
        <f>CT75*VLOOKUP('Données projet'!$B$13,Paramètres!$A$1:$I$89,3,0)*VLOOKUP('Données projet'!$B$13,Paramètres!$A$1:$I$89,5,0)</f>
        <v>1117.7345088000006</v>
      </c>
      <c r="CV75" s="14">
        <f t="shared" si="95"/>
        <v>227.54332732050665</v>
      </c>
      <c r="CW75" s="22">
        <f t="shared" si="67"/>
        <v>2343.0255645765501</v>
      </c>
      <c r="CX75" s="62">
        <f t="shared" si="68"/>
        <v>2636.3588979098836</v>
      </c>
      <c r="CY75" s="62">
        <f ca="1">AVERAGE(OFFSET($CX$3,0,0,'Données projet'!$E$13+1,1))-AVERAGE(OFFSET($H$3,0,0,'Données projet'!$E$13+1,1))</f>
        <v>1036.0130072090849</v>
      </c>
      <c r="CZ75" s="62">
        <f t="shared" si="96"/>
        <v>346.56593355696174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82.09990922564981</v>
      </c>
      <c r="DG75" s="23">
        <f>EXP(-LN(2)/25)*DG74+(1-EXP(-LN(2)/25))/(LN(2)/25)*Calculateur!DB75*Calculateur!DD75*VLOOKUP('Données projet'!$B$13,Paramètres!$A$1:$I$89,3,0)*0.475*44/12</f>
        <v>15.553012333943057</v>
      </c>
      <c r="DH75" s="23">
        <f>EXP(-LN(2)/2)*DH74+(1-EXP(-LN(2)/2))/(LN(2)/2)*DB75*DE75*VLOOKUP('Données projet'!$B$13,Paramètres!$A$1:$I$89,3,0)*0.475*44/12</f>
        <v>17.800704862440696</v>
      </c>
      <c r="DI75" s="24">
        <f t="shared" si="69"/>
        <v>115.45362642203357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6.8212102632969618E-13</v>
      </c>
      <c r="DP75" s="18">
        <f>DO75*VLOOKUP('Données projet'!$B$14,Paramètres!$A$1:$I$89,3,0)*VLOOKUP('Données projet'!$B$14,Paramètres!$A$1:$I$89,5,0)</f>
        <v>3.8130565371830017E-13</v>
      </c>
      <c r="DQ75" s="14">
        <f t="shared" si="97"/>
        <v>4.9019074112354236E-12</v>
      </c>
      <c r="DR75" s="22">
        <f t="shared" si="70"/>
        <v>9.2015960881277352E-12</v>
      </c>
      <c r="DS75" s="62">
        <f t="shared" si="71"/>
        <v>293.33333333334252</v>
      </c>
      <c r="DT75" s="62">
        <f ca="1">AVERAGE(OFFSET($DS$3,0,0,'Données projet'!$E$14+1,1))-AVERAGE(OFFSET($H$3,0,0,'Données projet'!$E$14+1,1))</f>
        <v>446.48069057792151</v>
      </c>
      <c r="DU75" s="62">
        <f t="shared" si="98"/>
        <v>561.75656782935948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145.60101583063442</v>
      </c>
      <c r="EB75" s="23">
        <f>EXP(-LN(2)/25)*EB74+(1-EXP(-LN(2)/25))/(LN(2)/25)*Calculateur!DW75*Calculateur!DY75*VLOOKUP('Données projet'!$B$14,Paramètres!$A$1:$I$89,3,0)*0.475*44/12</f>
        <v>58.100004024701136</v>
      </c>
      <c r="EC75" s="23">
        <f>EXP(-LN(2)/2)*EC74+(1-EXP(-LN(2)/2))/(LN(2)/2)*DW75*DZ75*VLOOKUP('Données projet'!$B$14,Paramètres!$A$1:$I$89,3,0)*0.475*44/12</f>
        <v>2.0966433109724503</v>
      </c>
      <c r="ED75" s="24">
        <f t="shared" si="72"/>
        <v>205.79766316630801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1.7053025658242404E-13</v>
      </c>
      <c r="EK75" s="18">
        <f>EJ75*VLOOKUP('Données projet'!$B$15,Paramètres!$A$1:$I$89,3,0)*VLOOKUP('Données projet'!$B$15,Paramètres!$A$1:$I$89,5,0)</f>
        <v>1.6493686416652052E-13</v>
      </c>
      <c r="EL75" s="14">
        <f t="shared" si="99"/>
        <v>2.3376205369651282E-12</v>
      </c>
      <c r="EM75" s="22">
        <f t="shared" si="73"/>
        <v>4.3586208069709543E-12</v>
      </c>
      <c r="EN75" s="62">
        <f t="shared" si="74"/>
        <v>293.33333333333769</v>
      </c>
      <c r="EO75" s="62">
        <f ca="1">AVERAGE(OFFSET($EN$3,0,0,'Données projet'!$E$15+1,1))-AVERAGE(OFFSET($H$3,0,0,'Données projet'!$E$15+1,1))</f>
        <v>301.18531163828169</v>
      </c>
      <c r="EP75" s="62">
        <f t="shared" si="100"/>
        <v>192.30530273268101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188.02701831157765</v>
      </c>
      <c r="EW75" s="23">
        <f>EXP(-LN(2)/25)*EW74+(1-EXP(-LN(2)/25))/(LN(2)/25)*Calculateur!ER75*Calculateur!ET75*VLOOKUP('Données projet'!$B$15,Paramètres!$A$1:$I$89,3,0)*0.475*44/12</f>
        <v>16.908398936461783</v>
      </c>
      <c r="EX75" s="23">
        <f>EXP(-LN(2)/2)*EX74+(1-EXP(-LN(2)/2))/(LN(2)/2)*ER75*EU75*VLOOKUP('Données projet'!$B$15,Paramètres!$A$1:$I$89,3,0)*0.475*44/12</f>
        <v>0.9895170579300514</v>
      </c>
      <c r="EY75" s="24">
        <f t="shared" si="75"/>
        <v>205.92493430596949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1.7053025658242404E-13</v>
      </c>
      <c r="FF75" s="18">
        <f>FE75*VLOOKUP('Données projet'!$B$16,Paramètres!$A$1:$I$89,3,0)*VLOOKUP('Données projet'!$B$16,Paramètres!$A$1:$I$89,5,0)</f>
        <v>1.3301360013429075E-13</v>
      </c>
      <c r="FG75" s="14">
        <f t="shared" si="101"/>
        <v>1.9329766731057041E-12</v>
      </c>
      <c r="FH75" s="22">
        <f t="shared" si="76"/>
        <v>3.5982663925596575E-12</v>
      </c>
      <c r="FI75" s="62">
        <f t="shared" si="77"/>
        <v>293.3333333333369</v>
      </c>
      <c r="FJ75" s="62">
        <f ca="1">AVERAGE(OFFSET($FI$3,0,0,'Données projet'!$E$16+1,1))-AVERAGE(OFFSET($H$3,0,0,'Données projet'!$E$16+1,1))</f>
        <v>249.2899297828755</v>
      </c>
      <c r="FK75" s="62">
        <f t="shared" si="102"/>
        <v>162.88011837476813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151.63469218675615</v>
      </c>
      <c r="FR75" s="23">
        <f>EXP(-LN(2)/25)*FR74+(1-EXP(-LN(2)/25))/(LN(2)/25)*Calculateur!FM75*Calculateur!FO75*VLOOKUP('Données projet'!$B$16,Paramètres!$A$1:$I$89,3,0)*0.475*44/12</f>
        <v>13.635805593920788</v>
      </c>
      <c r="FS75" s="23">
        <f>EXP(-LN(2)/2)*FS74+(1-EXP(-LN(2)/2))/(LN(2)/2)*FM75*FP75*VLOOKUP('Données projet'!$B$16,Paramètres!$A$1:$I$89,3,0)*0.475*44/12</f>
        <v>0.79799762736294422</v>
      </c>
      <c r="FT75" s="24">
        <f t="shared" si="78"/>
        <v>166.06849540803989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1.7053025658242404E-13</v>
      </c>
      <c r="GA75" s="18">
        <f>FZ75*VLOOKUP('Données projet'!$B$17,Paramètres!$A$1:$I$89,3,0)*VLOOKUP('Données projet'!$B$17,Paramètres!$A$1:$I$89,5,0)</f>
        <v>1.1439169611549005E-13</v>
      </c>
      <c r="GB75" s="14">
        <f t="shared" si="103"/>
        <v>1.6918016515029816E-12</v>
      </c>
      <c r="GC75" s="22">
        <f t="shared" si="79"/>
        <v>3.1457867471021712E-12</v>
      </c>
      <c r="GD75" s="62">
        <f t="shared" si="80"/>
        <v>293.33333333333644</v>
      </c>
      <c r="GE75" s="62">
        <f ca="1">AVERAGE(OFFSET($GD$3,0,0,'Données projet'!$E$17+1,1))-AVERAGE(OFFSET($H$3,0,0,'Données projet'!$E$17+1,1))</f>
        <v>218.89895999738746</v>
      </c>
      <c r="GF75" s="62">
        <f t="shared" si="104"/>
        <v>145.64042897395763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160.73277371796152</v>
      </c>
      <c r="GM75" s="23">
        <f>EXP(-LN(2)/25)*GM74+(1-EXP(-LN(2)/25))/(LN(2)/25)*Calculateur!GH75*Calculateur!GJ75*VLOOKUP('Données projet'!$B$17,Paramètres!$A$1:$I$89,3,0)*0.475*44/12</f>
        <v>14.453953929556036</v>
      </c>
      <c r="GN75" s="23">
        <f>EXP(-LN(2)/2)*GN74+(1-EXP(-LN(2)/2))/(LN(2)/2)*GH75*GK75*VLOOKUP('Données projet'!$B$17,Paramètres!$A$1:$I$89,3,0)*0.475*44/12</f>
        <v>0.68627795953213244</v>
      </c>
      <c r="GO75" s="23">
        <f t="shared" si="81"/>
        <v>175.87300560704969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1.7053025658242404E-13</v>
      </c>
      <c r="GV75" s="18">
        <f>GU75*VLOOKUP('Données projet'!$B$18,Paramètres!$A$1:$I$89,3,0)*VLOOKUP('Données projet'!$B$18,Paramètres!$A$1:$I$89,5,0)</f>
        <v>1.8355876818532125E-13</v>
      </c>
      <c r="GW75" s="14">
        <f t="shared" si="105"/>
        <v>2.5693529898865504E-12</v>
      </c>
      <c r="GX75" s="22">
        <f t="shared" si="82"/>
        <v>4.7946546453085093E-12</v>
      </c>
      <c r="GY75" s="62">
        <f t="shared" si="83"/>
        <v>293.33333333333809</v>
      </c>
      <c r="GZ75" s="62">
        <f ca="1">AVERAGE(OFFSET($GY$3,0,0,'Données projet'!$E$18+1,1))-AVERAGE(OFFSET($H$3,0,0,'Données projet'!$E$18+1,1))</f>
        <v>331.3579800635751</v>
      </c>
      <c r="HA75" s="62">
        <f t="shared" si="106"/>
        <v>209.40702003535273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209.25587521772349</v>
      </c>
      <c r="HH75" s="23">
        <f>EXP(-LN(2)/25)*HH74+(1-EXP(-LN(2)/25))/(LN(2)/25)*Calculateur!HC75*Calculateur!HE75*VLOOKUP('Données projet'!$B$18,Paramètres!$A$1:$I$89,3,0)*0.475*44/12</f>
        <v>18.817411719610693</v>
      </c>
      <c r="HI75" s="23">
        <f>EXP(-LN(2)/2)*HI74+(1-EXP(-LN(2)/2))/(LN(2)/2)*HC75*HF75*VLOOKUP('Données projet'!$B$18,Paramètres!$A$1:$I$89,3,0)*0.475*44/12</f>
        <v>1.1012367257608633</v>
      </c>
      <c r="HJ75" s="24">
        <f t="shared" si="84"/>
        <v>229.17452366309504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46.510000000000005</v>
      </c>
      <c r="N76" s="14">
        <f>IF('Données projet'!$A$36&gt;35,N75+M76-V75,IF(A76&lt;'Données projet'!$A$36,$K$205^A76,IF(A76='Données projet'!$A$36,'Données projet'!$B$36,N75+M76-V75)))</f>
        <v>1173.9799999999996</v>
      </c>
      <c r="O76" s="14">
        <f>N76*VLOOKUP('Données projet'!$B$9,Paramètres!$A$1:$I$89,3,0)*VLOOKUP('Données projet'!$B$9,Paramètres!$A$1:$I$89,5,0)</f>
        <v>1062.2171039999996</v>
      </c>
      <c r="P76" s="14">
        <f t="shared" si="87"/>
        <v>217.52747971169205</v>
      </c>
      <c r="Q76" s="22">
        <f t="shared" si="54"/>
        <v>2228.8884832978624</v>
      </c>
      <c r="R76" s="62">
        <f t="shared" si="55"/>
        <v>2522.2218166311959</v>
      </c>
      <c r="S76" s="62">
        <f ca="1">AVERAGE(OFFSET($R$3,0,0,'Données projet'!$E$9+1,1))-AVERAGE(OFFSET($H$3,0,0,'Données projet'!$E$9+1,1))</f>
        <v>2472.5049373954762</v>
      </c>
      <c r="T76" s="62">
        <f t="shared" si="88"/>
        <v>286.98388307318311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74.669967365909145</v>
      </c>
      <c r="AA76" s="23">
        <f>EXP(-LN(2)/25)*AA75+(1-EXP(-LN(2)/25))/(LN(2)/25)*Calculateur!V76*Calculateur!X76*VLOOKUP('Données projet'!$B$9,Paramètres!$A$1:$I$89,3,0)*0.475*44/12</f>
        <v>14.040606730575636</v>
      </c>
      <c r="AB76" s="23">
        <f>EXP(-LN(2)/2)*AB75+(1-EXP(-LN(2)/2))/(LN(2)/2)*V76*Y76*VLOOKUP('Données projet'!$B$9,Paramètres!$A$1:$I$89,3,0)*0.475*44/12</f>
        <v>11.74540815890705</v>
      </c>
      <c r="AC76" s="24">
        <f t="shared" si="57"/>
        <v>100.45598225539183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46.510000000000005</v>
      </c>
      <c r="AI76" s="14">
        <f>IF('Données projet'!$A$62&gt;35,AI75+AH76-AQ75,IF(A76&lt;'Données projet'!$A$62,$AF$205^A76,IF(A76='Données projet'!$A$62,'Données projet'!$B$62,AI75+AH76-AQ75)))</f>
        <v>1173.9799999999996</v>
      </c>
      <c r="AJ76" s="14">
        <f>AI76*VLOOKUP('Données projet'!$B$10,Paramètres!$A$1:$I$89,3,0)*VLOOKUP('Données projet'!$B$10,Paramètres!$A$1:$I$89,5,0)</f>
        <v>1190.4157199999997</v>
      </c>
      <c r="AK76" s="14">
        <f t="shared" si="89"/>
        <v>240.5688515513979</v>
      </c>
      <c r="AL76" s="22">
        <f t="shared" si="58"/>
        <v>2492.2981287853509</v>
      </c>
      <c r="AM76" s="62">
        <f t="shared" si="59"/>
        <v>2785.6314621186843</v>
      </c>
      <c r="AN76" s="62">
        <f ca="1">AVERAGE(OFFSET($AM$3,0,0,'Données projet'!$E$10+1,1))-AVERAGE(OFFSET($H$3,0,0,'Données projet'!$E$10+1,1))</f>
        <v>2761.1400657295467</v>
      </c>
      <c r="AO76" s="62">
        <f t="shared" si="90"/>
        <v>316.41877504316409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83.681859979036091</v>
      </c>
      <c r="AV76" s="23">
        <f>EXP(-LN(2)/25)*AV75+(1-EXP(-LN(2)/25))/(LN(2)/25)*Calculateur!AQ76*Calculateur!AS76*VLOOKUP('Données projet'!$B$10,Paramètres!$A$1:$I$89,3,0)*0.475*44/12</f>
        <v>15.735162715300284</v>
      </c>
      <c r="AW76" s="23">
        <f>EXP(-LN(2)/2)*AW75+(1-EXP(-LN(2)/2))/(LN(2)/2)*AQ76*AT76*VLOOKUP('Données projet'!$B$10,Paramètres!$A$1:$I$89,3,0)*0.475*44/12</f>
        <v>13.162957419464798</v>
      </c>
      <c r="AX76" s="23">
        <f t="shared" si="60"/>
        <v>112.57998011380117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46.510000000000005</v>
      </c>
      <c r="BD76" s="13">
        <f>IF('Données projet'!$A$88&gt;35,BD75+BC76-BL75,IF(A76&lt;'Données projet'!$A$88,$BA$205^A76,IF(A76='Données projet'!$A$88,'Données projet'!$B$88,BD75+BC76-BL75)))</f>
        <v>1173.9799999999996</v>
      </c>
      <c r="BE76" s="14">
        <f>BD76*VLOOKUP('Données projet'!$B$11,Paramètres!$A$1:$I$89,3,0)*VLOOKUP('Données projet'!$B$11,Paramètres!$A$1:$I$89,5,0)</f>
        <v>1227.0438959999997</v>
      </c>
      <c r="BF76" s="14">
        <f t="shared" si="91"/>
        <v>247.09778288804287</v>
      </c>
      <c r="BG76" s="22">
        <f t="shared" si="61"/>
        <v>2567.4634240633409</v>
      </c>
      <c r="BH76" s="62">
        <f t="shared" si="62"/>
        <v>2860.7967573966744</v>
      </c>
      <c r="BI76" s="62">
        <f ca="1">AVERAGE(OFFSET($BH$3,0,0,'Données projet'!$E$11+1,1))-AVERAGE(OFFSET($H$3,0,0,'Données projet'!$E$11+1,1))</f>
        <v>2843.5086223152098</v>
      </c>
      <c r="BJ76" s="62">
        <f t="shared" si="92"/>
        <v>324.81562437645522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86.256686439929524</v>
      </c>
      <c r="BQ76" s="23">
        <f>EXP(-LN(2)/25)*BQ75+(1-EXP(-LN(2)/25))/(LN(2)/25)*Calculateur!BL76*Calculateur!BN76*VLOOKUP('Données projet'!$B$11,Paramètres!$A$1:$I$89,3,0)*0.475*44/12</f>
        <v>16.219321568078751</v>
      </c>
      <c r="BR76" s="23">
        <f>EXP(-LN(2)/2)*BR75+(1-EXP(-LN(2)/2))/(LN(2)/2)*BL76*BO76*VLOOKUP('Données projet'!$B$11,Paramètres!$A$1:$I$89,3,0)*0.475*44/12</f>
        <v>13.567971493909864</v>
      </c>
      <c r="BS76" s="24">
        <f t="shared" si="63"/>
        <v>116.04397950191814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46.510000000000005</v>
      </c>
      <c r="BY76" s="13">
        <f>IF('Données projet'!$A$114&gt;35,BY75+BX76-CG75,IF(A76&lt;'Données projet'!$A$114,$BV$205^A76,IF(A76='Données projet'!$A$114,'Données projet'!$B$114,BY75+BX76-CG75)))</f>
        <v>1173.9799999999996</v>
      </c>
      <c r="BZ76" s="14">
        <f>BY76*VLOOKUP('Données projet'!$B$12,Paramètres!$A$1:$I$89,3,0)*VLOOKUP('Données projet'!$B$12,Paramètres!$A$1:$I$89,5,0)</f>
        <v>1172.1016319999997</v>
      </c>
      <c r="CA76" s="14">
        <f t="shared" si="93"/>
        <v>237.29565055538797</v>
      </c>
      <c r="CB76" s="22">
        <f t="shared" si="64"/>
        <v>2454.7002671173</v>
      </c>
      <c r="CC76" s="62">
        <f t="shared" si="65"/>
        <v>2748.0336004506335</v>
      </c>
      <c r="CD76" s="62">
        <f ca="1">AVERAGE(OFFSET($CC$3,0,0,'Données projet'!$E$12+1,1))-AVERAGE(OFFSET($H$3,0,0,'Données projet'!$E$12+1,1))</f>
        <v>2719.939926994799</v>
      </c>
      <c r="CE76" s="62">
        <f t="shared" si="94"/>
        <v>312.21824046329749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82.394446748589388</v>
      </c>
      <c r="CL76" s="23">
        <f>EXP(-LN(2)/25)*CL75+(1-EXP(-LN(2)/25))/(LN(2)/25)*Calculateur!CG76*Calculateur!CI76*VLOOKUP('Données projet'!$B$12,Paramètres!$A$1:$I$89,3,0)*0.475*44/12</f>
        <v>15.493083288911048</v>
      </c>
      <c r="CM76" s="23">
        <f>EXP(-LN(2)/2)*CM75+(1-EXP(-LN(2)/2))/(LN(2)/2)*CG76*CJ76*VLOOKUP('Données projet'!$B$12,Paramètres!$A$1:$I$89,3,0)*0.475*44/12</f>
        <v>12.960450382242259</v>
      </c>
      <c r="CN76" s="24">
        <f t="shared" si="66"/>
        <v>110.8479804197427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65.679000000000016</v>
      </c>
      <c r="CT76" s="13">
        <f>IF('Données projet'!$A$140&gt;35,CT75+CS76-DB75,IF(A76&lt;'Données projet'!$A$140,$CQ$205^A76,IF(A76='Données projet'!$A$140,'Données projet'!$B$140,CT75+CS76-DB75)))</f>
        <v>1345.1370000000006</v>
      </c>
      <c r="CU76" s="18">
        <f>CT76*VLOOKUP('Données projet'!$B$13,Paramètres!$A$1:$I$89,3,0)*VLOOKUP('Données projet'!$B$13,Paramètres!$A$1:$I$89,5,0)</f>
        <v>1175.1116832000007</v>
      </c>
      <c r="CV76" s="14">
        <f t="shared" si="95"/>
        <v>237.83403095922375</v>
      </c>
      <c r="CW76" s="22">
        <f t="shared" si="67"/>
        <v>2460.8804521606489</v>
      </c>
      <c r="CX76" s="62">
        <f t="shared" si="68"/>
        <v>2754.2137854939824</v>
      </c>
      <c r="CY76" s="62">
        <f ca="1">AVERAGE(OFFSET($CX$3,0,0,'Données projet'!$E$13+1,1))-AVERAGE(OFFSET($H$3,0,0,'Données projet'!$E$13+1,1))</f>
        <v>1036.0130072090849</v>
      </c>
      <c r="CZ76" s="62">
        <f t="shared" si="96"/>
        <v>346.56593355696174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80.489980081734856</v>
      </c>
      <c r="DG76" s="23">
        <f>EXP(-LN(2)/25)*DG75+(1-EXP(-LN(2)/25))/(LN(2)/25)*Calculateur!DB76*Calculateur!DD76*VLOOKUP('Données projet'!$B$13,Paramètres!$A$1:$I$89,3,0)*0.475*44/12</f>
        <v>15.127714393774012</v>
      </c>
      <c r="DH76" s="23">
        <f>EXP(-LN(2)/2)*DH75+(1-EXP(-LN(2)/2))/(LN(2)/2)*DB76*DE76*VLOOKUP('Données projet'!$B$13,Paramètres!$A$1:$I$89,3,0)*0.475*44/12</f>
        <v>12.586999118132168</v>
      </c>
      <c r="DI76" s="24">
        <f t="shared" si="69"/>
        <v>108.20469359364104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6.8212102632969618E-13</v>
      </c>
      <c r="DP76" s="18">
        <f>DO76*VLOOKUP('Données projet'!$B$14,Paramètres!$A$1:$I$89,3,0)*VLOOKUP('Données projet'!$B$14,Paramètres!$A$1:$I$89,5,0)</f>
        <v>3.8130565371830017E-13</v>
      </c>
      <c r="DQ76" s="14">
        <f t="shared" si="97"/>
        <v>4.9019074112354236E-12</v>
      </c>
      <c r="DR76" s="22">
        <f t="shared" si="70"/>
        <v>9.2015960881277352E-12</v>
      </c>
      <c r="DS76" s="62">
        <f t="shared" si="71"/>
        <v>293.33333333334252</v>
      </c>
      <c r="DT76" s="62">
        <f ca="1">AVERAGE(OFFSET($DS$3,0,0,'Données projet'!$E$14+1,1))-AVERAGE(OFFSET($H$3,0,0,'Données projet'!$E$14+1,1))</f>
        <v>446.48069057792151</v>
      </c>
      <c r="DU76" s="62">
        <f t="shared" si="98"/>
        <v>561.75656782935948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142.7458687180463</v>
      </c>
      <c r="EB76" s="23">
        <f>EXP(-LN(2)/25)*EB75+(1-EXP(-LN(2)/25))/(LN(2)/25)*Calculateur!DW76*Calculateur!DY76*VLOOKUP('Données projet'!$B$14,Paramètres!$A$1:$I$89,3,0)*0.475*44/12</f>
        <v>56.51125635929926</v>
      </c>
      <c r="EC76" s="23">
        <f>EXP(-LN(2)/2)*EC75+(1-EXP(-LN(2)/2))/(LN(2)/2)*DW76*DZ76*VLOOKUP('Données projet'!$B$14,Paramètres!$A$1:$I$89,3,0)*0.475*44/12</f>
        <v>1.4825507029180349</v>
      </c>
      <c r="ED76" s="24">
        <f t="shared" si="72"/>
        <v>200.73967578026361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1.7053025658242404E-13</v>
      </c>
      <c r="EK76" s="18">
        <f>EJ76*VLOOKUP('Données projet'!$B$15,Paramètres!$A$1:$I$89,3,0)*VLOOKUP('Données projet'!$B$15,Paramètres!$A$1:$I$89,5,0)</f>
        <v>1.6493686416652052E-13</v>
      </c>
      <c r="EL76" s="14">
        <f t="shared" si="99"/>
        <v>2.3376205369651282E-12</v>
      </c>
      <c r="EM76" s="22">
        <f t="shared" si="73"/>
        <v>4.3586208069709543E-12</v>
      </c>
      <c r="EN76" s="62">
        <f t="shared" si="74"/>
        <v>293.33333333333769</v>
      </c>
      <c r="EO76" s="62">
        <f ca="1">AVERAGE(OFFSET($EN$3,0,0,'Données projet'!$E$15+1,1))-AVERAGE(OFFSET($H$3,0,0,'Données projet'!$E$15+1,1))</f>
        <v>301.18531163828169</v>
      </c>
      <c r="EP76" s="62">
        <f t="shared" si="100"/>
        <v>192.30530273268101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184.33992316764457</v>
      </c>
      <c r="EW76" s="23">
        <f>EXP(-LN(2)/25)*EW75+(1-EXP(-LN(2)/25))/(LN(2)/25)*Calculateur!ER76*Calculateur!ET76*VLOOKUP('Données projet'!$B$15,Paramètres!$A$1:$I$89,3,0)*0.475*44/12</f>
        <v>16.446037878370181</v>
      </c>
      <c r="EX76" s="23">
        <f>EXP(-LN(2)/2)*EX75+(1-EXP(-LN(2)/2))/(LN(2)/2)*ER76*EU76*VLOOKUP('Données projet'!$B$15,Paramètres!$A$1:$I$89,3,0)*0.475*44/12</f>
        <v>0.69969422176210117</v>
      </c>
      <c r="EY76" s="24">
        <f t="shared" si="75"/>
        <v>201.48565526777685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1.7053025658242404E-13</v>
      </c>
      <c r="FF76" s="18">
        <f>FE76*VLOOKUP('Données projet'!$B$16,Paramètres!$A$1:$I$89,3,0)*VLOOKUP('Données projet'!$B$16,Paramètres!$A$1:$I$89,5,0)</f>
        <v>1.3301360013429075E-13</v>
      </c>
      <c r="FG76" s="14">
        <f t="shared" si="101"/>
        <v>1.9329766731057041E-12</v>
      </c>
      <c r="FH76" s="22">
        <f t="shared" si="76"/>
        <v>3.5982663925596575E-12</v>
      </c>
      <c r="FI76" s="62">
        <f t="shared" si="77"/>
        <v>293.3333333333369</v>
      </c>
      <c r="FJ76" s="62">
        <f ca="1">AVERAGE(OFFSET($FI$3,0,0,'Données projet'!$E$16+1,1))-AVERAGE(OFFSET($H$3,0,0,'Données projet'!$E$16+1,1))</f>
        <v>249.2899297828755</v>
      </c>
      <c r="FK76" s="62">
        <f t="shared" si="102"/>
        <v>162.88011837476813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148.66122836100368</v>
      </c>
      <c r="FR76" s="23">
        <f>EXP(-LN(2)/25)*FR75+(1-EXP(-LN(2)/25))/(LN(2)/25)*Calculateur!FM76*Calculateur!FO76*VLOOKUP('Données projet'!$B$16,Paramètres!$A$1:$I$89,3,0)*0.475*44/12</f>
        <v>13.262933772879173</v>
      </c>
      <c r="FS76" s="23">
        <f>EXP(-LN(2)/2)*FS75+(1-EXP(-LN(2)/2))/(LN(2)/2)*FM76*FP76*VLOOKUP('Données projet'!$B$16,Paramètres!$A$1:$I$89,3,0)*0.475*44/12</f>
        <v>0.56426953367911348</v>
      </c>
      <c r="FT76" s="24">
        <f t="shared" si="78"/>
        <v>162.48843166756197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1.7053025658242404E-13</v>
      </c>
      <c r="GA76" s="18">
        <f>FZ76*VLOOKUP('Données projet'!$B$17,Paramètres!$A$1:$I$89,3,0)*VLOOKUP('Données projet'!$B$17,Paramètres!$A$1:$I$89,5,0)</f>
        <v>1.1439169611549005E-13</v>
      </c>
      <c r="GB76" s="14">
        <f t="shared" si="103"/>
        <v>1.6918016515029816E-12</v>
      </c>
      <c r="GC76" s="22">
        <f t="shared" si="79"/>
        <v>3.1457867471021712E-12</v>
      </c>
      <c r="GD76" s="62">
        <f t="shared" si="80"/>
        <v>293.33333333333644</v>
      </c>
      <c r="GE76" s="62">
        <f ca="1">AVERAGE(OFFSET($GD$3,0,0,'Données projet'!$E$17+1,1))-AVERAGE(OFFSET($H$3,0,0,'Données projet'!$E$17+1,1))</f>
        <v>218.89895999738746</v>
      </c>
      <c r="GF76" s="62">
        <f t="shared" si="104"/>
        <v>145.64042897395763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157.58090206266388</v>
      </c>
      <c r="GM76" s="23">
        <f>EXP(-LN(2)/25)*GM75+(1-EXP(-LN(2)/25))/(LN(2)/25)*Calculateur!GH76*Calculateur!GJ76*VLOOKUP('Données projet'!$B$17,Paramètres!$A$1:$I$89,3,0)*0.475*44/12</f>
        <v>14.058709799251924</v>
      </c>
      <c r="GN76" s="23">
        <f>EXP(-LN(2)/2)*GN75+(1-EXP(-LN(2)/2))/(LN(2)/2)*GH76*GK76*VLOOKUP('Données projet'!$B$17,Paramètres!$A$1:$I$89,3,0)*0.475*44/12</f>
        <v>0.48527179896403794</v>
      </c>
      <c r="GO76" s="23">
        <f t="shared" si="81"/>
        <v>172.12488366087985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1.7053025658242404E-13</v>
      </c>
      <c r="GV76" s="18">
        <f>GU76*VLOOKUP('Données projet'!$B$18,Paramètres!$A$1:$I$89,3,0)*VLOOKUP('Données projet'!$B$18,Paramètres!$A$1:$I$89,5,0)</f>
        <v>1.8355876818532125E-13</v>
      </c>
      <c r="GW76" s="14">
        <f t="shared" si="105"/>
        <v>2.5693529898865504E-12</v>
      </c>
      <c r="GX76" s="22">
        <f t="shared" si="82"/>
        <v>4.7946546453085093E-12</v>
      </c>
      <c r="GY76" s="62">
        <f t="shared" si="83"/>
        <v>293.33333333333809</v>
      </c>
      <c r="GZ76" s="62">
        <f ca="1">AVERAGE(OFFSET($GY$3,0,0,'Données projet'!$E$18+1,1))-AVERAGE(OFFSET($H$3,0,0,'Données projet'!$E$18+1,1))</f>
        <v>331.3579800635751</v>
      </c>
      <c r="HA76" s="62">
        <f t="shared" si="106"/>
        <v>209.40702003535273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205.15249513818506</v>
      </c>
      <c r="HH76" s="23">
        <f>EXP(-LN(2)/25)*HH75+(1-EXP(-LN(2)/25))/(LN(2)/25)*Calculateur!HC76*Calculateur!HE76*VLOOKUP('Données projet'!$B$18,Paramètres!$A$1:$I$89,3,0)*0.475*44/12</f>
        <v>18.302848606573264</v>
      </c>
      <c r="HI76" s="23">
        <f>EXP(-LN(2)/2)*HI75+(1-EXP(-LN(2)/2))/(LN(2)/2)*HC76*HF76*VLOOKUP('Données projet'!$B$18,Paramètres!$A$1:$I$89,3,0)*0.475*44/12</f>
        <v>0.77869195647717682</v>
      </c>
      <c r="HJ76" s="24">
        <f t="shared" si="84"/>
        <v>224.23403570123551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46.510000000000005</v>
      </c>
      <c r="N77" s="14">
        <f>IF('Données projet'!$A$36&gt;35,N76+M77-V76,IF(A77&lt;'Données projet'!$A$36,$K$205^A77,IF(A77='Données projet'!$A$36,'Données projet'!$B$36,N76+M77-V76)))</f>
        <v>1220.4899999999996</v>
      </c>
      <c r="O77" s="14">
        <f>N77*VLOOKUP('Données projet'!$B$9,Paramètres!$A$1:$I$89,3,0)*VLOOKUP('Données projet'!$B$9,Paramètres!$A$1:$I$89,5,0)</f>
        <v>1104.2993519999995</v>
      </c>
      <c r="P77" s="14">
        <f t="shared" si="87"/>
        <v>225.12492267433615</v>
      </c>
      <c r="Q77" s="22">
        <f t="shared" si="54"/>
        <v>2315.4139450578009</v>
      </c>
      <c r="R77" s="62">
        <f t="shared" si="55"/>
        <v>2608.7472783911344</v>
      </c>
      <c r="S77" s="62">
        <f ca="1">AVERAGE(OFFSET($R$3,0,0,'Données projet'!$E$9+1,1))-AVERAGE(OFFSET($H$3,0,0,'Données projet'!$E$9+1,1))</f>
        <v>2472.5049373954762</v>
      </c>
      <c r="T77" s="62">
        <f t="shared" si="88"/>
        <v>286.98388307318311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73.205734850046639</v>
      </c>
      <c r="AA77" s="23">
        <f>EXP(-LN(2)/25)*AA76+(1-EXP(-LN(2)/25))/(LN(2)/25)*Calculateur!V77*Calculateur!X77*VLOOKUP('Données projet'!$B$9,Paramètres!$A$1:$I$89,3,0)*0.475*44/12</f>
        <v>13.656665601164628</v>
      </c>
      <c r="AB77" s="23">
        <f>EXP(-LN(2)/2)*AB76+(1-EXP(-LN(2)/2))/(LN(2)/2)*V77*Y77*VLOOKUP('Données projet'!$B$9,Paramètres!$A$1:$I$89,3,0)*0.475*44/12</f>
        <v>8.305257756966979</v>
      </c>
      <c r="AC77" s="24">
        <f t="shared" si="57"/>
        <v>95.167658208178253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46.510000000000005</v>
      </c>
      <c r="AI77" s="14">
        <f>IF('Données projet'!$A$62&gt;35,AI76+AH77-AQ76,IF(A77&lt;'Données projet'!$A$62,$AF$205^A77,IF(A77='Données projet'!$A$62,'Données projet'!$B$62,AI76+AH77-AQ76)))</f>
        <v>1220.4899999999996</v>
      </c>
      <c r="AJ77" s="14">
        <f>AI77*VLOOKUP('Données projet'!$B$10,Paramètres!$A$1:$I$89,3,0)*VLOOKUP('Données projet'!$B$10,Paramètres!$A$1:$I$89,5,0)</f>
        <v>1237.5768599999997</v>
      </c>
      <c r="AK77" s="14">
        <f t="shared" si="89"/>
        <v>248.97104575082966</v>
      </c>
      <c r="AL77" s="22">
        <f t="shared" si="58"/>
        <v>2589.0709358493609</v>
      </c>
      <c r="AM77" s="62">
        <f t="shared" si="59"/>
        <v>2882.4042691826944</v>
      </c>
      <c r="AN77" s="62">
        <f ca="1">AVERAGE(OFFSET($AM$3,0,0,'Données projet'!$E$10+1,1))-AVERAGE(OFFSET($H$3,0,0,'Données projet'!$E$10+1,1))</f>
        <v>2761.1400657295467</v>
      </c>
      <c r="AO77" s="62">
        <f t="shared" si="90"/>
        <v>316.41877504316409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82.040909745741914</v>
      </c>
      <c r="AV77" s="23">
        <f>EXP(-LN(2)/25)*AV76+(1-EXP(-LN(2)/25))/(LN(2)/25)*Calculateur!AQ77*Calculateur!AS77*VLOOKUP('Données projet'!$B$10,Paramètres!$A$1:$I$89,3,0)*0.475*44/12</f>
        <v>15.304883863374153</v>
      </c>
      <c r="AW77" s="23">
        <f>EXP(-LN(2)/2)*AW76+(1-EXP(-LN(2)/2))/(LN(2)/2)*AQ77*AT77*VLOOKUP('Données projet'!$B$10,Paramètres!$A$1:$I$89,3,0)*0.475*44/12</f>
        <v>9.3076164517733382</v>
      </c>
      <c r="AX77" s="23">
        <f t="shared" si="60"/>
        <v>106.65341006088941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46.510000000000005</v>
      </c>
      <c r="BD77" s="13">
        <f>IF('Données projet'!$A$88&gt;35,BD76+BC77-BL76,IF(A77&lt;'Données projet'!$A$88,$BA$205^A77,IF(A77='Données projet'!$A$88,'Données projet'!$B$88,BD76+BC77-BL76)))</f>
        <v>1220.4899999999996</v>
      </c>
      <c r="BE77" s="14">
        <f>BD77*VLOOKUP('Données projet'!$B$11,Paramètres!$A$1:$I$89,3,0)*VLOOKUP('Données projet'!$B$11,Paramètres!$A$1:$I$89,5,0)</f>
        <v>1275.6561479999996</v>
      </c>
      <c r="BF77" s="14">
        <f t="shared" si="91"/>
        <v>255.72800889064257</v>
      </c>
      <c r="BG77" s="22">
        <f t="shared" si="61"/>
        <v>2667.1607399178679</v>
      </c>
      <c r="BH77" s="62">
        <f t="shared" si="62"/>
        <v>2960.4940732512014</v>
      </c>
      <c r="BI77" s="62">
        <f ca="1">AVERAGE(OFFSET($BH$3,0,0,'Données projet'!$E$11+1,1))-AVERAGE(OFFSET($H$3,0,0,'Données projet'!$E$11+1,1))</f>
        <v>2843.5086223152098</v>
      </c>
      <c r="BJ77" s="62">
        <f t="shared" si="92"/>
        <v>324.81562437645522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84.565245430226298</v>
      </c>
      <c r="BQ77" s="23">
        <f>EXP(-LN(2)/25)*BQ76+(1-EXP(-LN(2)/25))/(LN(2)/25)*Calculateur!BL77*Calculateur!BN77*VLOOKUP('Données projet'!$B$11,Paramètres!$A$1:$I$89,3,0)*0.475*44/12</f>
        <v>15.775803366862586</v>
      </c>
      <c r="BR77" s="23">
        <f>EXP(-LN(2)/2)*BR76+(1-EXP(-LN(2)/2))/(LN(2)/2)*BL77*BO77*VLOOKUP('Données projet'!$B$11,Paramètres!$A$1:$I$89,3,0)*0.475*44/12</f>
        <v>9.5940046502894365</v>
      </c>
      <c r="BS77" s="24">
        <f t="shared" si="63"/>
        <v>109.93505344737832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46.510000000000005</v>
      </c>
      <c r="BY77" s="13">
        <f>IF('Données projet'!$A$114&gt;35,BY76+BX77-CG76,IF(A77&lt;'Données projet'!$A$114,$BV$205^A77,IF(A77='Données projet'!$A$114,'Données projet'!$B$114,BY76+BX77-CG76)))</f>
        <v>1220.4899999999996</v>
      </c>
      <c r="BZ77" s="14">
        <f>BY77*VLOOKUP('Données projet'!$B$12,Paramètres!$A$1:$I$89,3,0)*VLOOKUP('Données projet'!$B$12,Paramètres!$A$1:$I$89,5,0)</f>
        <v>1218.5372159999995</v>
      </c>
      <c r="CA77" s="14">
        <f t="shared" si="93"/>
        <v>245.58352376004075</v>
      </c>
      <c r="CB77" s="22">
        <f t="shared" si="64"/>
        <v>2550.010288415403</v>
      </c>
      <c r="CC77" s="62">
        <f t="shared" si="65"/>
        <v>2843.3436217487365</v>
      </c>
      <c r="CD77" s="62">
        <f ca="1">AVERAGE(OFFSET($CC$3,0,0,'Données projet'!$E$12+1,1))-AVERAGE(OFFSET($H$3,0,0,'Données projet'!$E$12+1,1))</f>
        <v>2719.939926994799</v>
      </c>
      <c r="CE77" s="62">
        <f t="shared" si="94"/>
        <v>312.21824046329749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80.778741903499736</v>
      </c>
      <c r="CL77" s="23">
        <f>EXP(-LN(2)/25)*CL76+(1-EXP(-LN(2)/25))/(LN(2)/25)*Calculateur!CG77*Calculateur!CI77*VLOOKUP('Données projet'!$B$12,Paramètres!$A$1:$I$89,3,0)*0.475*44/12</f>
        <v>15.069424111629935</v>
      </c>
      <c r="CM77" s="23">
        <f>EXP(-LN(2)/2)*CM76+(1-EXP(-LN(2)/2))/(LN(2)/2)*CG77*CJ77*VLOOKUP('Données projet'!$B$12,Paramètres!$A$1:$I$89,3,0)*0.475*44/12</f>
        <v>9.1644223525152846</v>
      </c>
      <c r="CN77" s="24">
        <f t="shared" si="66"/>
        <v>105.01258836764495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65.679000000000016</v>
      </c>
      <c r="CT77" s="13">
        <f>IF('Données projet'!$A$140&gt;35,CT76+CS77-DB76,IF(A77&lt;'Données projet'!$A$140,$CQ$205^A77,IF(A77='Données projet'!$A$140,'Données projet'!$B$140,CT76+CS77-DB76)))</f>
        <v>1410.8160000000007</v>
      </c>
      <c r="CU77" s="18">
        <f>CT77*VLOOKUP('Données projet'!$B$13,Paramètres!$A$1:$I$89,3,0)*VLOOKUP('Données projet'!$B$13,Paramètres!$A$1:$I$89,5,0)</f>
        <v>1232.4888576000008</v>
      </c>
      <c r="CV77" s="14">
        <f t="shared" si="95"/>
        <v>248.06638918278594</v>
      </c>
      <c r="CW77" s="22">
        <f t="shared" si="67"/>
        <v>2578.6337214800201</v>
      </c>
      <c r="CX77" s="62">
        <f t="shared" si="68"/>
        <v>2871.9670548133536</v>
      </c>
      <c r="CY77" s="62">
        <f ca="1">AVERAGE(OFFSET($CX$3,0,0,'Données projet'!$E$13+1,1))-AVERAGE(OFFSET($H$3,0,0,'Données projet'!$E$13+1,1))</f>
        <v>1036.0130072090849</v>
      </c>
      <c r="CZ77" s="62">
        <f t="shared" si="96"/>
        <v>346.56593355696174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78.911620666372258</v>
      </c>
      <c r="DG77" s="23">
        <f>EXP(-LN(2)/25)*DG76+(1-EXP(-LN(2)/25))/(LN(2)/25)*Calculateur!DB77*Calculateur!DD77*VLOOKUP('Données projet'!$B$13,Paramètres!$A$1:$I$89,3,0)*0.475*44/12</f>
        <v>14.714046248144337</v>
      </c>
      <c r="DH77" s="23">
        <f>EXP(-LN(2)/2)*DH76+(1-EXP(-LN(2)/2))/(LN(2)/2)*DB77*DE77*VLOOKUP('Données projet'!$B$13,Paramètres!$A$1:$I$89,3,0)*0.475*44/12</f>
        <v>8.9003524312203499</v>
      </c>
      <c r="DI77" s="24">
        <f t="shared" si="69"/>
        <v>102.52601934573696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6.8212102632969618E-13</v>
      </c>
      <c r="DP77" s="18">
        <f>DO77*VLOOKUP('Données projet'!$B$14,Paramètres!$A$1:$I$89,3,0)*VLOOKUP('Données projet'!$B$14,Paramètres!$A$1:$I$89,5,0)</f>
        <v>3.8130565371830017E-13</v>
      </c>
      <c r="DQ77" s="14">
        <f t="shared" si="97"/>
        <v>4.9019074112354236E-12</v>
      </c>
      <c r="DR77" s="22">
        <f t="shared" si="70"/>
        <v>9.2015960881277352E-12</v>
      </c>
      <c r="DS77" s="62">
        <f t="shared" si="71"/>
        <v>293.33333333334252</v>
      </c>
      <c r="DT77" s="62">
        <f ca="1">AVERAGE(OFFSET($DS$3,0,0,'Données projet'!$E$14+1,1))-AVERAGE(OFFSET($H$3,0,0,'Données projet'!$E$14+1,1))</f>
        <v>446.48069057792151</v>
      </c>
      <c r="DU77" s="62">
        <f t="shared" si="98"/>
        <v>561.75656782935948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139.94670929886823</v>
      </c>
      <c r="EB77" s="23">
        <f>EXP(-LN(2)/25)*EB76+(1-EXP(-LN(2)/25))/(LN(2)/25)*Calculateur!DW77*Calculateur!DY77*VLOOKUP('Données projet'!$B$14,Paramètres!$A$1:$I$89,3,0)*0.475*44/12</f>
        <v>54.965953082356407</v>
      </c>
      <c r="EC77" s="23">
        <f>EXP(-LN(2)/2)*EC76+(1-EXP(-LN(2)/2))/(LN(2)/2)*DW77*DZ77*VLOOKUP('Données projet'!$B$14,Paramètres!$A$1:$I$89,3,0)*0.475*44/12</f>
        <v>1.0483216554862251</v>
      </c>
      <c r="ED77" s="24">
        <f t="shared" si="72"/>
        <v>195.96098403671087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1.7053025658242404E-13</v>
      </c>
      <c r="EK77" s="18">
        <f>EJ77*VLOOKUP('Données projet'!$B$15,Paramètres!$A$1:$I$89,3,0)*VLOOKUP('Données projet'!$B$15,Paramètres!$A$1:$I$89,5,0)</f>
        <v>1.6493686416652052E-13</v>
      </c>
      <c r="EL77" s="14">
        <f t="shared" si="99"/>
        <v>2.3376205369651282E-12</v>
      </c>
      <c r="EM77" s="22">
        <f t="shared" si="73"/>
        <v>4.3586208069709543E-12</v>
      </c>
      <c r="EN77" s="62">
        <f t="shared" si="74"/>
        <v>293.33333333333769</v>
      </c>
      <c r="EO77" s="62">
        <f ca="1">AVERAGE(OFFSET($EN$3,0,0,'Données projet'!$E$15+1,1))-AVERAGE(OFFSET($H$3,0,0,'Données projet'!$E$15+1,1))</f>
        <v>301.18531163828169</v>
      </c>
      <c r="EP77" s="62">
        <f t="shared" si="100"/>
        <v>192.30530273268101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180.72512971057805</v>
      </c>
      <c r="EW77" s="23">
        <f>EXP(-LN(2)/25)*EW76+(1-EXP(-LN(2)/25))/(LN(2)/25)*Calculateur!ER77*Calculateur!ET77*VLOOKUP('Données projet'!$B$15,Paramètres!$A$1:$I$89,3,0)*0.475*44/12</f>
        <v>15.996320107726604</v>
      </c>
      <c r="EX77" s="23">
        <f>EXP(-LN(2)/2)*EX76+(1-EXP(-LN(2)/2))/(LN(2)/2)*ER77*EU77*VLOOKUP('Données projet'!$B$15,Paramètres!$A$1:$I$89,3,0)*0.475*44/12</f>
        <v>0.49475852896502576</v>
      </c>
      <c r="EY77" s="24">
        <f t="shared" si="75"/>
        <v>197.21620834726968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1.7053025658242404E-13</v>
      </c>
      <c r="FF77" s="18">
        <f>FE77*VLOOKUP('Données projet'!$B$16,Paramètres!$A$1:$I$89,3,0)*VLOOKUP('Données projet'!$B$16,Paramètres!$A$1:$I$89,5,0)</f>
        <v>1.3301360013429075E-13</v>
      </c>
      <c r="FG77" s="14">
        <f t="shared" si="101"/>
        <v>1.9329766731057041E-12</v>
      </c>
      <c r="FH77" s="22">
        <f t="shared" si="76"/>
        <v>3.5982663925596575E-12</v>
      </c>
      <c r="FI77" s="62">
        <f t="shared" si="77"/>
        <v>293.3333333333369</v>
      </c>
      <c r="FJ77" s="62">
        <f ca="1">AVERAGE(OFFSET($FI$3,0,0,'Données projet'!$E$16+1,1))-AVERAGE(OFFSET($H$3,0,0,'Données projet'!$E$16+1,1))</f>
        <v>249.2899297828755</v>
      </c>
      <c r="FK77" s="62">
        <f t="shared" si="102"/>
        <v>162.88011837476813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145.74607234724036</v>
      </c>
      <c r="FR77" s="23">
        <f>EXP(-LN(2)/25)*FR76+(1-EXP(-LN(2)/25))/(LN(2)/25)*Calculateur!FM77*Calculateur!FO77*VLOOKUP('Données projet'!$B$16,Paramètres!$A$1:$I$89,3,0)*0.475*44/12</f>
        <v>12.900258151392418</v>
      </c>
      <c r="FS77" s="23">
        <f>EXP(-LN(2)/2)*FS76+(1-EXP(-LN(2)/2))/(LN(2)/2)*FM77*FP77*VLOOKUP('Données projet'!$B$16,Paramètres!$A$1:$I$89,3,0)*0.475*44/12</f>
        <v>0.39899881368147211</v>
      </c>
      <c r="FT77" s="24">
        <f t="shared" si="78"/>
        <v>159.04532931231424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1.7053025658242404E-13</v>
      </c>
      <c r="GA77" s="18">
        <f>FZ77*VLOOKUP('Données projet'!$B$17,Paramètres!$A$1:$I$89,3,0)*VLOOKUP('Données projet'!$B$17,Paramètres!$A$1:$I$89,5,0)</f>
        <v>1.1439169611549005E-13</v>
      </c>
      <c r="GB77" s="14">
        <f t="shared" si="103"/>
        <v>1.6918016515029816E-12</v>
      </c>
      <c r="GC77" s="22">
        <f t="shared" si="79"/>
        <v>3.1457867471021712E-12</v>
      </c>
      <c r="GD77" s="62">
        <f t="shared" si="80"/>
        <v>293.33333333333644</v>
      </c>
      <c r="GE77" s="62">
        <f ca="1">AVERAGE(OFFSET($GD$3,0,0,'Données projet'!$E$17+1,1))-AVERAGE(OFFSET($H$3,0,0,'Données projet'!$E$17+1,1))</f>
        <v>218.89895999738746</v>
      </c>
      <c r="GF77" s="62">
        <f t="shared" si="104"/>
        <v>145.64042897395763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154.49083668807475</v>
      </c>
      <c r="GM77" s="23">
        <f>EXP(-LN(2)/25)*GM76+(1-EXP(-LN(2)/25))/(LN(2)/25)*Calculateur!GH77*Calculateur!GJ77*VLOOKUP('Données projet'!$B$17,Paramètres!$A$1:$I$89,3,0)*0.475*44/12</f>
        <v>13.674273640475963</v>
      </c>
      <c r="GN77" s="23">
        <f>EXP(-LN(2)/2)*GN76+(1-EXP(-LN(2)/2))/(LN(2)/2)*GH77*GK77*VLOOKUP('Données projet'!$B$17,Paramètres!$A$1:$I$89,3,0)*0.475*44/12</f>
        <v>0.34313897976606628</v>
      </c>
      <c r="GO77" s="23">
        <f t="shared" si="81"/>
        <v>168.50824930831678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1.7053025658242404E-13</v>
      </c>
      <c r="GV77" s="18">
        <f>GU77*VLOOKUP('Données projet'!$B$18,Paramètres!$A$1:$I$89,3,0)*VLOOKUP('Données projet'!$B$18,Paramètres!$A$1:$I$89,5,0)</f>
        <v>1.8355876818532125E-13</v>
      </c>
      <c r="GW77" s="14">
        <f t="shared" si="105"/>
        <v>2.5693529898865504E-12</v>
      </c>
      <c r="GX77" s="22">
        <f t="shared" si="82"/>
        <v>4.7946546453085093E-12</v>
      </c>
      <c r="GY77" s="62">
        <f t="shared" si="83"/>
        <v>293.33333333333809</v>
      </c>
      <c r="GZ77" s="62">
        <f ca="1">AVERAGE(OFFSET($GY$3,0,0,'Données projet'!$E$18+1,1))-AVERAGE(OFFSET($H$3,0,0,'Données projet'!$E$18+1,1))</f>
        <v>331.3579800635751</v>
      </c>
      <c r="HA77" s="62">
        <f t="shared" si="106"/>
        <v>209.40702003535273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201.12957983919165</v>
      </c>
      <c r="HH77" s="23">
        <f>EXP(-LN(2)/25)*HH76+(1-EXP(-LN(2)/25))/(LN(2)/25)*Calculateur!HC77*Calculateur!HE77*VLOOKUP('Données projet'!$B$18,Paramètres!$A$1:$I$89,3,0)*0.475*44/12</f>
        <v>17.802356248921541</v>
      </c>
      <c r="HI77" s="23">
        <f>EXP(-LN(2)/2)*HI76+(1-EXP(-LN(2)/2))/(LN(2)/2)*HC77*HF77*VLOOKUP('Données projet'!$B$18,Paramètres!$A$1:$I$89,3,0)*0.475*44/12</f>
        <v>0.55061836288043164</v>
      </c>
      <c r="HJ77" s="24">
        <f t="shared" si="84"/>
        <v>219.48255445099363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46.510000000000005</v>
      </c>
      <c r="N78" s="14">
        <f>IF('Données projet'!$A$36&gt;35,N77+M78-V77,IF(A78&lt;'Données projet'!$A$36,$K$205^A78,IF(A78='Données projet'!$A$36,'Données projet'!$B$36,N77+M78-V77)))</f>
        <v>1266.9999999999995</v>
      </c>
      <c r="O78" s="14">
        <f>N78*VLOOKUP('Données projet'!$B$9,Paramètres!$A$1:$I$89,3,0)*VLOOKUP('Données projet'!$B$9,Paramètres!$A$1:$I$89,5,0)</f>
        <v>1146.3815999999995</v>
      </c>
      <c r="P78" s="14">
        <f t="shared" si="87"/>
        <v>232.68873146582644</v>
      </c>
      <c r="Q78" s="22">
        <f t="shared" si="54"/>
        <v>2401.8808273029795</v>
      </c>
      <c r="R78" s="62">
        <f t="shared" si="55"/>
        <v>2695.214160636313</v>
      </c>
      <c r="S78" s="62">
        <f ca="1">AVERAGE(OFFSET($R$3,0,0,'Données projet'!$E$9+1,1))-AVERAGE(OFFSET($H$3,0,0,'Données projet'!$E$9+1,1))</f>
        <v>2472.5049373954762</v>
      </c>
      <c r="T78" s="62">
        <f t="shared" si="88"/>
        <v>286.98388307318311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71.770215040726555</v>
      </c>
      <c r="AA78" s="23">
        <f>EXP(-LN(2)/25)*AA77+(1-EXP(-LN(2)/25))/(LN(2)/25)*Calculateur!V78*Calculateur!X78*VLOOKUP('Données projet'!$B$9,Paramètres!$A$1:$I$89,3,0)*0.475*44/12</f>
        <v>13.28322336212795</v>
      </c>
      <c r="AB78" s="23">
        <f>EXP(-LN(2)/2)*AB77+(1-EXP(-LN(2)/2))/(LN(2)/2)*V78*Y78*VLOOKUP('Données projet'!$B$9,Paramètres!$A$1:$I$89,3,0)*0.475*44/12</f>
        <v>5.8727040794535261</v>
      </c>
      <c r="AC78" s="24">
        <f t="shared" si="57"/>
        <v>90.926142482308038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46.510000000000005</v>
      </c>
      <c r="AI78" s="14">
        <f>IF('Données projet'!$A$62&gt;35,AI77+AH78-AQ77,IF(A78&lt;'Données projet'!$A$62,$AF$205^A78,IF(A78='Données projet'!$A$62,'Données projet'!$B$62,AI77+AH78-AQ77)))</f>
        <v>1266.9999999999995</v>
      </c>
      <c r="AJ78" s="14">
        <f>AI78*VLOOKUP('Données projet'!$B$10,Paramètres!$A$1:$I$89,3,0)*VLOOKUP('Données projet'!$B$10,Paramètres!$A$1:$I$89,5,0)</f>
        <v>1284.7379999999996</v>
      </c>
      <c r="AK78" s="14">
        <f t="shared" si="89"/>
        <v>257.33604311454127</v>
      </c>
      <c r="AL78" s="22">
        <f t="shared" si="58"/>
        <v>2685.7789584244915</v>
      </c>
      <c r="AM78" s="62">
        <f t="shared" si="59"/>
        <v>2979.112291757825</v>
      </c>
      <c r="AN78" s="62">
        <f ca="1">AVERAGE(OFFSET($AM$3,0,0,'Données projet'!$E$10+1,1))-AVERAGE(OFFSET($H$3,0,0,'Données projet'!$E$10+1,1))</f>
        <v>2761.1400657295467</v>
      </c>
      <c r="AO78" s="62">
        <f t="shared" si="90"/>
        <v>316.41877504316409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80.432137545641822</v>
      </c>
      <c r="AV78" s="23">
        <f>EXP(-LN(2)/25)*AV77+(1-EXP(-LN(2)/25))/(LN(2)/25)*Calculateur!AQ78*Calculateur!AS78*VLOOKUP('Données projet'!$B$10,Paramètres!$A$1:$I$89,3,0)*0.475*44/12</f>
        <v>14.886371009281325</v>
      </c>
      <c r="AW78" s="23">
        <f>EXP(-LN(2)/2)*AW77+(1-EXP(-LN(2)/2))/(LN(2)/2)*AQ78*AT78*VLOOKUP('Données projet'!$B$10,Paramètres!$A$1:$I$89,3,0)*0.475*44/12</f>
        <v>6.5814787097324006</v>
      </c>
      <c r="AX78" s="23">
        <f t="shared" si="60"/>
        <v>101.89998726465554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46.510000000000005</v>
      </c>
      <c r="BD78" s="13">
        <f>IF('Données projet'!$A$88&gt;35,BD77+BC78-BL77,IF(A78&lt;'Données projet'!$A$88,$BA$205^A78,IF(A78='Données projet'!$A$88,'Données projet'!$B$88,BD77+BC78-BL77)))</f>
        <v>1266.9999999999995</v>
      </c>
      <c r="BE78" s="14">
        <f>BD78*VLOOKUP('Données projet'!$B$11,Paramètres!$A$1:$I$89,3,0)*VLOOKUP('Données projet'!$B$11,Paramètres!$A$1:$I$89,5,0)</f>
        <v>1324.2683999999997</v>
      </c>
      <c r="BF78" s="14">
        <f t="shared" si="91"/>
        <v>264.32002855199033</v>
      </c>
      <c r="BG78" s="22">
        <f t="shared" si="61"/>
        <v>2766.7915130613824</v>
      </c>
      <c r="BH78" s="62">
        <f t="shared" si="62"/>
        <v>3060.1248463947159</v>
      </c>
      <c r="BI78" s="62">
        <f ca="1">AVERAGE(OFFSET($BH$3,0,0,'Données projet'!$E$11+1,1))-AVERAGE(OFFSET($H$3,0,0,'Données projet'!$E$11+1,1))</f>
        <v>2843.5086223152098</v>
      </c>
      <c r="BJ78" s="62">
        <f t="shared" si="92"/>
        <v>324.81562437645522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82.906972547046195</v>
      </c>
      <c r="BQ78" s="23">
        <f>EXP(-LN(2)/25)*BQ77+(1-EXP(-LN(2)/25))/(LN(2)/25)*Calculateur!BL78*Calculateur!BN78*VLOOKUP('Données projet'!$B$11,Paramètres!$A$1:$I$89,3,0)*0.475*44/12</f>
        <v>15.344413194182286</v>
      </c>
      <c r="BR78" s="23">
        <f>EXP(-LN(2)/2)*BR77+(1-EXP(-LN(2)/2))/(LN(2)/2)*BL78*BO78*VLOOKUP('Données projet'!$B$11,Paramètres!$A$1:$I$89,3,0)*0.475*44/12</f>
        <v>6.7839857469549321</v>
      </c>
      <c r="BS78" s="24">
        <f t="shared" si="63"/>
        <v>105.0353714881834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46.510000000000005</v>
      </c>
      <c r="BY78" s="13">
        <f>IF('Données projet'!$A$114&gt;35,BY77+BX78-CG77,IF(A78&lt;'Données projet'!$A$114,$BV$205^A78,IF(A78='Données projet'!$A$114,'Données projet'!$B$114,BY77+BX78-CG77)))</f>
        <v>1266.9999999999995</v>
      </c>
      <c r="BZ78" s="14">
        <f>BY78*VLOOKUP('Données projet'!$B$12,Paramètres!$A$1:$I$89,3,0)*VLOOKUP('Données projet'!$B$12,Paramètres!$A$1:$I$89,5,0)</f>
        <v>1264.9727999999998</v>
      </c>
      <c r="CA78" s="14">
        <f t="shared" si="93"/>
        <v>253.83470623239819</v>
      </c>
      <c r="CB78" s="22">
        <f t="shared" si="64"/>
        <v>2645.2564066880927</v>
      </c>
      <c r="CC78" s="62">
        <f t="shared" si="65"/>
        <v>2938.5897400214262</v>
      </c>
      <c r="CD78" s="62">
        <f ca="1">AVERAGE(OFFSET($CC$3,0,0,'Données projet'!$E$12+1,1))-AVERAGE(OFFSET($H$3,0,0,'Données projet'!$E$12+1,1))</f>
        <v>2719.939926994799</v>
      </c>
      <c r="CE78" s="62">
        <f t="shared" si="94"/>
        <v>312.21824046329749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79.194720044939643</v>
      </c>
      <c r="CL78" s="23">
        <f>EXP(-LN(2)/25)*CL77+(1-EXP(-LN(2)/25))/(LN(2)/25)*Calculateur!CG78*Calculateur!CI78*VLOOKUP('Données projet'!$B$12,Paramètres!$A$1:$I$89,3,0)*0.475*44/12</f>
        <v>14.657349916830842</v>
      </c>
      <c r="CM78" s="23">
        <f>EXP(-LN(2)/2)*CM77+(1-EXP(-LN(2)/2))/(LN(2)/2)*CG78*CJ78*VLOOKUP('Données projet'!$B$12,Paramètres!$A$1:$I$89,3,0)*0.475*44/12</f>
        <v>6.4802251911211313</v>
      </c>
      <c r="CN78" s="24">
        <f t="shared" si="66"/>
        <v>100.33229515289162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65.679000000000016</v>
      </c>
      <c r="CT78" s="13">
        <f>IF('Données projet'!$A$140&gt;35,CT77+CS78-DB77,IF(A78&lt;'Données projet'!$A$140,$CQ$205^A78,IF(A78='Données projet'!$A$140,'Données projet'!$B$140,CT77+CS78-DB77)))</f>
        <v>1476.4950000000008</v>
      </c>
      <c r="CU78" s="18">
        <f>CT78*VLOOKUP('Données projet'!$B$13,Paramètres!$A$1:$I$89,3,0)*VLOOKUP('Données projet'!$B$13,Paramètres!$A$1:$I$89,5,0)</f>
        <v>1289.8660320000008</v>
      </c>
      <c r="CV78" s="14">
        <f t="shared" si="95"/>
        <v>258.2434283987439</v>
      </c>
      <c r="CW78" s="22">
        <f t="shared" si="67"/>
        <v>2696.2906435278132</v>
      </c>
      <c r="CX78" s="62">
        <f t="shared" si="68"/>
        <v>2989.6239768611467</v>
      </c>
      <c r="CY78" s="62">
        <f ca="1">AVERAGE(OFFSET($CX$3,0,0,'Données projet'!$E$13+1,1))-AVERAGE(OFFSET($H$3,0,0,'Données projet'!$E$13+1,1))</f>
        <v>1036.0130072090849</v>
      </c>
      <c r="CZ78" s="62">
        <f t="shared" si="96"/>
        <v>346.56593355696174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77.364211916440723</v>
      </c>
      <c r="DG78" s="23">
        <f>EXP(-LN(2)/25)*DG77+(1-EXP(-LN(2)/25))/(LN(2)/25)*Calculateur!DB78*Calculateur!DD78*VLOOKUP('Données projet'!$B$13,Paramètres!$A$1:$I$89,3,0)*0.475*44/12</f>
        <v>14.311689879710768</v>
      </c>
      <c r="DH78" s="23">
        <f>EXP(-LN(2)/2)*DH77+(1-EXP(-LN(2)/2))/(LN(2)/2)*DB78*DE78*VLOOKUP('Données projet'!$B$13,Paramètres!$A$1:$I$89,3,0)*0.475*44/12</f>
        <v>6.2934995590660847</v>
      </c>
      <c r="DI78" s="24">
        <f t="shared" si="69"/>
        <v>97.96940135521757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6.8212102632969618E-13</v>
      </c>
      <c r="DP78" s="18">
        <f>DO78*VLOOKUP('Données projet'!$B$14,Paramètres!$A$1:$I$89,3,0)*VLOOKUP('Données projet'!$B$14,Paramètres!$A$1:$I$89,5,0)</f>
        <v>3.8130565371830017E-13</v>
      </c>
      <c r="DQ78" s="14">
        <f t="shared" si="97"/>
        <v>4.9019074112354236E-12</v>
      </c>
      <c r="DR78" s="22">
        <f t="shared" si="70"/>
        <v>9.2015960881277352E-12</v>
      </c>
      <c r="DS78" s="62">
        <f t="shared" si="71"/>
        <v>293.33333333334252</v>
      </c>
      <c r="DT78" s="62">
        <f ca="1">AVERAGE(OFFSET($DS$3,0,0,'Données projet'!$E$14+1,1))-AVERAGE(OFFSET($H$3,0,0,'Données projet'!$E$14+1,1))</f>
        <v>446.48069057792151</v>
      </c>
      <c r="DU78" s="62">
        <f t="shared" si="98"/>
        <v>561.75656782935948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137.20243968858159</v>
      </c>
      <c r="EB78" s="23">
        <f>EXP(-LN(2)/25)*EB77+(1-EXP(-LN(2)/25))/(LN(2)/25)*Calculateur!DW78*Calculateur!DY78*VLOOKUP('Données projet'!$B$14,Paramètres!$A$1:$I$89,3,0)*0.475*44/12</f>
        <v>53.462906204785526</v>
      </c>
      <c r="EC78" s="23">
        <f>EXP(-LN(2)/2)*EC77+(1-EXP(-LN(2)/2))/(LN(2)/2)*DW78*DZ78*VLOOKUP('Données projet'!$B$14,Paramètres!$A$1:$I$89,3,0)*0.475*44/12</f>
        <v>0.74127535145901746</v>
      </c>
      <c r="ED78" s="24">
        <f t="shared" si="72"/>
        <v>191.40662124482614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1.7053025658242404E-13</v>
      </c>
      <c r="EK78" s="18">
        <f>EJ78*VLOOKUP('Données projet'!$B$15,Paramètres!$A$1:$I$89,3,0)*VLOOKUP('Données projet'!$B$15,Paramètres!$A$1:$I$89,5,0)</f>
        <v>1.6493686416652052E-13</v>
      </c>
      <c r="EL78" s="14">
        <f t="shared" si="99"/>
        <v>2.3376205369651282E-12</v>
      </c>
      <c r="EM78" s="22">
        <f t="shared" si="73"/>
        <v>4.3586208069709543E-12</v>
      </c>
      <c r="EN78" s="62">
        <f t="shared" si="74"/>
        <v>293.33333333333769</v>
      </c>
      <c r="EO78" s="62">
        <f ca="1">AVERAGE(OFFSET($EN$3,0,0,'Données projet'!$E$15+1,1))-AVERAGE(OFFSET($H$3,0,0,'Données projet'!$E$15+1,1))</f>
        <v>301.18531163828169</v>
      </c>
      <c r="EP78" s="62">
        <f t="shared" si="100"/>
        <v>192.30530273268101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177.1812201483983</v>
      </c>
      <c r="EW78" s="23">
        <f>EXP(-LN(2)/25)*EW77+(1-EXP(-LN(2)/25))/(LN(2)/25)*Calculateur!ER78*Calculateur!ET78*VLOOKUP('Données projet'!$B$15,Paramètres!$A$1:$I$89,3,0)*0.475*44/12</f>
        <v>15.558899893170905</v>
      </c>
      <c r="EX78" s="23">
        <f>EXP(-LN(2)/2)*EX77+(1-EXP(-LN(2)/2))/(LN(2)/2)*ER78*EU78*VLOOKUP('Données projet'!$B$15,Paramètres!$A$1:$I$89,3,0)*0.475*44/12</f>
        <v>0.34984711088105064</v>
      </c>
      <c r="EY78" s="24">
        <f t="shared" si="75"/>
        <v>193.08996715245027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1.7053025658242404E-13</v>
      </c>
      <c r="FF78" s="18">
        <f>FE78*VLOOKUP('Données projet'!$B$16,Paramètres!$A$1:$I$89,3,0)*VLOOKUP('Données projet'!$B$16,Paramètres!$A$1:$I$89,5,0)</f>
        <v>1.3301360013429075E-13</v>
      </c>
      <c r="FG78" s="14">
        <f t="shared" si="101"/>
        <v>1.9329766731057041E-12</v>
      </c>
      <c r="FH78" s="22">
        <f t="shared" si="76"/>
        <v>3.5982663925596575E-12</v>
      </c>
      <c r="FI78" s="62">
        <f t="shared" si="77"/>
        <v>293.3333333333369</v>
      </c>
      <c r="FJ78" s="62">
        <f ca="1">AVERAGE(OFFSET($FI$3,0,0,'Données projet'!$E$16+1,1))-AVERAGE(OFFSET($H$3,0,0,'Données projet'!$E$16+1,1))</f>
        <v>249.2899297828755</v>
      </c>
      <c r="FK78" s="62">
        <f t="shared" si="102"/>
        <v>162.88011837476813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142.88808076483733</v>
      </c>
      <c r="FR78" s="23">
        <f>EXP(-LN(2)/25)*FR77+(1-EXP(-LN(2)/25))/(LN(2)/25)*Calculateur!FM78*Calculateur!FO78*VLOOKUP('Données projet'!$B$16,Paramètres!$A$1:$I$89,3,0)*0.475*44/12</f>
        <v>12.547499913847499</v>
      </c>
      <c r="FS78" s="23">
        <f>EXP(-LN(2)/2)*FS77+(1-EXP(-LN(2)/2))/(LN(2)/2)*FM78*FP78*VLOOKUP('Données projet'!$B$16,Paramètres!$A$1:$I$89,3,0)*0.475*44/12</f>
        <v>0.28213476683955674</v>
      </c>
      <c r="FT78" s="24">
        <f t="shared" si="78"/>
        <v>155.71771544552439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1.7053025658242404E-13</v>
      </c>
      <c r="GA78" s="18">
        <f>FZ78*VLOOKUP('Données projet'!$B$17,Paramètres!$A$1:$I$89,3,0)*VLOOKUP('Données projet'!$B$17,Paramètres!$A$1:$I$89,5,0)</f>
        <v>1.1439169611549005E-13</v>
      </c>
      <c r="GB78" s="14">
        <f t="shared" si="103"/>
        <v>1.6918016515029816E-12</v>
      </c>
      <c r="GC78" s="22">
        <f t="shared" si="79"/>
        <v>3.1457867471021712E-12</v>
      </c>
      <c r="GD78" s="62">
        <f t="shared" si="80"/>
        <v>293.33333333333644</v>
      </c>
      <c r="GE78" s="62">
        <f ca="1">AVERAGE(OFFSET($GD$3,0,0,'Données projet'!$E$17+1,1))-AVERAGE(OFFSET($H$3,0,0,'Données projet'!$E$17+1,1))</f>
        <v>218.89895999738746</v>
      </c>
      <c r="GF78" s="62">
        <f t="shared" si="104"/>
        <v>145.64042897395763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151.46136561072754</v>
      </c>
      <c r="GM78" s="23">
        <f>EXP(-LN(2)/25)*GM77+(1-EXP(-LN(2)/25))/(LN(2)/25)*Calculateur!GH78*Calculateur!GJ78*VLOOKUP('Données projet'!$B$17,Paramètres!$A$1:$I$89,3,0)*0.475*44/12</f>
        <v>13.300349908678351</v>
      </c>
      <c r="GN78" s="23">
        <f>EXP(-LN(2)/2)*GN77+(1-EXP(-LN(2)/2))/(LN(2)/2)*GH78*GK78*VLOOKUP('Données projet'!$B$17,Paramètres!$A$1:$I$89,3,0)*0.475*44/12</f>
        <v>0.242635899482019</v>
      </c>
      <c r="GO78" s="23">
        <f t="shared" si="81"/>
        <v>165.00435141888792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1.7053025658242404E-13</v>
      </c>
      <c r="GV78" s="18">
        <f>GU78*VLOOKUP('Données projet'!$B$18,Paramètres!$A$1:$I$89,3,0)*VLOOKUP('Données projet'!$B$18,Paramètres!$A$1:$I$89,5,0)</f>
        <v>1.8355876818532125E-13</v>
      </c>
      <c r="GW78" s="14">
        <f t="shared" si="105"/>
        <v>2.5693529898865504E-12</v>
      </c>
      <c r="GX78" s="22">
        <f t="shared" si="82"/>
        <v>4.7946546453085093E-12</v>
      </c>
      <c r="GY78" s="62">
        <f t="shared" si="83"/>
        <v>293.33333333333809</v>
      </c>
      <c r="GZ78" s="62">
        <f ca="1">AVERAGE(OFFSET($GY$3,0,0,'Données projet'!$E$18+1,1))-AVERAGE(OFFSET($H$3,0,0,'Données projet'!$E$18+1,1))</f>
        <v>331.3579800635751</v>
      </c>
      <c r="HA78" s="62">
        <f t="shared" si="106"/>
        <v>209.40702003535273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197.18555145547546</v>
      </c>
      <c r="HH78" s="23">
        <f>EXP(-LN(2)/25)*HH77+(1-EXP(-LN(2)/25))/(LN(2)/25)*Calculateur!HC78*Calculateur!HE78*VLOOKUP('Données projet'!$B$18,Paramètres!$A$1:$I$89,3,0)*0.475*44/12</f>
        <v>17.315549881109554</v>
      </c>
      <c r="HI78" s="23">
        <f>EXP(-LN(2)/2)*HI77+(1-EXP(-LN(2)/2))/(LN(2)/2)*HC78*HF78*VLOOKUP('Données projet'!$B$18,Paramètres!$A$1:$I$89,3,0)*0.475*44/12</f>
        <v>0.38934597823858841</v>
      </c>
      <c r="HJ78" s="24">
        <f t="shared" si="84"/>
        <v>214.8904473148236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46.510000000000005</v>
      </c>
      <c r="N79" s="14">
        <f>IF('Données projet'!$A$36&gt;35,N78+M79-V78,IF(A79&lt;'Données projet'!$A$36,$K$205^A79,IF(A79='Données projet'!$A$36,'Données projet'!$B$36,N78+M79-V78)))</f>
        <v>1313.5099999999995</v>
      </c>
      <c r="O79" s="14">
        <f>N79*VLOOKUP('Données projet'!$B$9,Paramètres!$A$1:$I$89,3,0)*VLOOKUP('Données projet'!$B$9,Paramètres!$A$1:$I$89,5,0)</f>
        <v>1188.4638479999996</v>
      </c>
      <c r="P79" s="14">
        <f t="shared" si="87"/>
        <v>240.22028215846234</v>
      </c>
      <c r="Q79" s="22">
        <f t="shared" si="54"/>
        <v>2488.2915266926548</v>
      </c>
      <c r="R79" s="62">
        <f t="shared" si="55"/>
        <v>2781.6248600259883</v>
      </c>
      <c r="S79" s="62">
        <f ca="1">AVERAGE(OFFSET($R$3,0,0,'Données projet'!$E$9+1,1))-AVERAGE(OFFSET($H$3,0,0,'Données projet'!$E$9+1,1))</f>
        <v>2472.5049373954762</v>
      </c>
      <c r="T79" s="62">
        <f t="shared" si="88"/>
        <v>286.98388307318311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70.362844899286614</v>
      </c>
      <c r="AA79" s="23">
        <f>EXP(-LN(2)/25)*AA78+(1-EXP(-LN(2)/25))/(LN(2)/25)*Calculateur!V79*Calculateur!X79*VLOOKUP('Données projet'!$B$9,Paramètres!$A$1:$I$89,3,0)*0.475*44/12</f>
        <v>12.919992920756204</v>
      </c>
      <c r="AB79" s="23">
        <f>EXP(-LN(2)/2)*AB78+(1-EXP(-LN(2)/2))/(LN(2)/2)*V79*Y79*VLOOKUP('Données projet'!$B$9,Paramètres!$A$1:$I$89,3,0)*0.475*44/12</f>
        <v>4.1526288784834895</v>
      </c>
      <c r="AC79" s="24">
        <f t="shared" si="57"/>
        <v>87.435466698526298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46.510000000000005</v>
      </c>
      <c r="AI79" s="14">
        <f>IF('Données projet'!$A$62&gt;35,AI78+AH79-AQ78,IF(A79&lt;'Données projet'!$A$62,$AF$205^A79,IF(A79='Données projet'!$A$62,'Données projet'!$B$62,AI78+AH79-AQ78)))</f>
        <v>1313.5099999999995</v>
      </c>
      <c r="AJ79" s="14">
        <f>AI79*VLOOKUP('Données projet'!$B$10,Paramètres!$A$1:$I$89,3,0)*VLOOKUP('Données projet'!$B$10,Paramètres!$A$1:$I$89,5,0)</f>
        <v>1331.8991399999995</v>
      </c>
      <c r="AK79" s="14">
        <f t="shared" si="89"/>
        <v>265.66536547385891</v>
      </c>
      <c r="AL79" s="22">
        <f t="shared" si="58"/>
        <v>2782.4248470336365</v>
      </c>
      <c r="AM79" s="62">
        <f t="shared" si="59"/>
        <v>3075.75818036697</v>
      </c>
      <c r="AN79" s="62">
        <f ca="1">AVERAGE(OFFSET($AM$3,0,0,'Données projet'!$E$10+1,1))-AVERAGE(OFFSET($H$3,0,0,'Données projet'!$E$10+1,1))</f>
        <v>2761.1400657295467</v>
      </c>
      <c r="AO79" s="62">
        <f t="shared" si="90"/>
        <v>316.41877504316409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78.854912387131535</v>
      </c>
      <c r="AV79" s="23">
        <f>EXP(-LN(2)/25)*AV78+(1-EXP(-LN(2)/25))/(LN(2)/25)*Calculateur!AQ79*Calculateur!AS79*VLOOKUP('Données projet'!$B$10,Paramètres!$A$1:$I$89,3,0)*0.475*44/12</f>
        <v>14.479302411192299</v>
      </c>
      <c r="AW79" s="23">
        <f>EXP(-LN(2)/2)*AW78+(1-EXP(-LN(2)/2))/(LN(2)/2)*AQ79*AT79*VLOOKUP('Données projet'!$B$10,Paramètres!$A$1:$I$89,3,0)*0.475*44/12</f>
        <v>4.65380822588667</v>
      </c>
      <c r="AX79" s="23">
        <f t="shared" si="60"/>
        <v>97.988023024210491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46.510000000000005</v>
      </c>
      <c r="BD79" s="13">
        <f>IF('Données projet'!$A$88&gt;35,BD78+BC79-BL78,IF(A79&lt;'Données projet'!$A$88,$BA$205^A79,IF(A79='Données projet'!$A$88,'Données projet'!$B$88,BD78+BC79-BL78)))</f>
        <v>1313.5099999999995</v>
      </c>
      <c r="BE79" s="14">
        <f>BD79*VLOOKUP('Données projet'!$B$11,Paramètres!$A$1:$I$89,3,0)*VLOOKUP('Données projet'!$B$11,Paramètres!$A$1:$I$89,5,0)</f>
        <v>1372.8806519999996</v>
      </c>
      <c r="BF79" s="14">
        <f t="shared" si="91"/>
        <v>272.87540500523608</v>
      </c>
      <c r="BG79" s="22">
        <f t="shared" si="61"/>
        <v>2866.3584659507851</v>
      </c>
      <c r="BH79" s="62">
        <f t="shared" si="62"/>
        <v>3159.6917992841186</v>
      </c>
      <c r="BI79" s="62">
        <f ca="1">AVERAGE(OFFSET($BH$3,0,0,'Données projet'!$E$11+1,1))-AVERAGE(OFFSET($H$3,0,0,'Données projet'!$E$11+1,1))</f>
        <v>2843.5086223152098</v>
      </c>
      <c r="BJ79" s="62">
        <f t="shared" si="92"/>
        <v>324.81562437645522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81.281217383658671</v>
      </c>
      <c r="BQ79" s="23">
        <f>EXP(-LN(2)/25)*BQ78+(1-EXP(-LN(2)/25))/(LN(2)/25)*Calculateur!BL79*Calculateur!BN79*VLOOKUP('Données projet'!$B$11,Paramètres!$A$1:$I$89,3,0)*0.475*44/12</f>
        <v>14.924819408459751</v>
      </c>
      <c r="BR79" s="23">
        <f>EXP(-LN(2)/2)*BR78+(1-EXP(-LN(2)/2))/(LN(2)/2)*BL79*BO79*VLOOKUP('Données projet'!$B$11,Paramètres!$A$1:$I$89,3,0)*0.475*44/12</f>
        <v>4.7970023251447182</v>
      </c>
      <c r="BS79" s="24">
        <f t="shared" si="63"/>
        <v>101.00303911726314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46.510000000000005</v>
      </c>
      <c r="BY79" s="13">
        <f>IF('Données projet'!$A$114&gt;35,BY78+BX79-CG78,IF(A79&lt;'Données projet'!$A$114,$BV$205^A79,IF(A79='Données projet'!$A$114,'Données projet'!$B$114,BY78+BX79-CG78)))</f>
        <v>1313.5099999999995</v>
      </c>
      <c r="BZ79" s="14">
        <f>BY79*VLOOKUP('Données projet'!$B$12,Paramètres!$A$1:$I$89,3,0)*VLOOKUP('Données projet'!$B$12,Paramètres!$A$1:$I$89,5,0)</f>
        <v>1311.4083839999996</v>
      </c>
      <c r="CA79" s="14">
        <f t="shared" si="93"/>
        <v>262.05069909761556</v>
      </c>
      <c r="CB79" s="22">
        <f t="shared" si="64"/>
        <v>2740.4412363950128</v>
      </c>
      <c r="CC79" s="62">
        <f t="shared" si="65"/>
        <v>3033.7745697283463</v>
      </c>
      <c r="CD79" s="62">
        <f ca="1">AVERAGE(OFFSET($CC$3,0,0,'Données projet'!$E$12+1,1))-AVERAGE(OFFSET($H$3,0,0,'Données projet'!$E$12+1,1))</f>
        <v>2719.939926994799</v>
      </c>
      <c r="CE79" s="62">
        <f t="shared" si="94"/>
        <v>312.21824046329749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77.641759888867981</v>
      </c>
      <c r="CL79" s="23">
        <f>EXP(-LN(2)/25)*CL78+(1-EXP(-LN(2)/25))/(LN(2)/25)*Calculateur!CG79*Calculateur!CI79*VLOOKUP('Données projet'!$B$12,Paramètres!$A$1:$I$89,3,0)*0.475*44/12</f>
        <v>14.25654391255857</v>
      </c>
      <c r="CM79" s="23">
        <f>EXP(-LN(2)/2)*CM78+(1-EXP(-LN(2)/2))/(LN(2)/2)*CG79*CJ79*VLOOKUP('Données projet'!$B$12,Paramètres!$A$1:$I$89,3,0)*0.475*44/12</f>
        <v>4.5822111762576432</v>
      </c>
      <c r="CN79" s="24">
        <f t="shared" si="66"/>
        <v>96.480514977684194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65.679000000000016</v>
      </c>
      <c r="CT79" s="13">
        <f>IF('Données projet'!$A$140&gt;35,CT78+CS79-DB78,IF(A79&lt;'Données projet'!$A$140,$CQ$205^A79,IF(A79='Données projet'!$A$140,'Données projet'!$B$140,CT78+CS79-DB78)))</f>
        <v>1542.1740000000009</v>
      </c>
      <c r="CU79" s="18">
        <f>CT79*VLOOKUP('Données projet'!$B$13,Paramètres!$A$1:$I$89,3,0)*VLOOKUP('Données projet'!$B$13,Paramètres!$A$1:$I$89,5,0)</f>
        <v>1347.2432064000009</v>
      </c>
      <c r="CV79" s="14">
        <f t="shared" si="95"/>
        <v>268.36789054441948</v>
      </c>
      <c r="CW79" s="22">
        <f t="shared" si="67"/>
        <v>2813.8559938448652</v>
      </c>
      <c r="CX79" s="62">
        <f t="shared" si="68"/>
        <v>3107.1893271781987</v>
      </c>
      <c r="CY79" s="62">
        <f ca="1">AVERAGE(OFFSET($CX$3,0,0,'Données projet'!$E$13+1,1))-AVERAGE(OFFSET($H$3,0,0,'Données projet'!$E$13+1,1))</f>
        <v>1036.0130072090849</v>
      </c>
      <c r="CZ79" s="62">
        <f t="shared" si="96"/>
        <v>346.56593355696174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75.84714690826921</v>
      </c>
      <c r="DG79" s="23">
        <f>EXP(-LN(2)/25)*DG78+(1-EXP(-LN(2)/25))/(LN(2)/25)*Calculateur!DB79*Calculateur!DD79*VLOOKUP('Données projet'!$B$13,Paramètres!$A$1:$I$89,3,0)*0.475*44/12</f>
        <v>13.920335967331015</v>
      </c>
      <c r="DH79" s="23">
        <f>EXP(-LN(2)/2)*DH78+(1-EXP(-LN(2)/2))/(LN(2)/2)*DB79*DE79*VLOOKUP('Données projet'!$B$13,Paramètres!$A$1:$I$89,3,0)*0.475*44/12</f>
        <v>4.4501762156101758</v>
      </c>
      <c r="DI79" s="24">
        <f t="shared" si="69"/>
        <v>94.217659091210393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6.8212102632969618E-13</v>
      </c>
      <c r="DP79" s="18">
        <f>DO79*VLOOKUP('Données projet'!$B$14,Paramètres!$A$1:$I$89,3,0)*VLOOKUP('Données projet'!$B$14,Paramètres!$A$1:$I$89,5,0)</f>
        <v>3.8130565371830017E-13</v>
      </c>
      <c r="DQ79" s="14">
        <f t="shared" si="97"/>
        <v>4.9019074112354236E-12</v>
      </c>
      <c r="DR79" s="22">
        <f t="shared" si="70"/>
        <v>9.2015960881277352E-12</v>
      </c>
      <c r="DS79" s="62">
        <f t="shared" si="71"/>
        <v>293.33333333334252</v>
      </c>
      <c r="DT79" s="62">
        <f ca="1">AVERAGE(OFFSET($DS$3,0,0,'Données projet'!$E$14+1,1))-AVERAGE(OFFSET($H$3,0,0,'Données projet'!$E$14+1,1))</f>
        <v>446.48069057792151</v>
      </c>
      <c r="DU79" s="62">
        <f t="shared" si="98"/>
        <v>561.75656782935948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134.51198353151349</v>
      </c>
      <c r="EB79" s="23">
        <f>EXP(-LN(2)/25)*EB78+(1-EXP(-LN(2)/25))/(LN(2)/25)*Calculateur!DW79*Calculateur!DY79*VLOOKUP('Données projet'!$B$14,Paramètres!$A$1:$I$89,3,0)*0.475*44/12</f>
        <v>52.00096022312362</v>
      </c>
      <c r="EC79" s="23">
        <f>EXP(-LN(2)/2)*EC78+(1-EXP(-LN(2)/2))/(LN(2)/2)*DW79*DZ79*VLOOKUP('Données projet'!$B$14,Paramètres!$A$1:$I$89,3,0)*0.475*44/12</f>
        <v>0.52416082774311257</v>
      </c>
      <c r="ED79" s="24">
        <f t="shared" si="72"/>
        <v>187.03710458238024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1.7053025658242404E-13</v>
      </c>
      <c r="EK79" s="18">
        <f>EJ79*VLOOKUP('Données projet'!$B$15,Paramètres!$A$1:$I$89,3,0)*VLOOKUP('Données projet'!$B$15,Paramètres!$A$1:$I$89,5,0)</f>
        <v>1.6493686416652052E-13</v>
      </c>
      <c r="EL79" s="14">
        <f t="shared" si="99"/>
        <v>2.3376205369651282E-12</v>
      </c>
      <c r="EM79" s="22">
        <f t="shared" si="73"/>
        <v>4.3586208069709543E-12</v>
      </c>
      <c r="EN79" s="62">
        <f t="shared" si="74"/>
        <v>293.33333333333769</v>
      </c>
      <c r="EO79" s="62">
        <f ca="1">AVERAGE(OFFSET($EN$3,0,0,'Données projet'!$E$15+1,1))-AVERAGE(OFFSET($H$3,0,0,'Données projet'!$E$15+1,1))</f>
        <v>301.18531163828169</v>
      </c>
      <c r="EP79" s="62">
        <f t="shared" si="100"/>
        <v>192.30530273268101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173.70680449116148</v>
      </c>
      <c r="EW79" s="23">
        <f>EXP(-LN(2)/25)*EW78+(1-EXP(-LN(2)/25))/(LN(2)/25)*Calculateur!ER79*Calculateur!ET79*VLOOKUP('Données projet'!$B$15,Paramètres!$A$1:$I$89,3,0)*0.475*44/12</f>
        <v>15.133440957385162</v>
      </c>
      <c r="EX79" s="23">
        <f>EXP(-LN(2)/2)*EX78+(1-EXP(-LN(2)/2))/(LN(2)/2)*ER79*EU79*VLOOKUP('Données projet'!$B$15,Paramètres!$A$1:$I$89,3,0)*0.475*44/12</f>
        <v>0.24737926448251291</v>
      </c>
      <c r="EY79" s="24">
        <f t="shared" si="75"/>
        <v>189.08762471302913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1.7053025658242404E-13</v>
      </c>
      <c r="FF79" s="18">
        <f>FE79*VLOOKUP('Données projet'!$B$16,Paramètres!$A$1:$I$89,3,0)*VLOOKUP('Données projet'!$B$16,Paramètres!$A$1:$I$89,5,0)</f>
        <v>1.3301360013429075E-13</v>
      </c>
      <c r="FG79" s="14">
        <f t="shared" si="101"/>
        <v>1.9329766731057041E-12</v>
      </c>
      <c r="FH79" s="22">
        <f t="shared" si="76"/>
        <v>3.5982663925596575E-12</v>
      </c>
      <c r="FI79" s="62">
        <f t="shared" si="77"/>
        <v>293.3333333333369</v>
      </c>
      <c r="FJ79" s="62">
        <f ca="1">AVERAGE(OFFSET($FI$3,0,0,'Données projet'!$E$16+1,1))-AVERAGE(OFFSET($H$3,0,0,'Données projet'!$E$16+1,1))</f>
        <v>249.2899297828755</v>
      </c>
      <c r="FK79" s="62">
        <f t="shared" si="102"/>
        <v>162.88011837476813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140.08613265416247</v>
      </c>
      <c r="FR79" s="23">
        <f>EXP(-LN(2)/25)*FR78+(1-EXP(-LN(2)/25))/(LN(2)/25)*Calculateur!FM79*Calculateur!FO79*VLOOKUP('Données projet'!$B$16,Paramètres!$A$1:$I$89,3,0)*0.475*44/12</f>
        <v>12.204387868858996</v>
      </c>
      <c r="FS79" s="23">
        <f>EXP(-LN(2)/2)*FS78+(1-EXP(-LN(2)/2))/(LN(2)/2)*FM79*FP79*VLOOKUP('Données projet'!$B$16,Paramètres!$A$1:$I$89,3,0)*0.475*44/12</f>
        <v>0.19949940684073605</v>
      </c>
      <c r="FT79" s="24">
        <f t="shared" si="78"/>
        <v>152.4900199298622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1.7053025658242404E-13</v>
      </c>
      <c r="GA79" s="18">
        <f>FZ79*VLOOKUP('Données projet'!$B$17,Paramètres!$A$1:$I$89,3,0)*VLOOKUP('Données projet'!$B$17,Paramètres!$A$1:$I$89,5,0)</f>
        <v>1.1439169611549005E-13</v>
      </c>
      <c r="GB79" s="14">
        <f t="shared" si="103"/>
        <v>1.6918016515029816E-12</v>
      </c>
      <c r="GC79" s="22">
        <f t="shared" si="79"/>
        <v>3.1457867471021712E-12</v>
      </c>
      <c r="GD79" s="62">
        <f t="shared" si="80"/>
        <v>293.33333333333644</v>
      </c>
      <c r="GE79" s="62">
        <f ca="1">AVERAGE(OFFSET($GD$3,0,0,'Données projet'!$E$17+1,1))-AVERAGE(OFFSET($H$3,0,0,'Données projet'!$E$17+1,1))</f>
        <v>218.89895999738746</v>
      </c>
      <c r="GF79" s="62">
        <f t="shared" si="104"/>
        <v>145.64042897395763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148.49130061341219</v>
      </c>
      <c r="GM79" s="23">
        <f>EXP(-LN(2)/25)*GM78+(1-EXP(-LN(2)/25))/(LN(2)/25)*Calculateur!GH79*Calculateur!GJ79*VLOOKUP('Données projet'!$B$17,Paramètres!$A$1:$I$89,3,0)*0.475*44/12</f>
        <v>12.936651140990538</v>
      </c>
      <c r="GN79" s="23">
        <f>EXP(-LN(2)/2)*GN78+(1-EXP(-LN(2)/2))/(LN(2)/2)*GH79*GK79*VLOOKUP('Données projet'!$B$17,Paramètres!$A$1:$I$89,3,0)*0.475*44/12</f>
        <v>0.17156948988303317</v>
      </c>
      <c r="GO79" s="23">
        <f t="shared" si="81"/>
        <v>161.59952124428577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1.7053025658242404E-13</v>
      </c>
      <c r="GV79" s="18">
        <f>GU79*VLOOKUP('Données projet'!$B$18,Paramètres!$A$1:$I$89,3,0)*VLOOKUP('Données projet'!$B$18,Paramètres!$A$1:$I$89,5,0)</f>
        <v>1.8355876818532125E-13</v>
      </c>
      <c r="GW79" s="14">
        <f t="shared" si="105"/>
        <v>2.5693529898865504E-12</v>
      </c>
      <c r="GX79" s="22">
        <f t="shared" si="82"/>
        <v>4.7946546453085093E-12</v>
      </c>
      <c r="GY79" s="62">
        <f t="shared" si="83"/>
        <v>293.33333333333809</v>
      </c>
      <c r="GZ79" s="62">
        <f ca="1">AVERAGE(OFFSET($GY$3,0,0,'Données projet'!$E$18+1,1))-AVERAGE(OFFSET($H$3,0,0,'Données projet'!$E$18+1,1))</f>
        <v>331.3579800635751</v>
      </c>
      <c r="HA79" s="62">
        <f t="shared" si="106"/>
        <v>209.40702003535273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193.31886306274416</v>
      </c>
      <c r="HH79" s="23">
        <f>EXP(-LN(2)/25)*HH78+(1-EXP(-LN(2)/25))/(LN(2)/25)*Calculateur!HC79*Calculateur!HE79*VLOOKUP('Données projet'!$B$18,Paramètres!$A$1:$I$89,3,0)*0.475*44/12</f>
        <v>16.842055259025422</v>
      </c>
      <c r="HI79" s="23">
        <f>EXP(-LN(2)/2)*HI78+(1-EXP(-LN(2)/2))/(LN(2)/2)*HC79*HF79*VLOOKUP('Données projet'!$B$18,Paramètres!$A$1:$I$89,3,0)*0.475*44/12</f>
        <v>0.27530918144021582</v>
      </c>
      <c r="HJ79" s="24">
        <f t="shared" si="84"/>
        <v>210.43622750320978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46.510000000000005</v>
      </c>
      <c r="N80" s="14">
        <f>IF('Données projet'!$A$36&gt;35,N79+M80-V79,IF(A80&lt;'Données projet'!$A$36,$K$205^A80,IF(A80='Données projet'!$A$36,'Données projet'!$B$36,N79+M80-V79)))</f>
        <v>1360.0199999999995</v>
      </c>
      <c r="O80" s="14">
        <f>N80*VLOOKUP('Données projet'!$B$9,Paramètres!$A$1:$I$89,3,0)*VLOOKUP('Données projet'!$B$9,Paramètres!$A$1:$I$89,5,0)</f>
        <v>1230.5460959999996</v>
      </c>
      <c r="P80" s="14">
        <f t="shared" si="87"/>
        <v>247.72084784903996</v>
      </c>
      <c r="Q80" s="22">
        <f t="shared" si="54"/>
        <v>2574.648260537077</v>
      </c>
      <c r="R80" s="62">
        <f t="shared" si="55"/>
        <v>2867.9815938704105</v>
      </c>
      <c r="S80" s="62">
        <f ca="1">AVERAGE(OFFSET($R$3,0,0,'Données projet'!$E$9+1,1))-AVERAGE(OFFSET($H$3,0,0,'Données projet'!$E$9+1,1))</f>
        <v>2472.5049373954762</v>
      </c>
      <c r="T80" s="62">
        <f t="shared" si="88"/>
        <v>286.98388307318311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68.983072427909278</v>
      </c>
      <c r="AA80" s="23">
        <f>EXP(-LN(2)/25)*AA79+(1-EXP(-LN(2)/25))/(LN(2)/25)*Calculateur!V80*Calculateur!X80*VLOOKUP('Données projet'!$B$9,Paramètres!$A$1:$I$89,3,0)*0.475*44/12</f>
        <v>12.566695034905226</v>
      </c>
      <c r="AB80" s="23">
        <f>EXP(-LN(2)/2)*AB79+(1-EXP(-LN(2)/2))/(LN(2)/2)*V80*Y80*VLOOKUP('Données projet'!$B$9,Paramètres!$A$1:$I$89,3,0)*0.475*44/12</f>
        <v>2.9363520397267631</v>
      </c>
      <c r="AC80" s="24">
        <f t="shared" si="57"/>
        <v>84.486119502541257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46.510000000000005</v>
      </c>
      <c r="AI80" s="14">
        <f>IF('Données projet'!$A$62&gt;35,AI79+AH80-AQ79,IF(A80&lt;'Données projet'!$A$62,$AF$205^A80,IF(A80='Données projet'!$A$62,'Données projet'!$B$62,AI79+AH80-AQ79)))</f>
        <v>1360.0199999999995</v>
      </c>
      <c r="AJ80" s="14">
        <f>AI80*VLOOKUP('Données projet'!$B$10,Paramètres!$A$1:$I$89,3,0)*VLOOKUP('Données projet'!$B$10,Paramètres!$A$1:$I$89,5,0)</f>
        <v>1379.0602799999995</v>
      </c>
      <c r="AK80" s="14">
        <f t="shared" si="89"/>
        <v>273.96042077703049</v>
      </c>
      <c r="AL80" s="22">
        <f t="shared" si="58"/>
        <v>2879.0110538533268</v>
      </c>
      <c r="AM80" s="62">
        <f t="shared" si="59"/>
        <v>3172.3443871866602</v>
      </c>
      <c r="AN80" s="62">
        <f ca="1">AVERAGE(OFFSET($AM$3,0,0,'Données projet'!$E$10+1,1))-AVERAGE(OFFSET($H$3,0,0,'Données projet'!$E$10+1,1))</f>
        <v>2761.1400657295467</v>
      </c>
      <c r="AO80" s="62">
        <f t="shared" si="90"/>
        <v>316.41877504316409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77.308615651967287</v>
      </c>
      <c r="AV80" s="23">
        <f>EXP(-LN(2)/25)*AV79+(1-EXP(-LN(2)/25))/(LN(2)/25)*Calculateur!AQ80*Calculateur!AS80*VLOOKUP('Données projet'!$B$10,Paramètres!$A$1:$I$89,3,0)*0.475*44/12</f>
        <v>14.083365125324825</v>
      </c>
      <c r="AW80" s="23">
        <f>EXP(-LN(2)/2)*AW79+(1-EXP(-LN(2)/2))/(LN(2)/2)*AQ80*AT80*VLOOKUP('Données projet'!$B$10,Paramètres!$A$1:$I$89,3,0)*0.475*44/12</f>
        <v>3.2907393548662007</v>
      </c>
      <c r="AX80" s="23">
        <f t="shared" si="60"/>
        <v>94.682720132158309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46.510000000000005</v>
      </c>
      <c r="BD80" s="13">
        <f>IF('Données projet'!$A$88&gt;35,BD79+BC80-BL79,IF(A80&lt;'Données projet'!$A$88,$BA$205^A80,IF(A80='Données projet'!$A$88,'Données projet'!$B$88,BD79+BC80-BL79)))</f>
        <v>1360.0199999999995</v>
      </c>
      <c r="BE80" s="14">
        <f>BD80*VLOOKUP('Données projet'!$B$11,Paramètres!$A$1:$I$89,3,0)*VLOOKUP('Données projet'!$B$11,Paramètres!$A$1:$I$89,5,0)</f>
        <v>1421.4929039999997</v>
      </c>
      <c r="BF80" s="14">
        <f t="shared" si="91"/>
        <v>281.39558440971513</v>
      </c>
      <c r="BG80" s="22">
        <f t="shared" si="61"/>
        <v>2965.864117313587</v>
      </c>
      <c r="BH80" s="62">
        <f t="shared" si="62"/>
        <v>3259.1974506469205</v>
      </c>
      <c r="BI80" s="62">
        <f ca="1">AVERAGE(OFFSET($BH$3,0,0,'Données projet'!$E$11+1,1))-AVERAGE(OFFSET($H$3,0,0,'Données projet'!$E$11+1,1))</f>
        <v>2843.5086223152098</v>
      </c>
      <c r="BJ80" s="62">
        <f t="shared" si="92"/>
        <v>324.81562437645522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79.687342287412434</v>
      </c>
      <c r="BQ80" s="23">
        <f>EXP(-LN(2)/25)*BQ79+(1-EXP(-LN(2)/25))/(LN(2)/25)*Calculateur!BL80*Calculateur!BN80*VLOOKUP('Données projet'!$B$11,Paramètres!$A$1:$I$89,3,0)*0.475*44/12</f>
        <v>14.516699436873278</v>
      </c>
      <c r="BR80" s="23">
        <f>EXP(-LN(2)/2)*BR79+(1-EXP(-LN(2)/2))/(LN(2)/2)*BL80*BO80*VLOOKUP('Données projet'!$B$11,Paramètres!$A$1:$I$89,3,0)*0.475*44/12</f>
        <v>3.391992873477466</v>
      </c>
      <c r="BS80" s="24">
        <f t="shared" si="63"/>
        <v>97.596034597763179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46.510000000000005</v>
      </c>
      <c r="BY80" s="13">
        <f>IF('Données projet'!$A$114&gt;35,BY79+BX80-CG79,IF(A80&lt;'Données projet'!$A$114,$BV$205^A80,IF(A80='Données projet'!$A$114,'Données projet'!$B$114,BY79+BX80-CG79)))</f>
        <v>1360.0199999999995</v>
      </c>
      <c r="BZ80" s="14">
        <f>BY80*VLOOKUP('Données projet'!$B$12,Paramètres!$A$1:$I$89,3,0)*VLOOKUP('Données projet'!$B$12,Paramètres!$A$1:$I$89,5,0)</f>
        <v>1357.8439679999997</v>
      </c>
      <c r="CA80" s="14">
        <f t="shared" si="93"/>
        <v>270.23289114727277</v>
      </c>
      <c r="CB80" s="22">
        <f t="shared" si="64"/>
        <v>2835.5671963481659</v>
      </c>
      <c r="CC80" s="62">
        <f t="shared" si="65"/>
        <v>3128.9005296814994</v>
      </c>
      <c r="CD80" s="62">
        <f ca="1">AVERAGE(OFFSET($CC$3,0,0,'Données projet'!$E$12+1,1))-AVERAGE(OFFSET($H$3,0,0,'Données projet'!$E$12+1,1))</f>
        <v>2719.939926994799</v>
      </c>
      <c r="CE80" s="62">
        <f t="shared" si="94"/>
        <v>312.21824046329749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76.11925233424472</v>
      </c>
      <c r="CL80" s="23">
        <f>EXP(-LN(2)/25)*CL79+(1-EXP(-LN(2)/25))/(LN(2)/25)*Calculateur!CG80*Calculateur!CI80*VLOOKUP('Données projet'!$B$12,Paramètres!$A$1:$I$89,3,0)*0.475*44/12</f>
        <v>13.866697969550595</v>
      </c>
      <c r="CM80" s="23">
        <f>EXP(-LN(2)/2)*CM79+(1-EXP(-LN(2)/2))/(LN(2)/2)*CG80*CJ80*VLOOKUP('Données projet'!$B$12,Paramètres!$A$1:$I$89,3,0)*0.475*44/12</f>
        <v>3.2401125955605661</v>
      </c>
      <c r="CN80" s="24">
        <f t="shared" si="66"/>
        <v>93.226062899355881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65.679000000000016</v>
      </c>
      <c r="CT80" s="13">
        <f>IF('Données projet'!$A$140&gt;35,CT79+CS80-DB79,IF(A80&lt;'Données projet'!$A$140,$CQ$205^A80,IF(A80='Données projet'!$A$140,'Données projet'!$B$140,CT79+CS80-DB79)))</f>
        <v>1607.853000000001</v>
      </c>
      <c r="CU80" s="18">
        <f>CT80*VLOOKUP('Données projet'!$B$13,Paramètres!$A$1:$I$89,3,0)*VLOOKUP('Données projet'!$B$13,Paramètres!$A$1:$I$89,5,0)</f>
        <v>1404.6203808000009</v>
      </c>
      <c r="CV80" s="14">
        <f t="shared" si="95"/>
        <v>278.44227079656048</v>
      </c>
      <c r="CW80" s="22">
        <f t="shared" si="67"/>
        <v>2931.3341181973442</v>
      </c>
      <c r="CX80" s="62">
        <f t="shared" si="68"/>
        <v>3224.6674515306777</v>
      </c>
      <c r="CY80" s="62">
        <f ca="1">AVERAGE(OFFSET($CX$3,0,0,'Données projet'!$E$13+1,1))-AVERAGE(OFFSET($H$3,0,0,'Données projet'!$E$13+1,1))</f>
        <v>1036.0130072090849</v>
      </c>
      <c r="CZ80" s="62">
        <f t="shared" si="96"/>
        <v>346.56593355696174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74.359830619589658</v>
      </c>
      <c r="DG80" s="23">
        <f>EXP(-LN(2)/25)*DG79+(1-EXP(-LN(2)/25))/(LN(2)/25)*Calculateur!DB80*Calculateur!DD80*VLOOKUP('Données projet'!$B$13,Paramètres!$A$1:$I$89,3,0)*0.475*44/12</f>
        <v>13.539683648265695</v>
      </c>
      <c r="DH80" s="23">
        <f>EXP(-LN(2)/2)*DH79+(1-EXP(-LN(2)/2))/(LN(2)/2)*DB80*DE80*VLOOKUP('Données projet'!$B$13,Paramètres!$A$1:$I$89,3,0)*0.475*44/12</f>
        <v>3.1467497795330428</v>
      </c>
      <c r="DI80" s="24">
        <f t="shared" si="69"/>
        <v>91.046264047388391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6.8212102632969618E-13</v>
      </c>
      <c r="DP80" s="18">
        <f>DO80*VLOOKUP('Données projet'!$B$14,Paramètres!$A$1:$I$89,3,0)*VLOOKUP('Données projet'!$B$14,Paramètres!$A$1:$I$89,5,0)</f>
        <v>3.8130565371830017E-13</v>
      </c>
      <c r="DQ80" s="14">
        <f t="shared" si="97"/>
        <v>4.9019074112354236E-12</v>
      </c>
      <c r="DR80" s="22">
        <f t="shared" si="70"/>
        <v>9.2015960881277352E-12</v>
      </c>
      <c r="DS80" s="62">
        <f t="shared" si="71"/>
        <v>293.33333333334252</v>
      </c>
      <c r="DT80" s="62">
        <f ca="1">AVERAGE(OFFSET($DS$3,0,0,'Données projet'!$E$14+1,1))-AVERAGE(OFFSET($H$3,0,0,'Données projet'!$E$14+1,1))</f>
        <v>446.48069057792151</v>
      </c>
      <c r="DU80" s="62">
        <f t="shared" si="98"/>
        <v>561.75656782935948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131.87428557866929</v>
      </c>
      <c r="EB80" s="23">
        <f>EXP(-LN(2)/25)*EB79+(1-EXP(-LN(2)/25))/(LN(2)/25)*Calculateur!DW80*Calculateur!DY80*VLOOKUP('Données projet'!$B$14,Paramètres!$A$1:$I$89,3,0)*0.475*44/12</f>
        <v>50.578991231210658</v>
      </c>
      <c r="EC80" s="23">
        <f>EXP(-LN(2)/2)*EC79+(1-EXP(-LN(2)/2))/(LN(2)/2)*DW80*DZ80*VLOOKUP('Données projet'!$B$14,Paramètres!$A$1:$I$89,3,0)*0.475*44/12</f>
        <v>0.37063767572950873</v>
      </c>
      <c r="ED80" s="24">
        <f t="shared" si="72"/>
        <v>182.82391448560946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1.7053025658242404E-13</v>
      </c>
      <c r="EK80" s="18">
        <f>EJ80*VLOOKUP('Données projet'!$B$15,Paramètres!$A$1:$I$89,3,0)*VLOOKUP('Données projet'!$B$15,Paramètres!$A$1:$I$89,5,0)</f>
        <v>1.6493686416652052E-13</v>
      </c>
      <c r="EL80" s="14">
        <f t="shared" si="99"/>
        <v>2.3376205369651282E-12</v>
      </c>
      <c r="EM80" s="22">
        <f t="shared" si="73"/>
        <v>4.3586208069709543E-12</v>
      </c>
      <c r="EN80" s="62">
        <f t="shared" si="74"/>
        <v>293.33333333333769</v>
      </c>
      <c r="EO80" s="62">
        <f ca="1">AVERAGE(OFFSET($EN$3,0,0,'Données projet'!$E$15+1,1))-AVERAGE(OFFSET($H$3,0,0,'Données projet'!$E$15+1,1))</f>
        <v>301.18531163828169</v>
      </c>
      <c r="EP80" s="62">
        <f t="shared" si="100"/>
        <v>192.30530273268101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170.30052000577879</v>
      </c>
      <c r="EW80" s="23">
        <f>EXP(-LN(2)/25)*EW79+(1-EXP(-LN(2)/25))/(LN(2)/25)*Calculateur!ER80*Calculateur!ET80*VLOOKUP('Données projet'!$B$15,Paramètres!$A$1:$I$89,3,0)*0.475*44/12</f>
        <v>14.719616218572392</v>
      </c>
      <c r="EX80" s="23">
        <f>EXP(-LN(2)/2)*EX79+(1-EXP(-LN(2)/2))/(LN(2)/2)*ER80*EU80*VLOOKUP('Données projet'!$B$15,Paramètres!$A$1:$I$89,3,0)*0.475*44/12</f>
        <v>0.17492355544052535</v>
      </c>
      <c r="EY80" s="24">
        <f t="shared" si="75"/>
        <v>185.19505977979171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1.7053025658242404E-13</v>
      </c>
      <c r="FF80" s="18">
        <f>FE80*VLOOKUP('Données projet'!$B$16,Paramètres!$A$1:$I$89,3,0)*VLOOKUP('Données projet'!$B$16,Paramètres!$A$1:$I$89,5,0)</f>
        <v>1.3301360013429075E-13</v>
      </c>
      <c r="FG80" s="14">
        <f t="shared" si="101"/>
        <v>1.9329766731057041E-12</v>
      </c>
      <c r="FH80" s="22">
        <f t="shared" si="76"/>
        <v>3.5982663925596575E-12</v>
      </c>
      <c r="FI80" s="62">
        <f t="shared" si="77"/>
        <v>293.3333333333369</v>
      </c>
      <c r="FJ80" s="62">
        <f ca="1">AVERAGE(OFFSET($FI$3,0,0,'Données projet'!$E$16+1,1))-AVERAGE(OFFSET($H$3,0,0,'Données projet'!$E$16+1,1))</f>
        <v>249.2899297828755</v>
      </c>
      <c r="FK80" s="62">
        <f t="shared" si="102"/>
        <v>162.88011837476813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137.33912903691837</v>
      </c>
      <c r="FR80" s="23">
        <f>EXP(-LN(2)/25)*FR79+(1-EXP(-LN(2)/25))/(LN(2)/25)*Calculateur!FM80*Calculateur!FO80*VLOOKUP('Données projet'!$B$16,Paramètres!$A$1:$I$89,3,0)*0.475*44/12</f>
        <v>11.870658240784183</v>
      </c>
      <c r="FS80" s="23">
        <f>EXP(-LN(2)/2)*FS79+(1-EXP(-LN(2)/2))/(LN(2)/2)*FM80*FP80*VLOOKUP('Données projet'!$B$16,Paramètres!$A$1:$I$89,3,0)*0.475*44/12</f>
        <v>0.14106738341977837</v>
      </c>
      <c r="FT80" s="24">
        <f t="shared" si="78"/>
        <v>149.35085466112233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1.7053025658242404E-13</v>
      </c>
      <c r="GA80" s="18">
        <f>FZ80*VLOOKUP('Données projet'!$B$17,Paramètres!$A$1:$I$89,3,0)*VLOOKUP('Données projet'!$B$17,Paramètres!$A$1:$I$89,5,0)</f>
        <v>1.1439169611549005E-13</v>
      </c>
      <c r="GB80" s="14">
        <f t="shared" si="103"/>
        <v>1.6918016515029816E-12</v>
      </c>
      <c r="GC80" s="22">
        <f t="shared" si="79"/>
        <v>3.1457867471021712E-12</v>
      </c>
      <c r="GD80" s="62">
        <f t="shared" si="80"/>
        <v>293.33333333333644</v>
      </c>
      <c r="GE80" s="62">
        <f ca="1">AVERAGE(OFFSET($GD$3,0,0,'Données projet'!$E$17+1,1))-AVERAGE(OFFSET($H$3,0,0,'Données projet'!$E$17+1,1))</f>
        <v>218.89895999738746</v>
      </c>
      <c r="GF80" s="62">
        <f t="shared" si="104"/>
        <v>145.64042897395763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145.57947677913344</v>
      </c>
      <c r="GM80" s="23">
        <f>EXP(-LN(2)/25)*GM79+(1-EXP(-LN(2)/25))/(LN(2)/25)*Calculateur!GH80*Calculateur!GJ80*VLOOKUP('Données projet'!$B$17,Paramètres!$A$1:$I$89,3,0)*0.475*44/12</f>
        <v>12.582897735231235</v>
      </c>
      <c r="GN80" s="23">
        <f>EXP(-LN(2)/2)*GN79+(1-EXP(-LN(2)/2))/(LN(2)/2)*GH80*GK80*VLOOKUP('Données projet'!$B$17,Paramètres!$A$1:$I$89,3,0)*0.475*44/12</f>
        <v>0.12131794974100953</v>
      </c>
      <c r="GO80" s="23">
        <f t="shared" si="81"/>
        <v>158.28369246410568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1.7053025658242404E-13</v>
      </c>
      <c r="GV80" s="18">
        <f>GU80*VLOOKUP('Données projet'!$B$18,Paramètres!$A$1:$I$89,3,0)*VLOOKUP('Données projet'!$B$18,Paramètres!$A$1:$I$89,5,0)</f>
        <v>1.8355876818532125E-13</v>
      </c>
      <c r="GW80" s="14">
        <f t="shared" si="105"/>
        <v>2.5693529898865504E-12</v>
      </c>
      <c r="GX80" s="22">
        <f t="shared" si="82"/>
        <v>4.7946546453085093E-12</v>
      </c>
      <c r="GY80" s="62">
        <f t="shared" si="83"/>
        <v>293.33333333333809</v>
      </c>
      <c r="GZ80" s="62">
        <f ca="1">AVERAGE(OFFSET($GY$3,0,0,'Données projet'!$E$18+1,1))-AVERAGE(OFFSET($H$3,0,0,'Données projet'!$E$18+1,1))</f>
        <v>331.3579800635751</v>
      </c>
      <c r="HA80" s="62">
        <f t="shared" si="106"/>
        <v>209.40702003535273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189.52799807094729</v>
      </c>
      <c r="HH80" s="23">
        <f>EXP(-LN(2)/25)*HH79+(1-EXP(-LN(2)/25))/(LN(2)/25)*Calculateur!HC80*Calculateur!HE80*VLOOKUP('Données projet'!$B$18,Paramètres!$A$1:$I$89,3,0)*0.475*44/12</f>
        <v>16.381508372282177</v>
      </c>
      <c r="HI80" s="23">
        <f>EXP(-LN(2)/2)*HI79+(1-EXP(-LN(2)/2))/(LN(2)/2)*HC80*HF80*VLOOKUP('Données projet'!$B$18,Paramètres!$A$1:$I$89,3,0)*0.475*44/12</f>
        <v>0.1946729891192942</v>
      </c>
      <c r="HJ80" s="24">
        <f t="shared" si="84"/>
        <v>206.10417943234876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46.510000000000005</v>
      </c>
      <c r="N81" s="14">
        <f>IF('Données projet'!$A$36&gt;35,N80+M81-V80,IF(A81&lt;'Données projet'!$A$36,$K$205^A81,IF(A81='Données projet'!$A$36,'Données projet'!$B$36,N80+M81-V80)))</f>
        <v>1406.5299999999995</v>
      </c>
      <c r="O81" s="14">
        <f>N81*VLOOKUP('Données projet'!$B$9,Paramètres!$A$1:$I$89,3,0)*VLOOKUP('Données projet'!$B$9,Paramètres!$A$1:$I$89,5,0)</f>
        <v>1272.6283439999995</v>
      </c>
      <c r="P81" s="14">
        <f t="shared" si="87"/>
        <v>255.19160962036898</v>
      </c>
      <c r="Q81" s="22">
        <f t="shared" si="54"/>
        <v>2660.9530858888083</v>
      </c>
      <c r="R81" s="62">
        <f t="shared" si="55"/>
        <v>2954.2864192221418</v>
      </c>
      <c r="S81" s="62">
        <f ca="1">AVERAGE(OFFSET($R$3,0,0,'Données projet'!$E$9+1,1))-AVERAGE(OFFSET($H$3,0,0,'Données projet'!$E$9+1,1))</f>
        <v>2472.5049373954762</v>
      </c>
      <c r="T81" s="62">
        <f t="shared" si="88"/>
        <v>286.98388307318311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67.630356453117543</v>
      </c>
      <c r="AA81" s="23">
        <f>EXP(-LN(2)/25)*AA80+(1-EXP(-LN(2)/25))/(LN(2)/25)*Calculateur!V81*Calculateur!X81*VLOOKUP('Données projet'!$B$9,Paramètres!$A$1:$I$89,3,0)*0.475*44/12</f>
        <v>12.223058098321973</v>
      </c>
      <c r="AB81" s="23">
        <f>EXP(-LN(2)/2)*AB80+(1-EXP(-LN(2)/2))/(LN(2)/2)*V81*Y81*VLOOKUP('Données projet'!$B$9,Paramètres!$A$1:$I$89,3,0)*0.475*44/12</f>
        <v>2.0763144392417447</v>
      </c>
      <c r="AC81" s="24">
        <f t="shared" si="57"/>
        <v>81.929728990681255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46.510000000000005</v>
      </c>
      <c r="AI81" s="14">
        <f>IF('Données projet'!$A$62&gt;35,AI80+AH81-AQ80,IF(A81&lt;'Données projet'!$A$62,$AF$205^A81,IF(A81='Données projet'!$A$62,'Données projet'!$B$62,AI80+AH81-AQ80)))</f>
        <v>1406.5299999999995</v>
      </c>
      <c r="AJ81" s="14">
        <f>AI81*VLOOKUP('Données projet'!$B$10,Paramètres!$A$1:$I$89,3,0)*VLOOKUP('Données projet'!$B$10,Paramètres!$A$1:$I$89,5,0)</f>
        <v>1426.2214199999996</v>
      </c>
      <c r="AK81" s="14">
        <f t="shared" si="89"/>
        <v>282.22251521183387</v>
      </c>
      <c r="AL81" s="22">
        <f t="shared" si="58"/>
        <v>2975.5398538272761</v>
      </c>
      <c r="AM81" s="62">
        <f t="shared" si="59"/>
        <v>3268.8731871606096</v>
      </c>
      <c r="AN81" s="62">
        <f ca="1">AVERAGE(OFFSET($AM$3,0,0,'Données projet'!$E$10+1,1))-AVERAGE(OFFSET($H$3,0,0,'Données projet'!$E$10+1,1))</f>
        <v>2761.1400657295467</v>
      </c>
      <c r="AO81" s="62">
        <f t="shared" si="90"/>
        <v>316.41877504316409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75.79264085263172</v>
      </c>
      <c r="AV81" s="23">
        <f>EXP(-LN(2)/25)*AV80+(1-EXP(-LN(2)/25))/(LN(2)/25)*Calculateur!AQ81*Calculateur!AS81*VLOOKUP('Données projet'!$B$10,Paramètres!$A$1:$I$89,3,0)*0.475*44/12</f>
        <v>13.698254765360833</v>
      </c>
      <c r="AW81" s="23">
        <f>EXP(-LN(2)/2)*AW80+(1-EXP(-LN(2)/2))/(LN(2)/2)*AQ81*AT81*VLOOKUP('Données projet'!$B$10,Paramètres!$A$1:$I$89,3,0)*0.475*44/12</f>
        <v>2.3269041129433354</v>
      </c>
      <c r="AX81" s="23">
        <f t="shared" si="60"/>
        <v>91.817799730935889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46.510000000000005</v>
      </c>
      <c r="BD81" s="13">
        <f>IF('Données projet'!$A$88&gt;35,BD80+BC81-BL80,IF(A81&lt;'Données projet'!$A$88,$BA$205^A81,IF(A81='Données projet'!$A$88,'Données projet'!$B$88,BD80+BC81-BL80)))</f>
        <v>1406.5299999999995</v>
      </c>
      <c r="BE81" s="14">
        <f>BD81*VLOOKUP('Données projet'!$B$11,Paramètres!$A$1:$I$89,3,0)*VLOOKUP('Données projet'!$B$11,Paramètres!$A$1:$I$89,5,0)</f>
        <v>1470.1051559999996</v>
      </c>
      <c r="BF81" s="14">
        <f t="shared" si="91"/>
        <v>289.88190840255885</v>
      </c>
      <c r="BG81" s="22">
        <f t="shared" si="61"/>
        <v>3065.3108038344562</v>
      </c>
      <c r="BH81" s="62">
        <f t="shared" si="62"/>
        <v>3358.6441371677897</v>
      </c>
      <c r="BI81" s="62">
        <f ca="1">AVERAGE(OFFSET($BH$3,0,0,'Données projet'!$E$11+1,1))-AVERAGE(OFFSET($H$3,0,0,'Données projet'!$E$11+1,1))</f>
        <v>2843.5086223152098</v>
      </c>
      <c r="BJ81" s="62">
        <f t="shared" si="92"/>
        <v>324.81562437645522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78.124722109635783</v>
      </c>
      <c r="BQ81" s="23">
        <f>EXP(-LN(2)/25)*BQ80+(1-EXP(-LN(2)/25))/(LN(2)/25)*Calculateur!BL81*Calculateur!BN81*VLOOKUP('Données projet'!$B$11,Paramètres!$A$1:$I$89,3,0)*0.475*44/12</f>
        <v>14.119739527371934</v>
      </c>
      <c r="BR81" s="23">
        <f>EXP(-LN(2)/2)*BR80+(1-EXP(-LN(2)/2))/(LN(2)/2)*BL81*BO81*VLOOKUP('Données projet'!$B$11,Paramètres!$A$1:$I$89,3,0)*0.475*44/12</f>
        <v>2.3985011625723591</v>
      </c>
      <c r="BS81" s="24">
        <f t="shared" si="63"/>
        <v>94.642962799580076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46.510000000000005</v>
      </c>
      <c r="BY81" s="13">
        <f>IF('Données projet'!$A$114&gt;35,BY80+BX81-CG80,IF(A81&lt;'Données projet'!$A$114,$BV$205^A81,IF(A81='Données projet'!$A$114,'Données projet'!$B$114,BY80+BX81-CG80)))</f>
        <v>1406.5299999999995</v>
      </c>
      <c r="BZ81" s="14">
        <f>BY81*VLOOKUP('Données projet'!$B$12,Paramètres!$A$1:$I$89,3,0)*VLOOKUP('Données projet'!$B$12,Paramètres!$A$1:$I$89,5,0)</f>
        <v>1404.2795519999995</v>
      </c>
      <c r="CA81" s="14">
        <f t="shared" si="93"/>
        <v>278.38257079704147</v>
      </c>
      <c r="CB81" s="22">
        <f t="shared" si="64"/>
        <v>2930.6365305381792</v>
      </c>
      <c r="CC81" s="62">
        <f t="shared" si="65"/>
        <v>3223.9698638715126</v>
      </c>
      <c r="CD81" s="62">
        <f ca="1">AVERAGE(OFFSET($CC$3,0,0,'Données projet'!$E$12+1,1))-AVERAGE(OFFSET($H$3,0,0,'Données projet'!$E$12+1,1))</f>
        <v>2719.939926994799</v>
      </c>
      <c r="CE81" s="62">
        <f t="shared" si="94"/>
        <v>312.21824046329749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74.626600224129703</v>
      </c>
      <c r="CL81" s="23">
        <f>EXP(-LN(2)/25)*CL80+(1-EXP(-LN(2)/25))/(LN(2)/25)*Calculateur!CG81*Calculateur!CI81*VLOOKUP('Données projet'!$B$12,Paramètres!$A$1:$I$89,3,0)*0.475*44/12</f>
        <v>13.487512384355281</v>
      </c>
      <c r="CM81" s="23">
        <f>EXP(-LN(2)/2)*CM80+(1-EXP(-LN(2)/2))/(LN(2)/2)*CG81*CJ81*VLOOKUP('Données projet'!$B$12,Paramètres!$A$1:$I$89,3,0)*0.475*44/12</f>
        <v>2.291105588128822</v>
      </c>
      <c r="CN81" s="24">
        <f t="shared" si="66"/>
        <v>90.405218196613816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65.679000000000016</v>
      </c>
      <c r="CT81" s="13">
        <f>IF('Données projet'!$A$140&gt;35,CT80+CS81-DB80,IF(A81&lt;'Données projet'!$A$140,$CQ$205^A81,IF(A81='Données projet'!$A$140,'Données projet'!$B$140,CT80+CS81-DB80)))</f>
        <v>1673.5320000000011</v>
      </c>
      <c r="CU81" s="18">
        <f>CT81*VLOOKUP('Données projet'!$B$13,Paramètres!$A$1:$I$89,3,0)*VLOOKUP('Données projet'!$B$13,Paramètres!$A$1:$I$89,5,0)</f>
        <v>1461.997555200001</v>
      </c>
      <c r="CV81" s="14">
        <f t="shared" si="95"/>
        <v>288.46884894587743</v>
      </c>
      <c r="CW81" s="22">
        <f t="shared" si="67"/>
        <v>3048.728987220738</v>
      </c>
      <c r="CX81" s="62">
        <f t="shared" si="68"/>
        <v>3342.0623205540714</v>
      </c>
      <c r="CY81" s="62">
        <f ca="1">AVERAGE(OFFSET($CX$3,0,0,'Données projet'!$E$13+1,1))-AVERAGE(OFFSET($H$3,0,0,'Données projet'!$E$13+1,1))</f>
        <v>1036.0130072090849</v>
      </c>
      <c r="CZ81" s="62">
        <f t="shared" si="96"/>
        <v>346.56593355696174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72.901679696157743</v>
      </c>
      <c r="DG81" s="23">
        <f>EXP(-LN(2)/25)*DG80+(1-EXP(-LN(2)/25))/(LN(2)/25)*Calculateur!DB81*Calculateur!DD81*VLOOKUP('Données projet'!$B$13,Paramètres!$A$1:$I$89,3,0)*0.475*44/12</f>
        <v>13.169440286882852</v>
      </c>
      <c r="DH81" s="23">
        <f>EXP(-LN(2)/2)*DH80+(1-EXP(-LN(2)/2))/(LN(2)/2)*DB81*DE81*VLOOKUP('Données projet'!$B$13,Paramètres!$A$1:$I$89,3,0)*0.475*44/12</f>
        <v>2.2250881078050879</v>
      </c>
      <c r="DI81" s="24">
        <f t="shared" si="69"/>
        <v>88.296208090845681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6.8212102632969618E-13</v>
      </c>
      <c r="DP81" s="18">
        <f>DO81*VLOOKUP('Données projet'!$B$14,Paramètres!$A$1:$I$89,3,0)*VLOOKUP('Données projet'!$B$14,Paramètres!$A$1:$I$89,5,0)</f>
        <v>3.8130565371830017E-13</v>
      </c>
      <c r="DQ81" s="14">
        <f t="shared" si="97"/>
        <v>4.9019074112354236E-12</v>
      </c>
      <c r="DR81" s="22">
        <f t="shared" si="70"/>
        <v>9.2015960881277352E-12</v>
      </c>
      <c r="DS81" s="62">
        <f t="shared" si="71"/>
        <v>293.33333333334252</v>
      </c>
      <c r="DT81" s="62">
        <f ca="1">AVERAGE(OFFSET($DS$3,0,0,'Données projet'!$E$14+1,1))-AVERAGE(OFFSET($H$3,0,0,'Données projet'!$E$14+1,1))</f>
        <v>446.48069057792151</v>
      </c>
      <c r="DU81" s="62">
        <f t="shared" si="98"/>
        <v>561.75656782935948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129.28831127384345</v>
      </c>
      <c r="EB81" s="23">
        <f>EXP(-LN(2)/25)*EB80+(1-EXP(-LN(2)/25))/(LN(2)/25)*Calculateur!DW81*Calculateur!DY81*VLOOKUP('Données projet'!$B$14,Paramètres!$A$1:$I$89,3,0)*0.475*44/12</f>
        <v>49.19590605615965</v>
      </c>
      <c r="EC81" s="23">
        <f>EXP(-LN(2)/2)*EC80+(1-EXP(-LN(2)/2))/(LN(2)/2)*DW81*DZ81*VLOOKUP('Données projet'!$B$14,Paramètres!$A$1:$I$89,3,0)*0.475*44/12</f>
        <v>0.26208041387155628</v>
      </c>
      <c r="ED81" s="24">
        <f t="shared" si="72"/>
        <v>178.74629774387466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1.7053025658242404E-13</v>
      </c>
      <c r="EK81" s="18">
        <f>EJ81*VLOOKUP('Données projet'!$B$15,Paramètres!$A$1:$I$89,3,0)*VLOOKUP('Données projet'!$B$15,Paramètres!$A$1:$I$89,5,0)</f>
        <v>1.6493686416652052E-13</v>
      </c>
      <c r="EL81" s="14">
        <f t="shared" si="99"/>
        <v>2.3376205369651282E-12</v>
      </c>
      <c r="EM81" s="22">
        <f t="shared" si="73"/>
        <v>4.3586208069709543E-12</v>
      </c>
      <c r="EN81" s="62">
        <f t="shared" si="74"/>
        <v>293.33333333333769</v>
      </c>
      <c r="EO81" s="62">
        <f ca="1">AVERAGE(OFFSET($EN$3,0,0,'Données projet'!$E$15+1,1))-AVERAGE(OFFSET($H$3,0,0,'Données projet'!$E$15+1,1))</f>
        <v>301.18531163828169</v>
      </c>
      <c r="EP81" s="62">
        <f t="shared" si="100"/>
        <v>192.30530273268101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166.96103068152607</v>
      </c>
      <c r="EW81" s="23">
        <f>EXP(-LN(2)/25)*EW80+(1-EXP(-LN(2)/25))/(LN(2)/25)*Calculateur!ER81*Calculateur!ET81*VLOOKUP('Données projet'!$B$15,Paramètres!$A$1:$I$89,3,0)*0.475*44/12</f>
        <v>14.317107539004555</v>
      </c>
      <c r="EX81" s="23">
        <f>EXP(-LN(2)/2)*EX80+(1-EXP(-LN(2)/2))/(LN(2)/2)*ER81*EU81*VLOOKUP('Données projet'!$B$15,Paramètres!$A$1:$I$89,3,0)*0.475*44/12</f>
        <v>0.12368963224125648</v>
      </c>
      <c r="EY81" s="24">
        <f t="shared" si="75"/>
        <v>181.40182785277187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1.7053025658242404E-13</v>
      </c>
      <c r="FF81" s="18">
        <f>FE81*VLOOKUP('Données projet'!$B$16,Paramètres!$A$1:$I$89,3,0)*VLOOKUP('Données projet'!$B$16,Paramètres!$A$1:$I$89,5,0)</f>
        <v>1.3301360013429075E-13</v>
      </c>
      <c r="FG81" s="14">
        <f t="shared" si="101"/>
        <v>1.9329766731057041E-12</v>
      </c>
      <c r="FH81" s="22">
        <f t="shared" si="76"/>
        <v>3.5982663925596575E-12</v>
      </c>
      <c r="FI81" s="62">
        <f t="shared" si="77"/>
        <v>293.3333333333369</v>
      </c>
      <c r="FJ81" s="62">
        <f ca="1">AVERAGE(OFFSET($FI$3,0,0,'Données projet'!$E$16+1,1))-AVERAGE(OFFSET($H$3,0,0,'Données projet'!$E$16+1,1))</f>
        <v>249.2899297828755</v>
      </c>
      <c r="FK81" s="62">
        <f t="shared" si="102"/>
        <v>162.88011837476813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134.64599248510166</v>
      </c>
      <c r="FR81" s="23">
        <f>EXP(-LN(2)/25)*FR80+(1-EXP(-LN(2)/25))/(LN(2)/25)*Calculateur!FM81*Calculateur!FO81*VLOOKUP('Données projet'!$B$16,Paramètres!$A$1:$I$89,3,0)*0.475*44/12</f>
        <v>11.546054466939152</v>
      </c>
      <c r="FS81" s="23">
        <f>EXP(-LN(2)/2)*FS80+(1-EXP(-LN(2)/2))/(LN(2)/2)*FM81*FP81*VLOOKUP('Données projet'!$B$16,Paramètres!$A$1:$I$89,3,0)*0.475*44/12</f>
        <v>9.9749703420368027E-2</v>
      </c>
      <c r="FT81" s="24">
        <f t="shared" si="78"/>
        <v>146.29179665546118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1.7053025658242404E-13</v>
      </c>
      <c r="GA81" s="18">
        <f>FZ81*VLOOKUP('Données projet'!$B$17,Paramètres!$A$1:$I$89,3,0)*VLOOKUP('Données projet'!$B$17,Paramètres!$A$1:$I$89,5,0)</f>
        <v>1.1439169611549005E-13</v>
      </c>
      <c r="GB81" s="14">
        <f t="shared" si="103"/>
        <v>1.6918016515029816E-12</v>
      </c>
      <c r="GC81" s="22">
        <f t="shared" si="79"/>
        <v>3.1457867471021712E-12</v>
      </c>
      <c r="GD81" s="62">
        <f t="shared" si="80"/>
        <v>293.33333333333644</v>
      </c>
      <c r="GE81" s="62">
        <f ca="1">AVERAGE(OFFSET($GD$3,0,0,'Données projet'!$E$17+1,1))-AVERAGE(OFFSET($H$3,0,0,'Données projet'!$E$17+1,1))</f>
        <v>218.89895999738746</v>
      </c>
      <c r="GF81" s="62">
        <f t="shared" si="104"/>
        <v>145.64042897395763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142.72475203420771</v>
      </c>
      <c r="GM81" s="23">
        <f>EXP(-LN(2)/25)*GM80+(1-EXP(-LN(2)/25))/(LN(2)/25)*Calculateur!GH81*Calculateur!GJ81*VLOOKUP('Données projet'!$B$17,Paramètres!$A$1:$I$89,3,0)*0.475*44/12</f>
        <v>12.238817734955504</v>
      </c>
      <c r="GN81" s="23">
        <f>EXP(-LN(2)/2)*GN80+(1-EXP(-LN(2)/2))/(LN(2)/2)*GH81*GK81*VLOOKUP('Données projet'!$B$17,Paramètres!$A$1:$I$89,3,0)*0.475*44/12</f>
        <v>8.5784744941516597E-2</v>
      </c>
      <c r="GO81" s="23">
        <f t="shared" si="81"/>
        <v>155.04935451410472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1.7053025658242404E-13</v>
      </c>
      <c r="GV81" s="18">
        <f>GU81*VLOOKUP('Données projet'!$B$18,Paramètres!$A$1:$I$89,3,0)*VLOOKUP('Données projet'!$B$18,Paramètres!$A$1:$I$89,5,0)</f>
        <v>1.8355876818532125E-13</v>
      </c>
      <c r="GW81" s="14">
        <f t="shared" si="105"/>
        <v>2.5693529898865504E-12</v>
      </c>
      <c r="GX81" s="22">
        <f t="shared" si="82"/>
        <v>4.7946546453085093E-12</v>
      </c>
      <c r="GY81" s="62">
        <f t="shared" si="83"/>
        <v>293.33333333333809</v>
      </c>
      <c r="GZ81" s="62">
        <f ca="1">AVERAGE(OFFSET($GY$3,0,0,'Données projet'!$E$18+1,1))-AVERAGE(OFFSET($H$3,0,0,'Données projet'!$E$18+1,1))</f>
        <v>331.3579800635751</v>
      </c>
      <c r="HA81" s="62">
        <f t="shared" si="106"/>
        <v>209.40702003535273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185.81146962944021</v>
      </c>
      <c r="HH81" s="23">
        <f>EXP(-LN(2)/25)*HH80+(1-EXP(-LN(2)/25))/(LN(2)/25)*Calculateur!HC81*Calculateur!HE81*VLOOKUP('Données projet'!$B$18,Paramètres!$A$1:$I$89,3,0)*0.475*44/12</f>
        <v>15.933555164376036</v>
      </c>
      <c r="HI81" s="23">
        <f>EXP(-LN(2)/2)*HI80+(1-EXP(-LN(2)/2))/(LN(2)/2)*HC81*HF81*VLOOKUP('Données projet'!$B$18,Paramètres!$A$1:$I$89,3,0)*0.475*44/12</f>
        <v>0.13765459072010791</v>
      </c>
      <c r="HJ81" s="24">
        <f t="shared" si="84"/>
        <v>201.88267938453635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46.510000000000005</v>
      </c>
      <c r="N82" s="14">
        <f>IF('Données projet'!$A$36&gt;35,N81+M82-V81,IF(A82&lt;'Données projet'!$A$36,$K$205^A82,IF(A82='Données projet'!$A$36,'Données projet'!$B$36,N81+M82-V81)))</f>
        <v>1453.0399999999995</v>
      </c>
      <c r="O82" s="14">
        <f>N82*VLOOKUP('Données projet'!$B$9,Paramètres!$A$1:$I$89,3,0)*VLOOKUP('Données projet'!$B$9,Paramètres!$A$1:$I$89,5,0)</f>
        <v>1314.7105919999995</v>
      </c>
      <c r="P82" s="14">
        <f t="shared" si="87"/>
        <v>262.63366601219928</v>
      </c>
      <c r="Q82" s="22">
        <f t="shared" si="54"/>
        <v>2747.2079160379126</v>
      </c>
      <c r="R82" s="62">
        <f t="shared" si="55"/>
        <v>3040.5412493712461</v>
      </c>
      <c r="S82" s="62">
        <f ca="1">AVERAGE(OFFSET($R$3,0,0,'Données projet'!$E$9+1,1))-AVERAGE(OFFSET($H$3,0,0,'Données projet'!$E$9+1,1))</f>
        <v>2472.5049373954762</v>
      </c>
      <c r="T82" s="62">
        <f t="shared" si="88"/>
        <v>286.98388307318311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66.304166413516199</v>
      </c>
      <c r="AA82" s="23">
        <f>EXP(-LN(2)/25)*AA81+(1-EXP(-LN(2)/25))/(LN(2)/25)*Calculateur!V82*Calculateur!X82*VLOOKUP('Données projet'!$B$9,Paramètres!$A$1:$I$89,3,0)*0.475*44/12</f>
        <v>11.88881793184067</v>
      </c>
      <c r="AB82" s="23">
        <f>EXP(-LN(2)/2)*AB81+(1-EXP(-LN(2)/2))/(LN(2)/2)*V82*Y82*VLOOKUP('Données projet'!$B$9,Paramètres!$A$1:$I$89,3,0)*0.475*44/12</f>
        <v>1.4681760198633815</v>
      </c>
      <c r="AC82" s="24">
        <f t="shared" si="57"/>
        <v>79.661160365220255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46.510000000000005</v>
      </c>
      <c r="AI82" s="14">
        <f>IF('Données projet'!$A$62&gt;35,AI81+AH82-AQ81,IF(A82&lt;'Données projet'!$A$62,$AF$205^A82,IF(A82='Données projet'!$A$62,'Données projet'!$B$62,AI81+AH82-AQ81)))</f>
        <v>1453.0399999999995</v>
      </c>
      <c r="AJ82" s="14">
        <f>AI82*VLOOKUP('Données projet'!$B$10,Paramètres!$A$1:$I$89,3,0)*VLOOKUP('Données projet'!$B$10,Paramètres!$A$1:$I$89,5,0)</f>
        <v>1473.3825599999996</v>
      </c>
      <c r="AK82" s="14">
        <f t="shared" si="89"/>
        <v>290.45286367969715</v>
      </c>
      <c r="AL82" s="22">
        <f t="shared" si="58"/>
        <v>3072.013362908805</v>
      </c>
      <c r="AM82" s="62">
        <f t="shared" si="59"/>
        <v>3365.3466962421385</v>
      </c>
      <c r="AN82" s="62">
        <f ca="1">AVERAGE(OFFSET($AM$3,0,0,'Données projet'!$E$10+1,1))-AVERAGE(OFFSET($H$3,0,0,'Données projet'!$E$10+1,1))</f>
        <v>2761.1400657295467</v>
      </c>
      <c r="AO82" s="62">
        <f t="shared" si="90"/>
        <v>316.41877504316409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74.3063933944578</v>
      </c>
      <c r="AV82" s="23">
        <f>EXP(-LN(2)/25)*AV81+(1-EXP(-LN(2)/25))/(LN(2)/25)*Calculateur!AQ82*Calculateur!AS82*VLOOKUP('Données projet'!$B$10,Paramètres!$A$1:$I$89,3,0)*0.475*44/12</f>
        <v>13.32367526844213</v>
      </c>
      <c r="AW82" s="23">
        <f>EXP(-LN(2)/2)*AW81+(1-EXP(-LN(2)/2))/(LN(2)/2)*AQ82*AT82*VLOOKUP('Données projet'!$B$10,Paramètres!$A$1:$I$89,3,0)*0.475*44/12</f>
        <v>1.6453696774331006</v>
      </c>
      <c r="AX82" s="23">
        <f t="shared" si="60"/>
        <v>89.275438340333025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46.510000000000005</v>
      </c>
      <c r="BD82" s="13">
        <f>IF('Données projet'!$A$88&gt;35,BD81+BC82-BL81,IF(A82&lt;'Données projet'!$A$88,$BA$205^A82,IF(A82='Données projet'!$A$88,'Données projet'!$B$88,BD81+BC82-BL81)))</f>
        <v>1453.0399999999995</v>
      </c>
      <c r="BE82" s="14">
        <f>BD82*VLOOKUP('Données projet'!$B$11,Paramètres!$A$1:$I$89,3,0)*VLOOKUP('Données projet'!$B$11,Paramètres!$A$1:$I$89,5,0)</f>
        <v>1518.7174079999998</v>
      </c>
      <c r="BF82" s="14">
        <f t="shared" si="91"/>
        <v>298.3356248570791</v>
      </c>
      <c r="BG82" s="22">
        <f t="shared" si="61"/>
        <v>3164.700698892746</v>
      </c>
      <c r="BH82" s="62">
        <f t="shared" si="62"/>
        <v>3458.0340322260795</v>
      </c>
      <c r="BI82" s="62">
        <f ca="1">AVERAGE(OFFSET($BH$3,0,0,'Données projet'!$E$11+1,1))-AVERAGE(OFFSET($H$3,0,0,'Données projet'!$E$11+1,1))</f>
        <v>2843.5086223152098</v>
      </c>
      <c r="BJ82" s="62">
        <f t="shared" si="92"/>
        <v>324.81562437645522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76.592743960441126</v>
      </c>
      <c r="BQ82" s="23">
        <f>EXP(-LN(2)/25)*BQ81+(1-EXP(-LN(2)/25))/(LN(2)/25)*Calculateur!BL82*Calculateur!BN82*VLOOKUP('Données projet'!$B$11,Paramètres!$A$1:$I$89,3,0)*0.475*44/12</f>
        <v>13.733634507471118</v>
      </c>
      <c r="BR82" s="23">
        <f>EXP(-LN(2)/2)*BR81+(1-EXP(-LN(2)/2))/(LN(2)/2)*BL82*BO82*VLOOKUP('Données projet'!$B$11,Paramètres!$A$1:$I$89,3,0)*0.475*44/12</f>
        <v>1.695996436738733</v>
      </c>
      <c r="BS82" s="24">
        <f t="shared" si="63"/>
        <v>92.022374904650988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46.510000000000005</v>
      </c>
      <c r="BY82" s="13">
        <f>IF('Données projet'!$A$114&gt;35,BY81+BX82-CG81,IF(A82&lt;'Données projet'!$A$114,$BV$205^A82,IF(A82='Données projet'!$A$114,'Données projet'!$B$114,BY81+BX82-CG81)))</f>
        <v>1453.0399999999995</v>
      </c>
      <c r="BZ82" s="14">
        <f>BY82*VLOOKUP('Données projet'!$B$12,Paramètres!$A$1:$I$89,3,0)*VLOOKUP('Données projet'!$B$12,Paramètres!$A$1:$I$89,5,0)</f>
        <v>1450.7151359999996</v>
      </c>
      <c r="CA82" s="14">
        <f t="shared" si="93"/>
        <v>286.50093641829466</v>
      </c>
      <c r="CB82" s="22">
        <f t="shared" si="64"/>
        <v>3025.651326128529</v>
      </c>
      <c r="CC82" s="62">
        <f t="shared" si="65"/>
        <v>3318.9846594618625</v>
      </c>
      <c r="CD82" s="62">
        <f ca="1">AVERAGE(OFFSET($CC$3,0,0,'Données projet'!$E$12+1,1))-AVERAGE(OFFSET($H$3,0,0,'Données projet'!$E$12+1,1))</f>
        <v>2719.939926994799</v>
      </c>
      <c r="CE82" s="62">
        <f t="shared" si="94"/>
        <v>312.21824046329749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73.163218111466151</v>
      </c>
      <c r="CL82" s="23">
        <f>EXP(-LN(2)/25)*CL81+(1-EXP(-LN(2)/25))/(LN(2)/25)*Calculateur!CG82*Calculateur!CI82*VLOOKUP('Données projet'!$B$12,Paramètres!$A$1:$I$89,3,0)*0.475*44/12</f>
        <v>13.118695648927636</v>
      </c>
      <c r="CM82" s="23">
        <f>EXP(-LN(2)/2)*CM81+(1-EXP(-LN(2)/2))/(LN(2)/2)*CG82*CJ82*VLOOKUP('Données projet'!$B$12,Paramètres!$A$1:$I$89,3,0)*0.475*44/12</f>
        <v>1.6200562977802833</v>
      </c>
      <c r="CN82" s="24">
        <f t="shared" si="66"/>
        <v>87.901970058174072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65.679000000000016</v>
      </c>
      <c r="CT82" s="13">
        <f>IF('Données projet'!$A$140&gt;35,CT81+CS82-DB81,IF(A82&lt;'Données projet'!$A$140,$CQ$205^A82,IF(A82='Données projet'!$A$140,'Données projet'!$B$140,CT81+CS82-DB81)))</f>
        <v>1739.2110000000011</v>
      </c>
      <c r="CU82" s="18">
        <f>CT82*VLOOKUP('Données projet'!$B$13,Paramètres!$A$1:$I$89,3,0)*VLOOKUP('Données projet'!$B$13,Paramètres!$A$1:$I$89,5,0)</f>
        <v>1519.374729600001</v>
      </c>
      <c r="CV82" s="14">
        <f t="shared" si="95"/>
        <v>298.44971570772987</v>
      </c>
      <c r="CW82" s="22">
        <f t="shared" si="67"/>
        <v>3166.0442422442975</v>
      </c>
      <c r="CX82" s="62">
        <f t="shared" si="68"/>
        <v>3459.377575577631</v>
      </c>
      <c r="CY82" s="62">
        <f ca="1">AVERAGE(OFFSET($CX$3,0,0,'Données projet'!$E$13+1,1))-AVERAGE(OFFSET($H$3,0,0,'Données projet'!$E$13+1,1))</f>
        <v>1036.0130072090849</v>
      </c>
      <c r="CZ82" s="62">
        <f t="shared" si="96"/>
        <v>346.56593355696174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71.472122222950091</v>
      </c>
      <c r="DG82" s="23">
        <f>EXP(-LN(2)/25)*DG81+(1-EXP(-LN(2)/25))/(LN(2)/25)*Calculateur!DB82*Calculateur!DD82*VLOOKUP('Données projet'!$B$13,Paramètres!$A$1:$I$89,3,0)*0.475*44/12</f>
        <v>12.809321249687274</v>
      </c>
      <c r="DH82" s="23">
        <f>EXP(-LN(2)/2)*DH81+(1-EXP(-LN(2)/2))/(LN(2)/2)*DB82*DE82*VLOOKUP('Données projet'!$B$13,Paramètres!$A$1:$I$89,3,0)*0.475*44/12</f>
        <v>1.5733748897665214</v>
      </c>
      <c r="DI82" s="24">
        <f t="shared" si="69"/>
        <v>85.85481836240389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6.8212102632969618E-13</v>
      </c>
      <c r="DP82" s="18">
        <f>DO82*VLOOKUP('Données projet'!$B$14,Paramètres!$A$1:$I$89,3,0)*VLOOKUP('Données projet'!$B$14,Paramètres!$A$1:$I$89,5,0)</f>
        <v>3.8130565371830017E-13</v>
      </c>
      <c r="DQ82" s="14">
        <f t="shared" si="97"/>
        <v>4.9019074112354236E-12</v>
      </c>
      <c r="DR82" s="22">
        <f t="shared" si="70"/>
        <v>9.2015960881277352E-12</v>
      </c>
      <c r="DS82" s="62">
        <f t="shared" si="71"/>
        <v>293.33333333334252</v>
      </c>
      <c r="DT82" s="62">
        <f ca="1">AVERAGE(OFFSET($DS$3,0,0,'Données projet'!$E$14+1,1))-AVERAGE(OFFSET($H$3,0,0,'Données projet'!$E$14+1,1))</f>
        <v>446.48069057792151</v>
      </c>
      <c r="DU82" s="62">
        <f t="shared" si="98"/>
        <v>561.75656782935948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126.75304634784666</v>
      </c>
      <c r="EB82" s="23">
        <f>EXP(-LN(2)/25)*EB81+(1-EXP(-LN(2)/25))/(LN(2)/25)*Calculateur!DW82*Calculateur!DY82*VLOOKUP('Données projet'!$B$14,Paramètres!$A$1:$I$89,3,0)*0.475*44/12</f>
        <v>47.850641417953703</v>
      </c>
      <c r="EC82" s="23">
        <f>EXP(-LN(2)/2)*EC81+(1-EXP(-LN(2)/2))/(LN(2)/2)*DW82*DZ82*VLOOKUP('Données projet'!$B$14,Paramètres!$A$1:$I$89,3,0)*0.475*44/12</f>
        <v>0.18531883786475437</v>
      </c>
      <c r="ED82" s="24">
        <f t="shared" si="72"/>
        <v>174.78900660366511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1.7053025658242404E-13</v>
      </c>
      <c r="EK82" s="18">
        <f>EJ82*VLOOKUP('Données projet'!$B$15,Paramètres!$A$1:$I$89,3,0)*VLOOKUP('Données projet'!$B$15,Paramètres!$A$1:$I$89,5,0)</f>
        <v>1.6493686416652052E-13</v>
      </c>
      <c r="EL82" s="14">
        <f t="shared" si="99"/>
        <v>2.3376205369651282E-12</v>
      </c>
      <c r="EM82" s="22">
        <f t="shared" si="73"/>
        <v>4.3586208069709543E-12</v>
      </c>
      <c r="EN82" s="62">
        <f t="shared" si="74"/>
        <v>293.33333333333769</v>
      </c>
      <c r="EO82" s="62">
        <f ca="1">AVERAGE(OFFSET($EN$3,0,0,'Données projet'!$E$15+1,1))-AVERAGE(OFFSET($H$3,0,0,'Données projet'!$E$15+1,1))</f>
        <v>301.18531163828169</v>
      </c>
      <c r="EP82" s="62">
        <f t="shared" si="100"/>
        <v>192.30530273268101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163.68702670603457</v>
      </c>
      <c r="EW82" s="23">
        <f>EXP(-LN(2)/25)*EW81+(1-EXP(-LN(2)/25))/(LN(2)/25)*Calculateur!ER82*Calculateur!ET82*VLOOKUP('Données projet'!$B$15,Paramètres!$A$1:$I$89,3,0)*0.475*44/12</f>
        <v>13.925605480446512</v>
      </c>
      <c r="EX82" s="23">
        <f>EXP(-LN(2)/2)*EX81+(1-EXP(-LN(2)/2))/(LN(2)/2)*ER82*EU82*VLOOKUP('Données projet'!$B$15,Paramètres!$A$1:$I$89,3,0)*0.475*44/12</f>
        <v>8.7461777720262687E-2</v>
      </c>
      <c r="EY82" s="24">
        <f t="shared" si="75"/>
        <v>177.70009396420133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1.7053025658242404E-13</v>
      </c>
      <c r="FF82" s="18">
        <f>FE82*VLOOKUP('Données projet'!$B$16,Paramètres!$A$1:$I$89,3,0)*VLOOKUP('Données projet'!$B$16,Paramètres!$A$1:$I$89,5,0)</f>
        <v>1.3301360013429075E-13</v>
      </c>
      <c r="FG82" s="14">
        <f t="shared" si="101"/>
        <v>1.9329766731057041E-12</v>
      </c>
      <c r="FH82" s="22">
        <f t="shared" si="76"/>
        <v>3.5982663925596575E-12</v>
      </c>
      <c r="FI82" s="62">
        <f t="shared" si="77"/>
        <v>293.3333333333369</v>
      </c>
      <c r="FJ82" s="62">
        <f ca="1">AVERAGE(OFFSET($FI$3,0,0,'Données projet'!$E$16+1,1))-AVERAGE(OFFSET($H$3,0,0,'Données projet'!$E$16+1,1))</f>
        <v>249.2899297828755</v>
      </c>
      <c r="FK82" s="62">
        <f t="shared" si="102"/>
        <v>162.88011837476813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132.00566669841496</v>
      </c>
      <c r="FR82" s="23">
        <f>EXP(-LN(2)/25)*FR81+(1-EXP(-LN(2)/25))/(LN(2)/25)*Calculateur!FM82*Calculateur!FO82*VLOOKUP('Données projet'!$B$16,Paramètres!$A$1:$I$89,3,0)*0.475*44/12</f>
        <v>11.230327000360086</v>
      </c>
      <c r="FS82" s="23">
        <f>EXP(-LN(2)/2)*FS81+(1-EXP(-LN(2)/2))/(LN(2)/2)*FM82*FP82*VLOOKUP('Données projet'!$B$16,Paramètres!$A$1:$I$89,3,0)*0.475*44/12</f>
        <v>7.0533691709889185E-2</v>
      </c>
      <c r="FT82" s="24">
        <f t="shared" si="78"/>
        <v>143.30652739048494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1.7053025658242404E-13</v>
      </c>
      <c r="GA82" s="18">
        <f>FZ82*VLOOKUP('Données projet'!$B$17,Paramètres!$A$1:$I$89,3,0)*VLOOKUP('Données projet'!$B$17,Paramètres!$A$1:$I$89,5,0)</f>
        <v>1.1439169611549005E-13</v>
      </c>
      <c r="GB82" s="14">
        <f t="shared" si="103"/>
        <v>1.6918016515029816E-12</v>
      </c>
      <c r="GC82" s="22">
        <f t="shared" si="79"/>
        <v>3.1457867471021712E-12</v>
      </c>
      <c r="GD82" s="62">
        <f t="shared" si="80"/>
        <v>293.33333333333644</v>
      </c>
      <c r="GE82" s="62">
        <f ca="1">AVERAGE(OFFSET($GD$3,0,0,'Données projet'!$E$17+1,1))-AVERAGE(OFFSET($H$3,0,0,'Données projet'!$E$17+1,1))</f>
        <v>218.89895999738746</v>
      </c>
      <c r="GF82" s="62">
        <f t="shared" si="104"/>
        <v>145.64042897395763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139.92600670031982</v>
      </c>
      <c r="GM82" s="23">
        <f>EXP(-LN(2)/25)*GM81+(1-EXP(-LN(2)/25))/(LN(2)/25)*Calculateur!GH82*Calculateur!GJ82*VLOOKUP('Données projet'!$B$17,Paramètres!$A$1:$I$89,3,0)*0.475*44/12</f>
        <v>11.904146620381693</v>
      </c>
      <c r="GN82" s="23">
        <f>EXP(-LN(2)/2)*GN81+(1-EXP(-LN(2)/2))/(LN(2)/2)*GH82*GK82*VLOOKUP('Données projet'!$B$17,Paramètres!$A$1:$I$89,3,0)*0.475*44/12</f>
        <v>6.065897487050477E-2</v>
      </c>
      <c r="GO82" s="23">
        <f t="shared" si="81"/>
        <v>151.890812295572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1.7053025658242404E-13</v>
      </c>
      <c r="GV82" s="18">
        <f>GU82*VLOOKUP('Données projet'!$B$18,Paramètres!$A$1:$I$89,3,0)*VLOOKUP('Données projet'!$B$18,Paramètres!$A$1:$I$89,5,0)</f>
        <v>1.8355876818532125E-13</v>
      </c>
      <c r="GW82" s="14">
        <f t="shared" si="105"/>
        <v>2.5693529898865504E-12</v>
      </c>
      <c r="GX82" s="22">
        <f t="shared" si="82"/>
        <v>4.7946546453085093E-12</v>
      </c>
      <c r="GY82" s="62">
        <f t="shared" si="83"/>
        <v>293.33333333333809</v>
      </c>
      <c r="GZ82" s="62">
        <f ca="1">AVERAGE(OFFSET($GY$3,0,0,'Données projet'!$E$18+1,1))-AVERAGE(OFFSET($H$3,0,0,'Données projet'!$E$18+1,1))</f>
        <v>331.3579800635751</v>
      </c>
      <c r="HA82" s="62">
        <f t="shared" si="106"/>
        <v>209.40702003535273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182.16782004381258</v>
      </c>
      <c r="HH82" s="23">
        <f>EXP(-LN(2)/25)*HH81+(1-EXP(-LN(2)/25))/(LN(2)/25)*Calculateur!HC82*Calculateur!HE82*VLOOKUP('Données projet'!$B$18,Paramètres!$A$1:$I$89,3,0)*0.475*44/12</f>
        <v>15.497851260496924</v>
      </c>
      <c r="HI82" s="23">
        <f>EXP(-LN(2)/2)*HI81+(1-EXP(-LN(2)/2))/(LN(2)/2)*HC82*HF82*VLOOKUP('Données projet'!$B$18,Paramètres!$A$1:$I$89,3,0)*0.475*44/12</f>
        <v>9.7336494559647102E-2</v>
      </c>
      <c r="HJ82" s="24">
        <f t="shared" si="84"/>
        <v>197.76300779886915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46.510000000000005</v>
      </c>
      <c r="N83" s="14">
        <f>IF('Données projet'!$A$36&gt;35,N82+M83-V82,IF(A83&lt;'Données projet'!$A$36,$K$205^A83,IF(A83='Données projet'!$A$36,'Données projet'!$B$36,N82+M83-V82)))</f>
        <v>1499.5499999999995</v>
      </c>
      <c r="O83" s="14">
        <f>N83*VLOOKUP('Données projet'!$B$9,Paramètres!$A$1:$I$89,3,0)*VLOOKUP('Données projet'!$B$9,Paramètres!$A$1:$I$89,5,0)</f>
        <v>1356.7928399999996</v>
      </c>
      <c r="P83" s="14">
        <f t="shared" si="87"/>
        <v>270.04804124546916</v>
      </c>
      <c r="Q83" s="22">
        <f t="shared" si="54"/>
        <v>2833.4145348358579</v>
      </c>
      <c r="R83" s="62">
        <f t="shared" si="55"/>
        <v>3126.7478681691914</v>
      </c>
      <c r="S83" s="62">
        <f ca="1">AVERAGE(OFFSET($R$3,0,0,'Données projet'!$E$9+1,1))-AVERAGE(OFFSET($H$3,0,0,'Données projet'!$E$9+1,1))</f>
        <v>2472.5049373954762</v>
      </c>
      <c r="T83" s="62">
        <f t="shared" si="88"/>
        <v>286.98388307318311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65.003982151695382</v>
      </c>
      <c r="AA83" s="23">
        <f>EXP(-LN(2)/25)*AA82+(1-EXP(-LN(2)/25))/(LN(2)/25)*Calculateur!V83*Calculateur!X83*VLOOKUP('Données projet'!$B$9,Paramètres!$A$1:$I$89,3,0)*0.475*44/12</f>
        <v>11.563717580288724</v>
      </c>
      <c r="AB83" s="23">
        <f>EXP(-LN(2)/2)*AB82+(1-EXP(-LN(2)/2))/(LN(2)/2)*V83*Y83*VLOOKUP('Données projet'!$B$9,Paramètres!$A$1:$I$89,3,0)*0.475*44/12</f>
        <v>1.0381572196208724</v>
      </c>
      <c r="AC83" s="24">
        <f t="shared" si="57"/>
        <v>77.605856951604977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46.510000000000005</v>
      </c>
      <c r="AI83" s="14">
        <f>IF('Données projet'!$A$62&gt;35,AI82+AH83-AQ82,IF(A83&lt;'Données projet'!$A$62,$AF$205^A83,IF(A83='Données projet'!$A$62,'Données projet'!$B$62,AI82+AH83-AQ82)))</f>
        <v>1499.5499999999995</v>
      </c>
      <c r="AJ83" s="14">
        <f>AI83*VLOOKUP('Données projet'!$B$10,Paramètres!$A$1:$I$89,3,0)*VLOOKUP('Données projet'!$B$10,Paramètres!$A$1:$I$89,5,0)</f>
        <v>1520.5436999999997</v>
      </c>
      <c r="AK83" s="14">
        <f t="shared" si="89"/>
        <v>298.65259889109626</v>
      </c>
      <c r="AL83" s="22">
        <f t="shared" si="58"/>
        <v>3168.4335539019921</v>
      </c>
      <c r="AM83" s="62">
        <f t="shared" si="59"/>
        <v>3461.7668872353256</v>
      </c>
      <c r="AN83" s="62">
        <f ca="1">AVERAGE(OFFSET($AM$3,0,0,'Données projet'!$E$10+1,1))-AVERAGE(OFFSET($H$3,0,0,'Données projet'!$E$10+1,1))</f>
        <v>2761.1400657295467</v>
      </c>
      <c r="AO83" s="62">
        <f t="shared" si="90"/>
        <v>316.41877504316409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72.849290342417234</v>
      </c>
      <c r="AV83" s="23">
        <f>EXP(-LN(2)/25)*AV82+(1-EXP(-LN(2)/25))/(LN(2)/25)*Calculateur!AQ83*Calculateur!AS83*VLOOKUP('Données projet'!$B$10,Paramètres!$A$1:$I$89,3,0)*0.475*44/12</f>
        <v>12.95933866756495</v>
      </c>
      <c r="AW83" s="23">
        <f>EXP(-LN(2)/2)*AW82+(1-EXP(-LN(2)/2))/(LN(2)/2)*AQ83*AT83*VLOOKUP('Données projet'!$B$10,Paramètres!$A$1:$I$89,3,0)*0.475*44/12</f>
        <v>1.1634520564716677</v>
      </c>
      <c r="AX83" s="23">
        <f t="shared" si="60"/>
        <v>86.972081066453853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46.510000000000005</v>
      </c>
      <c r="BD83" s="13">
        <f>IF('Données projet'!$A$88&gt;35,BD82+BC83-BL82,IF(A83&lt;'Données projet'!$A$88,$BA$205^A83,IF(A83='Données projet'!$A$88,'Données projet'!$B$88,BD82+BC83-BL82)))</f>
        <v>1499.5499999999995</v>
      </c>
      <c r="BE83" s="14">
        <f>BD83*VLOOKUP('Données projet'!$B$11,Paramètres!$A$1:$I$89,3,0)*VLOOKUP('Données projet'!$B$11,Paramètres!$A$1:$I$89,5,0)</f>
        <v>1567.3296599999996</v>
      </c>
      <c r="BF83" s="14">
        <f t="shared" si="91"/>
        <v>306.75789722500775</v>
      </c>
      <c r="BG83" s="22">
        <f t="shared" si="61"/>
        <v>3264.0358288335551</v>
      </c>
      <c r="BH83" s="62">
        <f t="shared" si="62"/>
        <v>3557.3691621668886</v>
      </c>
      <c r="BI83" s="62">
        <f ca="1">AVERAGE(OFFSET($BH$3,0,0,'Données projet'!$E$11+1,1))-AVERAGE(OFFSET($H$3,0,0,'Données projet'!$E$11+1,1))</f>
        <v>2843.5086223152098</v>
      </c>
      <c r="BJ83" s="62">
        <f t="shared" si="92"/>
        <v>324.81562437645522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75.090806968337773</v>
      </c>
      <c r="BQ83" s="23">
        <f>EXP(-LN(2)/25)*BQ82+(1-EXP(-LN(2)/25))/(LN(2)/25)*Calculateur!BL83*Calculateur!BN83*VLOOKUP('Données projet'!$B$11,Paramètres!$A$1:$I$89,3,0)*0.475*44/12</f>
        <v>13.358087549643869</v>
      </c>
      <c r="BR83" s="23">
        <f>EXP(-LN(2)/2)*BR82+(1-EXP(-LN(2)/2))/(LN(2)/2)*BL83*BO83*VLOOKUP('Données projet'!$B$11,Paramètres!$A$1:$I$89,3,0)*0.475*44/12</f>
        <v>1.1992505812861796</v>
      </c>
      <c r="BS83" s="24">
        <f t="shared" si="63"/>
        <v>89.648145099267822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46.510000000000005</v>
      </c>
      <c r="BY83" s="13">
        <f>IF('Données projet'!$A$114&gt;35,BY82+BX83-CG82,IF(A83&lt;'Données projet'!$A$114,$BV$205^A83,IF(A83='Données projet'!$A$114,'Données projet'!$B$114,BY82+BX83-CG82)))</f>
        <v>1499.5499999999995</v>
      </c>
      <c r="BZ83" s="14">
        <f>BY83*VLOOKUP('Données projet'!$B$12,Paramètres!$A$1:$I$89,3,0)*VLOOKUP('Données projet'!$B$12,Paramètres!$A$1:$I$89,5,0)</f>
        <v>1497.1507199999994</v>
      </c>
      <c r="CA83" s="14">
        <f t="shared" si="93"/>
        <v>294.58910530974856</v>
      </c>
      <c r="CB83" s="22">
        <f t="shared" si="64"/>
        <v>3120.613529081144</v>
      </c>
      <c r="CC83" s="62">
        <f t="shared" si="65"/>
        <v>3413.9468624144774</v>
      </c>
      <c r="CD83" s="62">
        <f ca="1">AVERAGE(OFFSET($CC$3,0,0,'Données projet'!$E$12+1,1))-AVERAGE(OFFSET($H$3,0,0,'Données projet'!$E$12+1,1))</f>
        <v>2719.939926994799</v>
      </c>
      <c r="CE83" s="62">
        <f t="shared" si="94"/>
        <v>312.21824046329749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71.728532029456986</v>
      </c>
      <c r="CL83" s="23">
        <f>EXP(-LN(2)/25)*CL82+(1-EXP(-LN(2)/25))/(LN(2)/25)*Calculateur!CG83*Calculateur!CI83*VLOOKUP('Données projet'!$B$12,Paramètres!$A$1:$I$89,3,0)*0.475*44/12</f>
        <v>12.759964226525488</v>
      </c>
      <c r="CM83" s="23">
        <f>EXP(-LN(2)/2)*CM82+(1-EXP(-LN(2)/2))/(LN(2)/2)*CG83*CJ83*VLOOKUP('Données projet'!$B$12,Paramètres!$A$1:$I$89,3,0)*0.475*44/12</f>
        <v>1.145552794064411</v>
      </c>
      <c r="CN83" s="24">
        <f t="shared" si="66"/>
        <v>85.634049050046883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1804.89</v>
      </c>
      <c r="CR83" s="13">
        <f>VLOOKUP(A83,'Données projet'!$A$139:$I$159,9,0)</f>
        <v>65.679000000000016</v>
      </c>
      <c r="CS83" s="13">
        <f t="array" ref="CS83">INDEX(CR:CR,MIN(IF(ISNUMBER(CR83:CR279),ROW(CR83:CR279),"")))</f>
        <v>65.679000000000016</v>
      </c>
      <c r="CT83" s="13">
        <f>IF('Données projet'!$A$140&gt;35,CT82+CS83-DB82,IF(A83&lt;'Données projet'!$A$140,$CQ$205^A83,IF(A83='Données projet'!$A$140,'Données projet'!$B$140,CT82+CS83-DB82)))</f>
        <v>1804.8900000000012</v>
      </c>
      <c r="CU83" s="18">
        <f>CT83*VLOOKUP('Données projet'!$B$13,Paramètres!$A$1:$I$89,3,0)*VLOOKUP('Données projet'!$B$13,Paramètres!$A$1:$I$89,5,0)</f>
        <v>1576.7519040000013</v>
      </c>
      <c r="CV83" s="14">
        <f t="shared" si="95"/>
        <v>308.38679494670038</v>
      </c>
      <c r="CW83" s="22">
        <f t="shared" si="67"/>
        <v>3283.2832339988386</v>
      </c>
      <c r="CX83" s="62">
        <f t="shared" si="68"/>
        <v>3576.6165673321721</v>
      </c>
      <c r="CY83" s="62">
        <f ca="1">AVERAGE(OFFSET($CX$3,0,0,'Données projet'!$E$13+1,1))-AVERAGE(OFFSET($H$3,0,0,'Données projet'!$E$13+1,1))</f>
        <v>1036.0130072090849</v>
      </c>
      <c r="CZ83" s="62">
        <f t="shared" si="96"/>
        <v>346.56593355696174</v>
      </c>
      <c r="DA83" s="16">
        <f>IF(ISNA(VLOOKUP(A83,'Données projet'!$A$139:$I$159,3,0)),0,VLOOKUP(A83,'Données projet'!$A$139:$I$159,3,0))</f>
        <v>5</v>
      </c>
      <c r="DB83" s="16">
        <f>IF(ISNA(VLOOKUP(A83,'Données projet'!$A$139:$I$159,4,0)),0,VLOOKUP(A83,'Données projet'!$A$139:$I$159,4,0))</f>
        <v>1804.89</v>
      </c>
      <c r="DC83" s="17">
        <f>IF(ISNA(VLOOKUP(A83,'Données projet'!$A$139:$I$159,5,0)),0%,VLOOKUP(A83,'Données projet'!$A$139:$I$159,5,0)*VLOOKUP('Données projet'!$B$13,Paramètres!$A$1:$I$89,7,0))</f>
        <v>0.34400000000000003</v>
      </c>
      <c r="DD83" s="17">
        <f>IF(ISNA(VLOOKUP(A83,'Données projet'!$A$139:$I$159,6,0)),0%,VLOOKUP(A83,'Données projet'!$A$139:$I$159,6,0)*VLOOKUP('Données projet'!$B$13,Paramètres!$A$1:$I$89,7,0))</f>
        <v>1.72E-2</v>
      </c>
      <c r="DE83" s="17">
        <f>IF(ISNA(VLOOKUP(A83,'Données projet'!$A$139:$I$159,7,0)),0%,VLOOKUP(A83,'Données projet'!$A$139:$I$159,7,0))</f>
        <v>0.06</v>
      </c>
      <c r="DF83" s="23">
        <f>EXP(-LN(2)/35)*DF82+(1-EXP(-LN(2)/35))/(LN(2)/35)*DB83*DC83*VLOOKUP('Données projet'!$B$13,Paramètres!$A$1:$I$89,3,0)*0.475*44/12</f>
        <v>669.6806663558466</v>
      </c>
      <c r="DG83" s="23">
        <f>EXP(-LN(2)/25)*DG82+(1-EXP(-LN(2)/25))/(LN(2)/25)*Calculateur!DB83*Calculateur!DD83*VLOOKUP('Données projet'!$B$13,Paramètres!$A$1:$I$89,3,0)*0.475*44/12</f>
        <v>42.321508463779878</v>
      </c>
      <c r="DH83" s="23">
        <f>EXP(-LN(2)/2)*DH82+(1-EXP(-LN(2)/2))/(LN(2)/2)*DB83*DE83*VLOOKUP('Données projet'!$B$13,Paramètres!$A$1:$I$89,3,0)*0.475*44/12</f>
        <v>90.375015598660028</v>
      </c>
      <c r="DI83" s="24">
        <f t="shared" si="69"/>
        <v>802.37719041828655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6.8212102632969618E-13</v>
      </c>
      <c r="DP83" s="18">
        <f>DO83*VLOOKUP('Données projet'!$B$14,Paramètres!$A$1:$I$89,3,0)*VLOOKUP('Données projet'!$B$14,Paramètres!$A$1:$I$89,5,0)</f>
        <v>3.8130565371830017E-13</v>
      </c>
      <c r="DQ83" s="14">
        <f t="shared" si="97"/>
        <v>4.9019074112354236E-12</v>
      </c>
      <c r="DR83" s="22">
        <f t="shared" si="70"/>
        <v>9.2015960881277352E-12</v>
      </c>
      <c r="DS83" s="62">
        <f t="shared" si="71"/>
        <v>293.33333333334252</v>
      </c>
      <c r="DT83" s="62">
        <f ca="1">AVERAGE(OFFSET($DS$3,0,0,'Données projet'!$E$14+1,1))-AVERAGE(OFFSET($H$3,0,0,'Données projet'!$E$14+1,1))</f>
        <v>446.48069057792151</v>
      </c>
      <c r="DU83" s="62">
        <f t="shared" si="98"/>
        <v>561.75656782935948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124.26749642068977</v>
      </c>
      <c r="EB83" s="23">
        <f>EXP(-LN(2)/25)*EB82+(1-EXP(-LN(2)/25))/(LN(2)/25)*Calculateur!DW83*Calculateur!DY83*VLOOKUP('Données projet'!$B$14,Paramètres!$A$1:$I$89,3,0)*0.475*44/12</f>
        <v>46.542163112023893</v>
      </c>
      <c r="EC83" s="23">
        <f>EXP(-LN(2)/2)*EC82+(1-EXP(-LN(2)/2))/(LN(2)/2)*DW83*DZ83*VLOOKUP('Données projet'!$B$14,Paramètres!$A$1:$I$89,3,0)*0.475*44/12</f>
        <v>0.13104020693577814</v>
      </c>
      <c r="ED83" s="24">
        <f t="shared" si="72"/>
        <v>170.94069973964943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1.7053025658242404E-13</v>
      </c>
      <c r="EK83" s="18">
        <f>EJ83*VLOOKUP('Données projet'!$B$15,Paramètres!$A$1:$I$89,3,0)*VLOOKUP('Données projet'!$B$15,Paramètres!$A$1:$I$89,5,0)</f>
        <v>1.6493686416652052E-13</v>
      </c>
      <c r="EL83" s="14">
        <f t="shared" si="99"/>
        <v>2.3376205369651282E-12</v>
      </c>
      <c r="EM83" s="22">
        <f t="shared" si="73"/>
        <v>4.3586208069709543E-12</v>
      </c>
      <c r="EN83" s="62">
        <f t="shared" si="74"/>
        <v>293.33333333333769</v>
      </c>
      <c r="EO83" s="62">
        <f ca="1">AVERAGE(OFFSET($EN$3,0,0,'Données projet'!$E$15+1,1))-AVERAGE(OFFSET($H$3,0,0,'Données projet'!$E$15+1,1))</f>
        <v>301.18531163828169</v>
      </c>
      <c r="EP83" s="62">
        <f t="shared" si="100"/>
        <v>192.30530273268101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160.47722395155722</v>
      </c>
      <c r="EW83" s="23">
        <f>EXP(-LN(2)/25)*EW82+(1-EXP(-LN(2)/25))/(LN(2)/25)*Calculateur!ER83*Calculateur!ET83*VLOOKUP('Données projet'!$B$15,Paramètres!$A$1:$I$89,3,0)*0.475*44/12</f>
        <v>13.544809066267938</v>
      </c>
      <c r="EX83" s="23">
        <f>EXP(-LN(2)/2)*EX82+(1-EXP(-LN(2)/2))/(LN(2)/2)*ER83*EU83*VLOOKUP('Données projet'!$B$15,Paramètres!$A$1:$I$89,3,0)*0.475*44/12</f>
        <v>6.1844816120628247E-2</v>
      </c>
      <c r="EY83" s="24">
        <f t="shared" si="75"/>
        <v>174.08387783394579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1.7053025658242404E-13</v>
      </c>
      <c r="FF83" s="18">
        <f>FE83*VLOOKUP('Données projet'!$B$16,Paramètres!$A$1:$I$89,3,0)*VLOOKUP('Données projet'!$B$16,Paramètres!$A$1:$I$89,5,0)</f>
        <v>1.3301360013429075E-13</v>
      </c>
      <c r="FG83" s="14">
        <f t="shared" si="101"/>
        <v>1.9329766731057041E-12</v>
      </c>
      <c r="FH83" s="22">
        <f t="shared" si="76"/>
        <v>3.5982663925596575E-12</v>
      </c>
      <c r="FI83" s="62">
        <f t="shared" si="77"/>
        <v>293.3333333333369</v>
      </c>
      <c r="FJ83" s="62">
        <f ca="1">AVERAGE(OFFSET($FI$3,0,0,'Données projet'!$E$16+1,1))-AVERAGE(OFFSET($H$3,0,0,'Données projet'!$E$16+1,1))</f>
        <v>249.2899297828755</v>
      </c>
      <c r="FK83" s="62">
        <f t="shared" si="102"/>
        <v>162.88011837476813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129.41711608996548</v>
      </c>
      <c r="FR83" s="23">
        <f>EXP(-LN(2)/25)*FR82+(1-EXP(-LN(2)/25))/(LN(2)/25)*Calculateur!FM83*Calculateur!FO83*VLOOKUP('Données projet'!$B$16,Paramètres!$A$1:$I$89,3,0)*0.475*44/12</f>
        <v>10.923233117958009</v>
      </c>
      <c r="FS83" s="23">
        <f>EXP(-LN(2)/2)*FS82+(1-EXP(-LN(2)/2))/(LN(2)/2)*FM83*FP83*VLOOKUP('Données projet'!$B$16,Paramètres!$A$1:$I$89,3,0)*0.475*44/12</f>
        <v>4.9874851710184014E-2</v>
      </c>
      <c r="FT83" s="24">
        <f t="shared" si="78"/>
        <v>140.39022405963365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1.7053025658242404E-13</v>
      </c>
      <c r="GA83" s="18">
        <f>FZ83*VLOOKUP('Données projet'!$B$17,Paramètres!$A$1:$I$89,3,0)*VLOOKUP('Données projet'!$B$17,Paramètres!$A$1:$I$89,5,0)</f>
        <v>1.1439169611549005E-13</v>
      </c>
      <c r="GB83" s="14">
        <f t="shared" si="103"/>
        <v>1.6918016515029816E-12</v>
      </c>
      <c r="GC83" s="22">
        <f t="shared" si="79"/>
        <v>3.1457867471021712E-12</v>
      </c>
      <c r="GD83" s="62">
        <f t="shared" si="80"/>
        <v>293.33333333333644</v>
      </c>
      <c r="GE83" s="62">
        <f ca="1">AVERAGE(OFFSET($GD$3,0,0,'Données projet'!$E$17+1,1))-AVERAGE(OFFSET($H$3,0,0,'Données projet'!$E$17+1,1))</f>
        <v>218.89895999738746</v>
      </c>
      <c r="GF83" s="62">
        <f t="shared" si="104"/>
        <v>145.64042897395763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137.18214305536338</v>
      </c>
      <c r="GM83" s="23">
        <f>EXP(-LN(2)/25)*GM82+(1-EXP(-LN(2)/25))/(LN(2)/25)*Calculateur!GH83*Calculateur!GJ83*VLOOKUP('Données projet'!$B$17,Paramètres!$A$1:$I$89,3,0)*0.475*44/12</f>
        <v>11.578627105035492</v>
      </c>
      <c r="GN83" s="23">
        <f>EXP(-LN(2)/2)*GN82+(1-EXP(-LN(2)/2))/(LN(2)/2)*GH83*GK83*VLOOKUP('Données projet'!$B$17,Paramètres!$A$1:$I$89,3,0)*0.475*44/12</f>
        <v>4.2892372470758305E-2</v>
      </c>
      <c r="GO83" s="23">
        <f t="shared" si="81"/>
        <v>148.80366253286962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1.7053025658242404E-13</v>
      </c>
      <c r="GV83" s="18">
        <f>GU83*VLOOKUP('Données projet'!$B$18,Paramètres!$A$1:$I$89,3,0)*VLOOKUP('Données projet'!$B$18,Paramètres!$A$1:$I$89,5,0)</f>
        <v>1.8355876818532125E-13</v>
      </c>
      <c r="GW83" s="14">
        <f t="shared" si="105"/>
        <v>2.5693529898865504E-12</v>
      </c>
      <c r="GX83" s="22">
        <f t="shared" si="82"/>
        <v>4.7946546453085093E-12</v>
      </c>
      <c r="GY83" s="62">
        <f t="shared" si="83"/>
        <v>293.33333333333809</v>
      </c>
      <c r="GZ83" s="62">
        <f ca="1">AVERAGE(OFFSET($GY$3,0,0,'Données projet'!$E$18+1,1))-AVERAGE(OFFSET($H$3,0,0,'Données projet'!$E$18+1,1))</f>
        <v>331.3579800635751</v>
      </c>
      <c r="HA83" s="62">
        <f t="shared" si="106"/>
        <v>209.40702003535273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178.59562020415231</v>
      </c>
      <c r="HH83" s="23">
        <f>EXP(-LN(2)/25)*HH82+(1-EXP(-LN(2)/25))/(LN(2)/25)*Calculateur!HC83*Calculateur!HE83*VLOOKUP('Données projet'!$B$18,Paramètres!$A$1:$I$89,3,0)*0.475*44/12</f>
        <v>15.074061702782059</v>
      </c>
      <c r="HI83" s="23">
        <f>EXP(-LN(2)/2)*HI82+(1-EXP(-LN(2)/2))/(LN(2)/2)*HC83*HF83*VLOOKUP('Données projet'!$B$18,Paramètres!$A$1:$I$89,3,0)*0.475*44/12</f>
        <v>6.8827295360053956E-2</v>
      </c>
      <c r="HJ83" s="24">
        <f t="shared" si="84"/>
        <v>193.73850920229441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46.510000000000005</v>
      </c>
      <c r="N84" s="14">
        <f>IF('Données projet'!$A$36&gt;35,N83+M84-V83,IF(A84&lt;'Données projet'!$A$36,$K$205^A84,IF(A84='Données projet'!$A$36,'Données projet'!$B$36,N83+M84-V83)))</f>
        <v>1546.0599999999995</v>
      </c>
      <c r="O84" s="14">
        <f>N84*VLOOKUP('Données projet'!$B$9,Paramètres!$A$1:$I$89,3,0)*VLOOKUP('Données projet'!$B$9,Paramètres!$A$1:$I$89,5,0)</f>
        <v>1398.8750879999996</v>
      </c>
      <c r="P84" s="14">
        <f t="shared" si="87"/>
        <v>277.43569239756044</v>
      </c>
      <c r="Q84" s="22">
        <f t="shared" si="54"/>
        <v>2919.574609192417</v>
      </c>
      <c r="R84" s="62">
        <f t="shared" si="55"/>
        <v>3212.9079425257505</v>
      </c>
      <c r="S84" s="62">
        <f ca="1">AVERAGE(OFFSET($R$3,0,0,'Données projet'!$E$9+1,1))-AVERAGE(OFFSET($H$3,0,0,'Données projet'!$E$9+1,1))</f>
        <v>2472.5049373954762</v>
      </c>
      <c r="T84" s="62">
        <f t="shared" si="88"/>
        <v>286.98388307318311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63.729293710214783</v>
      </c>
      <c r="AA84" s="23">
        <f>EXP(-LN(2)/25)*AA83+(1-EXP(-LN(2)/25))/(LN(2)/25)*Calculateur!V84*Calculateur!X84*VLOOKUP('Données projet'!$B$9,Paramètres!$A$1:$I$89,3,0)*0.475*44/12</f>
        <v>11.24750711494625</v>
      </c>
      <c r="AB84" s="23">
        <f>EXP(-LN(2)/2)*AB83+(1-EXP(-LN(2)/2))/(LN(2)/2)*V84*Y84*VLOOKUP('Données projet'!$B$9,Paramètres!$A$1:$I$89,3,0)*0.475*44/12</f>
        <v>0.73408800993169077</v>
      </c>
      <c r="AC84" s="24">
        <f t="shared" si="57"/>
        <v>75.710888835092732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46.510000000000005</v>
      </c>
      <c r="AI84" s="14">
        <f>IF('Données projet'!$A$62&gt;35,AI83+AH84-AQ83,IF(A84&lt;'Données projet'!$A$62,$AF$205^A84,IF(A84='Données projet'!$A$62,'Données projet'!$B$62,AI83+AH84-AQ83)))</f>
        <v>1546.0599999999995</v>
      </c>
      <c r="AJ84" s="14">
        <f>AI84*VLOOKUP('Données projet'!$B$10,Paramètres!$A$1:$I$89,3,0)*VLOOKUP('Données projet'!$B$10,Paramètres!$A$1:$I$89,5,0)</f>
        <v>1567.7048399999996</v>
      </c>
      <c r="AK84" s="14">
        <f t="shared" si="89"/>
        <v>306.82277930083802</v>
      </c>
      <c r="AL84" s="22">
        <f t="shared" si="58"/>
        <v>3264.8022702822923</v>
      </c>
      <c r="AM84" s="62">
        <f t="shared" si="59"/>
        <v>3558.1356036156258</v>
      </c>
      <c r="AN84" s="62">
        <f ca="1">AVERAGE(OFFSET($AM$3,0,0,'Données projet'!$E$10+1,1))-AVERAGE(OFFSET($H$3,0,0,'Données projet'!$E$10+1,1))</f>
        <v>2761.1400657295467</v>
      </c>
      <c r="AO84" s="62">
        <f t="shared" si="90"/>
        <v>316.41877504316409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71.420760192482078</v>
      </c>
      <c r="AV84" s="23">
        <f>EXP(-LN(2)/25)*AV83+(1-EXP(-LN(2)/25))/(LN(2)/25)*Calculateur!AQ84*Calculateur!AS84*VLOOKUP('Données projet'!$B$10,Paramètres!$A$1:$I$89,3,0)*0.475*44/12</f>
        <v>12.604964870198385</v>
      </c>
      <c r="AW84" s="23">
        <f>EXP(-LN(2)/2)*AW83+(1-EXP(-LN(2)/2))/(LN(2)/2)*AQ84*AT84*VLOOKUP('Données projet'!$B$10,Paramètres!$A$1:$I$89,3,0)*0.475*44/12</f>
        <v>0.82268483871655029</v>
      </c>
      <c r="AX84" s="23">
        <f t="shared" si="60"/>
        <v>84.848409901397019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46.510000000000005</v>
      </c>
      <c r="BD84" s="13">
        <f>IF('Données projet'!$A$88&gt;35,BD83+BC84-BL83,IF(A84&lt;'Données projet'!$A$88,$BA$205^A84,IF(A84='Données projet'!$A$88,'Données projet'!$B$88,BD83+BC84-BL83)))</f>
        <v>1546.0599999999995</v>
      </c>
      <c r="BE84" s="14">
        <f>BD84*VLOOKUP('Données projet'!$B$11,Paramètres!$A$1:$I$89,3,0)*VLOOKUP('Données projet'!$B$11,Paramètres!$A$1:$I$89,5,0)</f>
        <v>1615.9419119999995</v>
      </c>
      <c r="BF84" s="14">
        <f t="shared" si="91"/>
        <v>315.14981268714388</v>
      </c>
      <c r="BG84" s="22">
        <f t="shared" si="61"/>
        <v>3363.3180871634413</v>
      </c>
      <c r="BH84" s="62">
        <f t="shared" si="62"/>
        <v>3656.6514204967748</v>
      </c>
      <c r="BI84" s="62">
        <f ca="1">AVERAGE(OFFSET($BH$3,0,0,'Données projet'!$E$11+1,1))-AVERAGE(OFFSET($H$3,0,0,'Données projet'!$E$11+1,1))</f>
        <v>2843.5086223152098</v>
      </c>
      <c r="BJ84" s="62">
        <f t="shared" si="92"/>
        <v>324.81562437645522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73.618322044558454</v>
      </c>
      <c r="BQ84" s="23">
        <f>EXP(-LN(2)/25)*BQ83+(1-EXP(-LN(2)/25))/(LN(2)/25)*Calculateur!BL84*Calculateur!BN84*VLOOKUP('Données projet'!$B$11,Paramètres!$A$1:$I$89,3,0)*0.475*44/12</f>
        <v>12.992809943127563</v>
      </c>
      <c r="BR84" s="23">
        <f>EXP(-LN(2)/2)*BR83+(1-EXP(-LN(2)/2))/(LN(2)/2)*BL84*BO84*VLOOKUP('Données projet'!$B$11,Paramètres!$A$1:$I$89,3,0)*0.475*44/12</f>
        <v>0.84799821836936651</v>
      </c>
      <c r="BS84" s="24">
        <f t="shared" si="63"/>
        <v>87.459130206055391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46.510000000000005</v>
      </c>
      <c r="BY84" s="13">
        <f>IF('Données projet'!$A$114&gt;35,BY83+BX84-CG83,IF(A84&lt;'Données projet'!$A$114,$BV$205^A84,IF(A84='Données projet'!$A$114,'Données projet'!$B$114,BY83+BX84-CG83)))</f>
        <v>1546.0599999999995</v>
      </c>
      <c r="BZ84" s="14">
        <f>BY84*VLOOKUP('Données projet'!$B$12,Paramètres!$A$1:$I$89,3,0)*VLOOKUP('Données projet'!$B$12,Paramètres!$A$1:$I$89,5,0)</f>
        <v>1543.5863039999997</v>
      </c>
      <c r="CA84" s="14">
        <f t="shared" si="93"/>
        <v>302.64812152478146</v>
      </c>
      <c r="CB84" s="22">
        <f t="shared" si="64"/>
        <v>3215.524957788994</v>
      </c>
      <c r="CC84" s="62">
        <f t="shared" si="65"/>
        <v>3508.8582911223275</v>
      </c>
      <c r="CD84" s="62">
        <f ca="1">AVERAGE(OFFSET($CC$3,0,0,'Données projet'!$E$12+1,1))-AVERAGE(OFFSET($H$3,0,0,'Données projet'!$E$12+1,1))</f>
        <v>2719.939926994799</v>
      </c>
      <c r="CE84" s="62">
        <f t="shared" si="94"/>
        <v>312.21824046329749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70.321979266443904</v>
      </c>
      <c r="CL84" s="23">
        <f>EXP(-LN(2)/25)*CL83+(1-EXP(-LN(2)/25))/(LN(2)/25)*Calculateur!CG84*Calculateur!CI84*VLOOKUP('Données projet'!$B$12,Paramètres!$A$1:$I$89,3,0)*0.475*44/12</f>
        <v>12.411042333733793</v>
      </c>
      <c r="CM84" s="23">
        <f>EXP(-LN(2)/2)*CM83+(1-EXP(-LN(2)/2))/(LN(2)/2)*CG84*CJ84*VLOOKUP('Données projet'!$B$12,Paramètres!$A$1:$I$89,3,0)*0.475*44/12</f>
        <v>0.81002814889014163</v>
      </c>
      <c r="CN84" s="24">
        <f t="shared" si="66"/>
        <v>83.543049749067833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1.1368683772161603E-12</v>
      </c>
      <c r="CU84" s="18">
        <f>CT84*VLOOKUP('Données projet'!$B$13,Paramètres!$A$1:$I$89,3,0)*VLOOKUP('Données projet'!$B$13,Paramètres!$A$1:$I$89,5,0)</f>
        <v>9.9316821433603771E-13</v>
      </c>
      <c r="CV84" s="14">
        <f t="shared" si="95"/>
        <v>1.1421454694498936E-11</v>
      </c>
      <c r="CW84" s="22">
        <f t="shared" si="67"/>
        <v>2.1622134899554243E-11</v>
      </c>
      <c r="CX84" s="62">
        <f t="shared" si="68"/>
        <v>293.33333333335491</v>
      </c>
      <c r="CY84" s="62">
        <f ca="1">AVERAGE(OFFSET($CX$3,0,0,'Données projet'!$E$13+1,1))-AVERAGE(OFFSET($H$3,0,0,'Données projet'!$E$13+1,1))</f>
        <v>1036.0130072090849</v>
      </c>
      <c r="CZ84" s="62">
        <f t="shared" si="96"/>
        <v>346.56593355696174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656.5486369534824</v>
      </c>
      <c r="DG84" s="23">
        <f>EXP(-LN(2)/25)*DG83+(1-EXP(-LN(2)/25))/(LN(2)/25)*Calculateur!DB84*Calculateur!DD84*VLOOKUP('Données projet'!$B$13,Paramètres!$A$1:$I$89,3,0)*0.475*44/12</f>
        <v>41.164224589246416</v>
      </c>
      <c r="DH84" s="23">
        <f>EXP(-LN(2)/2)*DH83+(1-EXP(-LN(2)/2))/(LN(2)/2)*DB84*DE84*VLOOKUP('Données projet'!$B$13,Paramètres!$A$1:$I$89,3,0)*0.475*44/12</f>
        <v>63.904786379652521</v>
      </c>
      <c r="DI84" s="24">
        <f t="shared" si="69"/>
        <v>761.61764792238125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6.8212102632969618E-13</v>
      </c>
      <c r="DP84" s="18">
        <f>DO84*VLOOKUP('Données projet'!$B$14,Paramètres!$A$1:$I$89,3,0)*VLOOKUP('Données projet'!$B$14,Paramètres!$A$1:$I$89,5,0)</f>
        <v>3.8130565371830017E-13</v>
      </c>
      <c r="DQ84" s="14">
        <f t="shared" si="97"/>
        <v>4.9019074112354236E-12</v>
      </c>
      <c r="DR84" s="22">
        <f t="shared" si="70"/>
        <v>9.2015960881277352E-12</v>
      </c>
      <c r="DS84" s="62">
        <f t="shared" si="71"/>
        <v>293.33333333334252</v>
      </c>
      <c r="DT84" s="62">
        <f ca="1">AVERAGE(OFFSET($DS$3,0,0,'Données projet'!$E$14+1,1))-AVERAGE(OFFSET($H$3,0,0,'Données projet'!$E$14+1,1))</f>
        <v>446.48069057792151</v>
      </c>
      <c r="DU84" s="62">
        <f t="shared" si="98"/>
        <v>561.75656782935948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121.83068661156865</v>
      </c>
      <c r="EB84" s="23">
        <f>EXP(-LN(2)/25)*EB83+(1-EXP(-LN(2)/25))/(LN(2)/25)*Calculateur!DW84*Calculateur!DY84*VLOOKUP('Données projet'!$B$14,Paramètres!$A$1:$I$89,3,0)*0.475*44/12</f>
        <v>45.269465214179618</v>
      </c>
      <c r="EC84" s="23">
        <f>EXP(-LN(2)/2)*EC83+(1-EXP(-LN(2)/2))/(LN(2)/2)*DW84*DZ84*VLOOKUP('Données projet'!$B$14,Paramètres!$A$1:$I$89,3,0)*0.475*44/12</f>
        <v>9.2659418932377183E-2</v>
      </c>
      <c r="ED84" s="24">
        <f t="shared" si="72"/>
        <v>167.19281124468066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1.7053025658242404E-13</v>
      </c>
      <c r="EK84" s="18">
        <f>EJ84*VLOOKUP('Données projet'!$B$15,Paramètres!$A$1:$I$89,3,0)*VLOOKUP('Données projet'!$B$15,Paramètres!$A$1:$I$89,5,0)</f>
        <v>1.6493686416652052E-13</v>
      </c>
      <c r="EL84" s="14">
        <f t="shared" si="99"/>
        <v>2.3376205369651282E-12</v>
      </c>
      <c r="EM84" s="22">
        <f t="shared" si="73"/>
        <v>4.3586208069709543E-12</v>
      </c>
      <c r="EN84" s="62">
        <f t="shared" si="74"/>
        <v>293.33333333333769</v>
      </c>
      <c r="EO84" s="62">
        <f ca="1">AVERAGE(OFFSET($EN$3,0,0,'Données projet'!$E$15+1,1))-AVERAGE(OFFSET($H$3,0,0,'Données projet'!$E$15+1,1))</f>
        <v>301.18531163828169</v>
      </c>
      <c r="EP84" s="62">
        <f t="shared" si="100"/>
        <v>192.30530273268101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157.3303634713088</v>
      </c>
      <c r="EW84" s="23">
        <f>EXP(-LN(2)/25)*EW83+(1-EXP(-LN(2)/25))/(LN(2)/25)*Calculateur!ER84*Calculateur!ET84*VLOOKUP('Données projet'!$B$15,Paramètres!$A$1:$I$89,3,0)*0.475*44/12</f>
        <v>13.17442555006029</v>
      </c>
      <c r="EX84" s="23">
        <f>EXP(-LN(2)/2)*EX83+(1-EXP(-LN(2)/2))/(LN(2)/2)*ER84*EU84*VLOOKUP('Données projet'!$B$15,Paramètres!$A$1:$I$89,3,0)*0.475*44/12</f>
        <v>4.3730888860131351E-2</v>
      </c>
      <c r="EY84" s="24">
        <f t="shared" si="75"/>
        <v>170.5485199102292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1.7053025658242404E-13</v>
      </c>
      <c r="FF84" s="18">
        <f>FE84*VLOOKUP('Données projet'!$B$16,Paramètres!$A$1:$I$89,3,0)*VLOOKUP('Données projet'!$B$16,Paramètres!$A$1:$I$89,5,0)</f>
        <v>1.3301360013429075E-13</v>
      </c>
      <c r="FG84" s="14">
        <f t="shared" si="101"/>
        <v>1.9329766731057041E-12</v>
      </c>
      <c r="FH84" s="22">
        <f t="shared" si="76"/>
        <v>3.5982663925596575E-12</v>
      </c>
      <c r="FI84" s="62">
        <f t="shared" si="77"/>
        <v>293.3333333333369</v>
      </c>
      <c r="FJ84" s="62">
        <f ca="1">AVERAGE(OFFSET($FI$3,0,0,'Données projet'!$E$16+1,1))-AVERAGE(OFFSET($H$3,0,0,'Données projet'!$E$16+1,1))</f>
        <v>249.2899297828755</v>
      </c>
      <c r="FK84" s="62">
        <f t="shared" si="102"/>
        <v>162.88011837476813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126.87932538008772</v>
      </c>
      <c r="FR84" s="23">
        <f>EXP(-LN(2)/25)*FR83+(1-EXP(-LN(2)/25))/(LN(2)/25)*Calculateur!FM84*Calculateur!FO84*VLOOKUP('Données projet'!$B$16,Paramètres!$A$1:$I$89,3,0)*0.475*44/12</f>
        <v>10.624536733919584</v>
      </c>
      <c r="FS84" s="23">
        <f>EXP(-LN(2)/2)*FS83+(1-EXP(-LN(2)/2))/(LN(2)/2)*FM84*FP84*VLOOKUP('Données projet'!$B$16,Paramètres!$A$1:$I$89,3,0)*0.475*44/12</f>
        <v>3.5266845854944592E-2</v>
      </c>
      <c r="FT84" s="24">
        <f t="shared" si="78"/>
        <v>137.53912895986224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1.7053025658242404E-13</v>
      </c>
      <c r="GA84" s="18">
        <f>FZ84*VLOOKUP('Données projet'!$B$17,Paramètres!$A$1:$I$89,3,0)*VLOOKUP('Données projet'!$B$17,Paramètres!$A$1:$I$89,5,0)</f>
        <v>1.1439169611549005E-13</v>
      </c>
      <c r="GB84" s="14">
        <f t="shared" si="103"/>
        <v>1.6918016515029816E-12</v>
      </c>
      <c r="GC84" s="22">
        <f t="shared" si="79"/>
        <v>3.1457867471021712E-12</v>
      </c>
      <c r="GD84" s="62">
        <f t="shared" si="80"/>
        <v>293.33333333333644</v>
      </c>
      <c r="GE84" s="62">
        <f ca="1">AVERAGE(OFFSET($GD$3,0,0,'Données projet'!$E$17+1,1))-AVERAGE(OFFSET($H$3,0,0,'Données projet'!$E$17+1,1))</f>
        <v>218.89895999738746</v>
      </c>
      <c r="GF84" s="62">
        <f t="shared" si="104"/>
        <v>145.64042897395763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134.49208490289297</v>
      </c>
      <c r="GM84" s="23">
        <f>EXP(-LN(2)/25)*GM83+(1-EXP(-LN(2)/25))/(LN(2)/25)*Calculateur!GH84*Calculateur!GJ84*VLOOKUP('Données projet'!$B$17,Paramètres!$A$1:$I$89,3,0)*0.475*44/12</f>
        <v>11.262008937954761</v>
      </c>
      <c r="GN84" s="23">
        <f>EXP(-LN(2)/2)*GN83+(1-EXP(-LN(2)/2))/(LN(2)/2)*GH84*GK84*VLOOKUP('Données projet'!$B$17,Paramètres!$A$1:$I$89,3,0)*0.475*44/12</f>
        <v>3.0329487435252388E-2</v>
      </c>
      <c r="GO84" s="23">
        <f t="shared" si="81"/>
        <v>145.78442332828297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1.7053025658242404E-13</v>
      </c>
      <c r="GV84" s="18">
        <f>GU84*VLOOKUP('Données projet'!$B$18,Paramètres!$A$1:$I$89,3,0)*VLOOKUP('Données projet'!$B$18,Paramètres!$A$1:$I$89,5,0)</f>
        <v>1.8355876818532125E-13</v>
      </c>
      <c r="GW84" s="14">
        <f t="shared" si="105"/>
        <v>2.5693529898865504E-12</v>
      </c>
      <c r="GX84" s="22">
        <f t="shared" si="82"/>
        <v>4.7946546453085093E-12</v>
      </c>
      <c r="GY84" s="62">
        <f t="shared" si="83"/>
        <v>293.33333333333809</v>
      </c>
      <c r="GZ84" s="62">
        <f ca="1">AVERAGE(OFFSET($GY$3,0,0,'Données projet'!$E$18+1,1))-AVERAGE(OFFSET($H$3,0,0,'Données projet'!$E$18+1,1))</f>
        <v>331.3579800635751</v>
      </c>
      <c r="HA84" s="62">
        <f t="shared" si="106"/>
        <v>209.40702003535273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175.093469024521</v>
      </c>
      <c r="HH84" s="23">
        <f>EXP(-LN(2)/25)*HH83+(1-EXP(-LN(2)/25))/(LN(2)/25)*Calculateur!HC84*Calculateur!HE84*VLOOKUP('Données projet'!$B$18,Paramètres!$A$1:$I$89,3,0)*0.475*44/12</f>
        <v>14.66186069280903</v>
      </c>
      <c r="HI84" s="23">
        <f>EXP(-LN(2)/2)*HI83+(1-EXP(-LN(2)/2))/(LN(2)/2)*HC84*HF84*VLOOKUP('Données projet'!$B$18,Paramètres!$A$1:$I$89,3,0)*0.475*44/12</f>
        <v>4.8668247279823551E-2</v>
      </c>
      <c r="HJ84" s="24">
        <f t="shared" si="84"/>
        <v>189.80399796460986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46.510000000000005</v>
      </c>
      <c r="N85" s="14">
        <f>IF('Données projet'!$A$36&gt;35,N84+M85-V84,IF(A85&lt;'Données projet'!$A$36,$K$205^A85,IF(A85='Données projet'!$A$36,'Données projet'!$B$36,N84+M85-V84)))</f>
        <v>1592.5699999999995</v>
      </c>
      <c r="O85" s="14">
        <f>N85*VLOOKUP('Données projet'!$B$9,Paramètres!$A$1:$I$89,3,0)*VLOOKUP('Données projet'!$B$9,Paramètres!$A$1:$I$89,5,0)</f>
        <v>1440.9573359999995</v>
      </c>
      <c r="P85" s="14">
        <f t="shared" si="87"/>
        <v>284.79751568988229</v>
      </c>
      <c r="Q85" s="22">
        <f t="shared" si="54"/>
        <v>3005.689700026544</v>
      </c>
      <c r="R85" s="62">
        <f t="shared" si="55"/>
        <v>3299.0230333598774</v>
      </c>
      <c r="S85" s="62">
        <f ca="1">AVERAGE(OFFSET($R$3,0,0,'Données projet'!$E$9+1,1))-AVERAGE(OFFSET($H$3,0,0,'Données projet'!$E$9+1,1))</f>
        <v>2472.5049373954762</v>
      </c>
      <c r="T85" s="62">
        <f t="shared" si="88"/>
        <v>286.98388307318311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62.479601131588439</v>
      </c>
      <c r="AA85" s="23">
        <f>EXP(-LN(2)/25)*AA84+(1-EXP(-LN(2)/25))/(LN(2)/25)*Calculateur!V85*Calculateur!X85*VLOOKUP('Données projet'!$B$9,Paramètres!$A$1:$I$89,3,0)*0.475*44/12</f>
        <v>10.939943441407353</v>
      </c>
      <c r="AB85" s="23">
        <f>EXP(-LN(2)/2)*AB84+(1-EXP(-LN(2)/2))/(LN(2)/2)*V85*Y85*VLOOKUP('Données projet'!$B$9,Paramètres!$A$1:$I$89,3,0)*0.475*44/12</f>
        <v>0.51907860981043619</v>
      </c>
      <c r="AC85" s="24">
        <f t="shared" si="57"/>
        <v>73.938623182806225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46.510000000000005</v>
      </c>
      <c r="AI85" s="14">
        <f>IF('Données projet'!$A$62&gt;35,AI84+AH85-AQ84,IF(A85&lt;'Données projet'!$A$62,$AF$205^A85,IF(A85='Données projet'!$A$62,'Données projet'!$B$62,AI84+AH85-AQ84)))</f>
        <v>1592.5699999999995</v>
      </c>
      <c r="AJ85" s="14">
        <f>AI85*VLOOKUP('Données projet'!$B$10,Paramètres!$A$1:$I$89,3,0)*VLOOKUP('Données projet'!$B$10,Paramètres!$A$1:$I$89,5,0)</f>
        <v>1614.8659799999996</v>
      </c>
      <c r="AK85" s="14">
        <f t="shared" si="89"/>
        <v>314.96439606165166</v>
      </c>
      <c r="AL85" s="22">
        <f t="shared" si="58"/>
        <v>3361.1212383073757</v>
      </c>
      <c r="AM85" s="62">
        <f t="shared" si="59"/>
        <v>3654.4545716407092</v>
      </c>
      <c r="AN85" s="62">
        <f ca="1">AVERAGE(OFFSET($AM$3,0,0,'Données projet'!$E$10+1,1))-AVERAGE(OFFSET($H$3,0,0,'Données projet'!$E$10+1,1))</f>
        <v>2761.1400657295467</v>
      </c>
      <c r="AO85" s="62">
        <f t="shared" si="90"/>
        <v>316.41877504316409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70.0202426474698</v>
      </c>
      <c r="AV85" s="23">
        <f>EXP(-LN(2)/25)*AV84+(1-EXP(-LN(2)/25))/(LN(2)/25)*Calculateur!AQ85*Calculateur!AS85*VLOOKUP('Données projet'!$B$10,Paramètres!$A$1:$I$89,3,0)*0.475*44/12</f>
        <v>12.260281442956517</v>
      </c>
      <c r="AW85" s="23">
        <f>EXP(-LN(2)/2)*AW84+(1-EXP(-LN(2)/2))/(LN(2)/2)*AQ85*AT85*VLOOKUP('Données projet'!$B$10,Paramètres!$A$1:$I$89,3,0)*0.475*44/12</f>
        <v>0.58172602823583386</v>
      </c>
      <c r="AX85" s="23">
        <f t="shared" si="60"/>
        <v>82.862250118662146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46.510000000000005</v>
      </c>
      <c r="BD85" s="13">
        <f>IF('Données projet'!$A$88&gt;35,BD84+BC85-BL84,IF(A85&lt;'Données projet'!$A$88,$BA$205^A85,IF(A85='Données projet'!$A$88,'Données projet'!$B$88,BD84+BC85-BL84)))</f>
        <v>1592.5699999999995</v>
      </c>
      <c r="BE85" s="14">
        <f>BD85*VLOOKUP('Données projet'!$B$11,Paramètres!$A$1:$I$89,3,0)*VLOOKUP('Données projet'!$B$11,Paramètres!$A$1:$I$89,5,0)</f>
        <v>1664.5541639999997</v>
      </c>
      <c r="BF85" s="14">
        <f t="shared" si="91"/>
        <v>323.51238929565943</v>
      </c>
      <c r="BG85" s="22">
        <f t="shared" si="61"/>
        <v>3462.5492469899395</v>
      </c>
      <c r="BH85" s="62">
        <f t="shared" si="62"/>
        <v>3755.882580323273</v>
      </c>
      <c r="BI85" s="62">
        <f ca="1">AVERAGE(OFFSET($BH$3,0,0,'Données projet'!$E$11+1,1))-AVERAGE(OFFSET($H$3,0,0,'Données projet'!$E$11+1,1))</f>
        <v>2843.5086223152098</v>
      </c>
      <c r="BJ85" s="62">
        <f t="shared" si="92"/>
        <v>324.81562437645522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72.174711652007332</v>
      </c>
      <c r="BQ85" s="23">
        <f>EXP(-LN(2)/25)*BQ84+(1-EXP(-LN(2)/25))/(LN(2)/25)*Calculateur!BL85*Calculateur!BN85*VLOOKUP('Données projet'!$B$11,Paramètres!$A$1:$I$89,3,0)*0.475*44/12</f>
        <v>12.63752087197056</v>
      </c>
      <c r="BR85" s="23">
        <f>EXP(-LN(2)/2)*BR84+(1-EXP(-LN(2)/2))/(LN(2)/2)*BL85*BO85*VLOOKUP('Données projet'!$B$11,Paramètres!$A$1:$I$89,3,0)*0.475*44/12</f>
        <v>0.59962529064308978</v>
      </c>
      <c r="BS85" s="24">
        <f t="shared" si="63"/>
        <v>85.411857814620987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46.510000000000005</v>
      </c>
      <c r="BY85" s="13">
        <f>IF('Données projet'!$A$114&gt;35,BY84+BX85-CG84,IF(A85&lt;'Données projet'!$A$114,$BV$205^A85,IF(A85='Données projet'!$A$114,'Données projet'!$B$114,BY84+BX85-CG84)))</f>
        <v>1592.5699999999995</v>
      </c>
      <c r="BZ85" s="14">
        <f>BY85*VLOOKUP('Données projet'!$B$12,Paramètres!$A$1:$I$89,3,0)*VLOOKUP('Données projet'!$B$12,Paramètres!$A$1:$I$89,5,0)</f>
        <v>1590.0218879999995</v>
      </c>
      <c r="CA85" s="14">
        <f t="shared" si="93"/>
        <v>310.67896273041089</v>
      </c>
      <c r="CB85" s="22">
        <f t="shared" si="64"/>
        <v>3310.3873150221311</v>
      </c>
      <c r="CC85" s="62">
        <f t="shared" si="65"/>
        <v>3603.7206483554646</v>
      </c>
      <c r="CD85" s="62">
        <f ca="1">AVERAGE(OFFSET($CC$3,0,0,'Données projet'!$E$12+1,1))-AVERAGE(OFFSET($H$3,0,0,'Données projet'!$E$12+1,1))</f>
        <v>2719.939926994799</v>
      </c>
      <c r="CE85" s="62">
        <f t="shared" si="94"/>
        <v>312.21824046329749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68.943008145201048</v>
      </c>
      <c r="CL85" s="23">
        <f>EXP(-LN(2)/25)*CL84+(1-EXP(-LN(2)/25))/(LN(2)/25)*Calculateur!CG85*Calculateur!CI85*VLOOKUP('Données projet'!$B$12,Paramètres!$A$1:$I$89,3,0)*0.475*44/12</f>
        <v>12.071661728449492</v>
      </c>
      <c r="CM85" s="23">
        <f>EXP(-LN(2)/2)*CM84+(1-EXP(-LN(2)/2))/(LN(2)/2)*CG85*CJ85*VLOOKUP('Données projet'!$B$12,Paramètres!$A$1:$I$89,3,0)*0.475*44/12</f>
        <v>0.57277639703220551</v>
      </c>
      <c r="CN85" s="24">
        <f t="shared" si="66"/>
        <v>81.587446270682747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1.1368683772161603E-12</v>
      </c>
      <c r="CU85" s="18">
        <f>CT85*VLOOKUP('Données projet'!$B$13,Paramètres!$A$1:$I$89,3,0)*VLOOKUP('Données projet'!$B$13,Paramètres!$A$1:$I$89,5,0)</f>
        <v>9.9316821433603771E-13</v>
      </c>
      <c r="CV85" s="14">
        <f t="shared" si="95"/>
        <v>1.1421454694498936E-11</v>
      </c>
      <c r="CW85" s="22">
        <f t="shared" si="67"/>
        <v>2.1622134899554243E-11</v>
      </c>
      <c r="CX85" s="62">
        <f t="shared" si="68"/>
        <v>293.33333333335491</v>
      </c>
      <c r="CY85" s="62">
        <f ca="1">AVERAGE(OFFSET($CX$3,0,0,'Données projet'!$E$13+1,1))-AVERAGE(OFFSET($H$3,0,0,'Données projet'!$E$13+1,1))</f>
        <v>1036.0130072090849</v>
      </c>
      <c r="CZ85" s="62">
        <f t="shared" si="96"/>
        <v>346.56593355696174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643.67411863795144</v>
      </c>
      <c r="DG85" s="23">
        <f>EXP(-LN(2)/25)*DG84+(1-EXP(-LN(2)/25))/(LN(2)/25)*Calculateur!DB85*Calculateur!DD85*VLOOKUP('Données projet'!$B$13,Paramètres!$A$1:$I$89,3,0)*0.475*44/12</f>
        <v>40.038586703120984</v>
      </c>
      <c r="DH85" s="23">
        <f>EXP(-LN(2)/2)*DH84+(1-EXP(-LN(2)/2))/(LN(2)/2)*DB85*DE85*VLOOKUP('Données projet'!$B$13,Paramètres!$A$1:$I$89,3,0)*0.475*44/12</f>
        <v>45.187507799330021</v>
      </c>
      <c r="DI85" s="24">
        <f t="shared" si="69"/>
        <v>728.90021314040246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6.8212102632969618E-13</v>
      </c>
      <c r="DP85" s="18">
        <f>DO85*VLOOKUP('Données projet'!$B$14,Paramètres!$A$1:$I$89,3,0)*VLOOKUP('Données projet'!$B$14,Paramètres!$A$1:$I$89,5,0)</f>
        <v>3.8130565371830017E-13</v>
      </c>
      <c r="DQ85" s="14">
        <f t="shared" si="97"/>
        <v>4.9019074112354236E-12</v>
      </c>
      <c r="DR85" s="22">
        <f t="shared" si="70"/>
        <v>9.2015960881277352E-12</v>
      </c>
      <c r="DS85" s="62">
        <f t="shared" si="71"/>
        <v>293.33333333334252</v>
      </c>
      <c r="DT85" s="62">
        <f ca="1">AVERAGE(OFFSET($DS$3,0,0,'Données projet'!$E$14+1,1))-AVERAGE(OFFSET($H$3,0,0,'Données projet'!$E$14+1,1))</f>
        <v>446.48069057792151</v>
      </c>
      <c r="DU85" s="62">
        <f t="shared" si="98"/>
        <v>561.75656782935948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119.44166115649718</v>
      </c>
      <c r="EB85" s="23">
        <f>EXP(-LN(2)/25)*EB84+(1-EXP(-LN(2)/25))/(LN(2)/25)*Calculateur!DW85*Calculateur!DY85*VLOOKUP('Données projet'!$B$14,Paramètres!$A$1:$I$89,3,0)*0.475*44/12</f>
        <v>44.031569307280165</v>
      </c>
      <c r="EC85" s="23">
        <f>EXP(-LN(2)/2)*EC84+(1-EXP(-LN(2)/2))/(LN(2)/2)*DW85*DZ85*VLOOKUP('Données projet'!$B$14,Paramètres!$A$1:$I$89,3,0)*0.475*44/12</f>
        <v>6.5520103467889071E-2</v>
      </c>
      <c r="ED85" s="24">
        <f t="shared" si="72"/>
        <v>163.53875056724522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1.7053025658242404E-13</v>
      </c>
      <c r="EK85" s="18">
        <f>EJ85*VLOOKUP('Données projet'!$B$15,Paramètres!$A$1:$I$89,3,0)*VLOOKUP('Données projet'!$B$15,Paramètres!$A$1:$I$89,5,0)</f>
        <v>1.6493686416652052E-13</v>
      </c>
      <c r="EL85" s="14">
        <f t="shared" si="99"/>
        <v>2.3376205369651282E-12</v>
      </c>
      <c r="EM85" s="22">
        <f t="shared" si="73"/>
        <v>4.3586208069709543E-12</v>
      </c>
      <c r="EN85" s="62">
        <f t="shared" si="74"/>
        <v>293.33333333333769</v>
      </c>
      <c r="EO85" s="62">
        <f ca="1">AVERAGE(OFFSET($EN$3,0,0,'Données projet'!$E$15+1,1))-AVERAGE(OFFSET($H$3,0,0,'Données projet'!$E$15+1,1))</f>
        <v>301.18531163828169</v>
      </c>
      <c r="EP85" s="62">
        <f t="shared" si="100"/>
        <v>192.30530273268101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154.24521100568268</v>
      </c>
      <c r="EW85" s="23">
        <f>EXP(-LN(2)/25)*EW84+(1-EXP(-LN(2)/25))/(LN(2)/25)*Calculateur!ER85*Calculateur!ET85*VLOOKUP('Données projet'!$B$15,Paramètres!$A$1:$I$89,3,0)*0.475*44/12</f>
        <v>12.814170190580962</v>
      </c>
      <c r="EX85" s="23">
        <f>EXP(-LN(2)/2)*EX84+(1-EXP(-LN(2)/2))/(LN(2)/2)*ER85*EU85*VLOOKUP('Données projet'!$B$15,Paramètres!$A$1:$I$89,3,0)*0.475*44/12</f>
        <v>3.0922408060314131E-2</v>
      </c>
      <c r="EY85" s="24">
        <f t="shared" si="75"/>
        <v>167.09030360432396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1.7053025658242404E-13</v>
      </c>
      <c r="FF85" s="18">
        <f>FE85*VLOOKUP('Données projet'!$B$16,Paramètres!$A$1:$I$89,3,0)*VLOOKUP('Données projet'!$B$16,Paramètres!$A$1:$I$89,5,0)</f>
        <v>1.3301360013429075E-13</v>
      </c>
      <c r="FG85" s="14">
        <f t="shared" si="101"/>
        <v>1.9329766731057041E-12</v>
      </c>
      <c r="FH85" s="22">
        <f t="shared" si="76"/>
        <v>3.5982663925596575E-12</v>
      </c>
      <c r="FI85" s="62">
        <f t="shared" si="77"/>
        <v>293.3333333333369</v>
      </c>
      <c r="FJ85" s="62">
        <f ca="1">AVERAGE(OFFSET($FI$3,0,0,'Données projet'!$E$16+1,1))-AVERAGE(OFFSET($H$3,0,0,'Données projet'!$E$16+1,1))</f>
        <v>249.2899297828755</v>
      </c>
      <c r="FK85" s="62">
        <f t="shared" si="102"/>
        <v>162.88011837476813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124.39129919813118</v>
      </c>
      <c r="FR85" s="23">
        <f>EXP(-LN(2)/25)*FR84+(1-EXP(-LN(2)/25))/(LN(2)/25)*Calculateur!FM85*Calculateur!FO85*VLOOKUP('Données projet'!$B$16,Paramètres!$A$1:$I$89,3,0)*0.475*44/12</f>
        <v>10.334008218210448</v>
      </c>
      <c r="FS85" s="23">
        <f>EXP(-LN(2)/2)*FS84+(1-EXP(-LN(2)/2))/(LN(2)/2)*FM85*FP85*VLOOKUP('Données projet'!$B$16,Paramètres!$A$1:$I$89,3,0)*0.475*44/12</f>
        <v>2.4937425855092007E-2</v>
      </c>
      <c r="FT85" s="24">
        <f t="shared" si="78"/>
        <v>134.75024484219671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1.7053025658242404E-13</v>
      </c>
      <c r="GA85" s="18">
        <f>FZ85*VLOOKUP('Données projet'!$B$17,Paramètres!$A$1:$I$89,3,0)*VLOOKUP('Données projet'!$B$17,Paramètres!$A$1:$I$89,5,0)</f>
        <v>1.1439169611549005E-13</v>
      </c>
      <c r="GB85" s="14">
        <f t="shared" si="103"/>
        <v>1.6918016515029816E-12</v>
      </c>
      <c r="GC85" s="22">
        <f t="shared" si="79"/>
        <v>3.1457867471021712E-12</v>
      </c>
      <c r="GD85" s="62">
        <f t="shared" si="80"/>
        <v>293.33333333333644</v>
      </c>
      <c r="GE85" s="62">
        <f ca="1">AVERAGE(OFFSET($GD$3,0,0,'Données projet'!$E$17+1,1))-AVERAGE(OFFSET($H$3,0,0,'Données projet'!$E$17+1,1))</f>
        <v>218.89895999738746</v>
      </c>
      <c r="GF85" s="62">
        <f t="shared" si="104"/>
        <v>145.64042897395763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131.85477715001903</v>
      </c>
      <c r="GM85" s="23">
        <f>EXP(-LN(2)/25)*GM84+(1-EXP(-LN(2)/25))/(LN(2)/25)*Calculateur!GH85*Calculateur!GJ85*VLOOKUP('Données projet'!$B$17,Paramètres!$A$1:$I$89,3,0)*0.475*44/12</f>
        <v>10.954048711303077</v>
      </c>
      <c r="GN85" s="23">
        <f>EXP(-LN(2)/2)*GN84+(1-EXP(-LN(2)/2))/(LN(2)/2)*GH85*GK85*VLOOKUP('Données projet'!$B$17,Paramètres!$A$1:$I$89,3,0)*0.475*44/12</f>
        <v>2.1446186235379156E-2</v>
      </c>
      <c r="GO85" s="23">
        <f t="shared" si="81"/>
        <v>142.83027204755749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1.7053025658242404E-13</v>
      </c>
      <c r="GV85" s="18">
        <f>GU85*VLOOKUP('Données projet'!$B$18,Paramètres!$A$1:$I$89,3,0)*VLOOKUP('Données projet'!$B$18,Paramètres!$A$1:$I$89,5,0)</f>
        <v>1.8355876818532125E-13</v>
      </c>
      <c r="GW85" s="14">
        <f t="shared" si="105"/>
        <v>2.5693529898865504E-12</v>
      </c>
      <c r="GX85" s="22">
        <f t="shared" si="82"/>
        <v>4.7946546453085093E-12</v>
      </c>
      <c r="GY85" s="62">
        <f t="shared" si="83"/>
        <v>293.33333333333809</v>
      </c>
      <c r="GZ85" s="62">
        <f ca="1">AVERAGE(OFFSET($GY$3,0,0,'Données projet'!$E$18+1,1))-AVERAGE(OFFSET($H$3,0,0,'Données projet'!$E$18+1,1))</f>
        <v>331.3579800635751</v>
      </c>
      <c r="HA85" s="62">
        <f t="shared" si="106"/>
        <v>209.40702003535273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171.65999289342096</v>
      </c>
      <c r="HH85" s="23">
        <f>EXP(-LN(2)/25)*HH84+(1-EXP(-LN(2)/25))/(LN(2)/25)*Calculateur!HC85*Calculateur!HE85*VLOOKUP('Données projet'!$B$18,Paramètres!$A$1:$I$89,3,0)*0.475*44/12</f>
        <v>14.260931341130425</v>
      </c>
      <c r="HI85" s="23">
        <f>EXP(-LN(2)/2)*HI84+(1-EXP(-LN(2)/2))/(LN(2)/2)*HC85*HF85*VLOOKUP('Données projet'!$B$18,Paramètres!$A$1:$I$89,3,0)*0.475*44/12</f>
        <v>3.4413647680026978E-2</v>
      </c>
      <c r="HJ85" s="24">
        <f t="shared" si="84"/>
        <v>185.95533788223142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>
        <f>VLOOKUP(A86,'Données projet'!$A$35:$I$55,2,0)</f>
        <v>1639.08</v>
      </c>
      <c r="L86" s="13">
        <f>VLOOKUP(A86,'Données projet'!$A$35:$I$55,9,0)</f>
        <v>46.510000000000005</v>
      </c>
      <c r="M86" s="13">
        <f t="array" ref="M86">INDEX(L:L,MIN(IF(ISNUMBER(L86:L282),ROW(L86:L282),"")))</f>
        <v>46.510000000000005</v>
      </c>
      <c r="N86" s="14">
        <f>IF('Données projet'!$A$36&gt;35,N85+M86-V85,IF(A86&lt;'Données projet'!$A$36,$K$205^A86,IF(A86='Données projet'!$A$36,'Données projet'!$B$36,N85+M86-V85)))</f>
        <v>1639.0799999999995</v>
      </c>
      <c r="O86" s="14">
        <f>N86*VLOOKUP('Données projet'!$B$9,Paramètres!$A$1:$I$89,3,0)*VLOOKUP('Données projet'!$B$9,Paramètres!$A$1:$I$89,5,0)</f>
        <v>1483.0395839999994</v>
      </c>
      <c r="P86" s="14">
        <f t="shared" si="87"/>
        <v>292.1343520203161</v>
      </c>
      <c r="Q86" s="22">
        <f t="shared" si="54"/>
        <v>3091.761271902049</v>
      </c>
      <c r="R86" s="62">
        <f t="shared" si="55"/>
        <v>3385.0946052353825</v>
      </c>
      <c r="S86" s="62">
        <f ca="1">AVERAGE(OFFSET($R$3,0,0,'Données projet'!$E$9+1,1))-AVERAGE(OFFSET($H$3,0,0,'Données projet'!$E$9+1,1))</f>
        <v>2472.5049373954762</v>
      </c>
      <c r="T86" s="62">
        <f t="shared" si="88"/>
        <v>286.98388307318311</v>
      </c>
      <c r="U86" s="16">
        <f>IF(ISNA(VLOOKUP(A86,'Données projet'!$A$35:$I$55,3,0)),0,VLOOKUP(A86,'Données projet'!$A$35:$I$55,3,0))</f>
        <v>5</v>
      </c>
      <c r="V86" s="16">
        <f>IF(ISNA(VLOOKUP(A86,'Données projet'!$A$35:$I$55,4,0)),0,VLOOKUP(A86,'Données projet'!$A$35:$I$55,4,0))</f>
        <v>327.82</v>
      </c>
      <c r="W86" s="17">
        <f>IF(ISNA(VLOOKUP(A86,'Données projet'!$A$35:$I$55,5,0)),0%,VLOOKUP(A86,'Données projet'!$A$35:$I$55,5,0)*VLOOKUP('Données projet'!$B$9,Paramètres!$A$1:$I$89,7,0))</f>
        <v>0.25800000000000001</v>
      </c>
      <c r="X86" s="17">
        <f>IF(ISNA(VLOOKUP(A86,'Données projet'!$A$35:$I$55,6,0)),0%,VLOOKUP(A86,'Données projet'!$A$35:$I$55,6,0)*VLOOKUP('Données projet'!$B$9,Paramètres!$A$1:$I$89,7,0))</f>
        <v>3.44E-2</v>
      </c>
      <c r="Y86" s="17">
        <f>IF(ISNA(VLOOKUP(A86,'Données projet'!$A$35:$I$55,7,0)),0%,VLOOKUP(A86,'Données projet'!$A$35:$I$55,7,0))</f>
        <v>0.12</v>
      </c>
      <c r="Z86" s="23">
        <f>EXP(-LN(2)/35)*Z85+(1-EXP(-LN(2)/35))/(LN(2)/35)*V86*W86*VLOOKUP('Données projet'!$B$9,Paramètres!$A$1:$I$89,3,0)*0.475*44/12</f>
        <v>145.85139321934074</v>
      </c>
      <c r="AA86" s="23">
        <f>EXP(-LN(2)/25)*AA85+(1-EXP(-LN(2)/25))/(LN(2)/25)*Calculateur!V86*Calculateur!X86*VLOOKUP('Données projet'!$B$9,Paramètres!$A$1:$I$89,3,0)*0.475*44/12</f>
        <v>21.875975234964592</v>
      </c>
      <c r="AB86" s="23">
        <f>EXP(-LN(2)/2)*AB85+(1-EXP(-LN(2)/2))/(LN(2)/2)*V86*Y86*VLOOKUP('Données projet'!$B$9,Paramètres!$A$1:$I$89,3,0)*0.475*44/12</f>
        <v>33.950360092779249</v>
      </c>
      <c r="AC86" s="24">
        <f t="shared" si="57"/>
        <v>201.67772854708457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>
        <f>VLOOKUP(A86,'Données projet'!$A$61:$I$81,2,0)</f>
        <v>1639.08</v>
      </c>
      <c r="AG86" s="13">
        <f>VLOOKUP(A86,'Données projet'!$A$61:$I$81,9,0)</f>
        <v>46.510000000000005</v>
      </c>
      <c r="AH86" s="13">
        <f t="array" ref="AH86">INDEX(AG:AG,MIN(IF(ISNUMBER(AG86:AG282),ROW(AG86:AG282),"")))</f>
        <v>46.510000000000005</v>
      </c>
      <c r="AI86" s="14">
        <f>IF('Données projet'!$A$62&gt;35,AI85+AH86-AQ85,IF(A86&lt;'Données projet'!$A$62,$AF$205^A86,IF(A86='Données projet'!$A$62,'Données projet'!$B$62,AI85+AH86-AQ85)))</f>
        <v>1639.0799999999995</v>
      </c>
      <c r="AJ86" s="14">
        <f>AI86*VLOOKUP('Données projet'!$B$10,Paramètres!$A$1:$I$89,3,0)*VLOOKUP('Données projet'!$B$10,Paramètres!$A$1:$I$89,5,0)</f>
        <v>1662.0271199999995</v>
      </c>
      <c r="AK86" s="14">
        <f t="shared" si="89"/>
        <v>323.07837914265036</v>
      </c>
      <c r="AL86" s="22">
        <f t="shared" si="58"/>
        <v>3457.3920776734485</v>
      </c>
      <c r="AM86" s="62">
        <f t="shared" si="59"/>
        <v>3750.725411006782</v>
      </c>
      <c r="AN86" s="62">
        <f ca="1">AVERAGE(OFFSET($AM$3,0,0,'Données projet'!$E$10+1,1))-AVERAGE(OFFSET($H$3,0,0,'Données projet'!$E$10+1,1))</f>
        <v>2761.1400657295467</v>
      </c>
      <c r="AO86" s="62">
        <f t="shared" si="90"/>
        <v>316.41877504316409</v>
      </c>
      <c r="AP86" s="16">
        <f>IF(ISNA(VLOOKUP(A86,'Données projet'!$A$61:$I$81,3,0)),0,VLOOKUP(A86,'Données projet'!$A$61:$I$81,3,0))</f>
        <v>5</v>
      </c>
      <c r="AQ86" s="16">
        <f>IF(ISNA(VLOOKUP(A86,'Données projet'!$A$61:$I$81,4,0)),0,VLOOKUP(A86,'Données projet'!$A$61:$I$81,4,0))</f>
        <v>327.82</v>
      </c>
      <c r="AR86" s="17">
        <f>IF(ISNA(VLOOKUP(A86,'Données projet'!$A$61:$I$81,5,0)),0%,VLOOKUP(A86,'Données projet'!$A$61:$I$81,5,0)*VLOOKUP('Données projet'!$B$10,Paramètres!$A$1:$I$89,7,0))</f>
        <v>0.25800000000000001</v>
      </c>
      <c r="AS86" s="17">
        <f>IF(ISNA(VLOOKUP(A86,'Données projet'!$A$61:$I$81,6,0)),0%,VLOOKUP(A86,'Données projet'!$A$61:$I$81,6,0)*VLOOKUP('Données projet'!$B$10,Paramètres!$A$1:$I$89,7,0))</f>
        <v>3.44E-2</v>
      </c>
      <c r="AT86" s="17">
        <f>IF(ISNA(VLOOKUP(A86,'Données projet'!$A$61:$I$81,7,0)),0%,VLOOKUP(A86,'Données projet'!$A$61:$I$81,7,0))</f>
        <v>0.12</v>
      </c>
      <c r="AU86" s="23">
        <f>EXP(-LN(2)/35)*AU85+(1-EXP(-LN(2)/35))/(LN(2)/35)*AQ86*AR86*VLOOKUP('Données projet'!$B$10,Paramètres!$A$1:$I$89,3,0)*0.475*44/12</f>
        <v>163.4541475733991</v>
      </c>
      <c r="AV86" s="23">
        <f>EXP(-LN(2)/25)*AV85+(1-EXP(-LN(2)/25))/(LN(2)/25)*Calculateur!AQ86*Calculateur!AS86*VLOOKUP('Données projet'!$B$10,Paramètres!$A$1:$I$89,3,0)*0.475*44/12</f>
        <v>24.516179142632737</v>
      </c>
      <c r="AW86" s="23">
        <f>EXP(-LN(2)/2)*AW85+(1-EXP(-LN(2)/2))/(LN(2)/2)*AQ86*AT86*VLOOKUP('Données projet'!$B$10,Paramètres!$A$1:$I$89,3,0)*0.475*44/12</f>
        <v>38.047817345356059</v>
      </c>
      <c r="AX86" s="23">
        <f t="shared" si="60"/>
        <v>226.01814406138789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>
        <f>VLOOKUP(A86,'Données projet'!$A$87:$I$107,2,0)</f>
        <v>1639.08</v>
      </c>
      <c r="BB86" s="13">
        <f>VLOOKUP(A86,'Données projet'!$A$87:$I$107,9,0)</f>
        <v>46.510000000000005</v>
      </c>
      <c r="BC86" s="13">
        <f t="array" ref="BC86">INDEX(BB:BB,MIN(IF(ISNUMBER(BB86:BB282),ROW(BB86:BB282),"")))</f>
        <v>46.510000000000005</v>
      </c>
      <c r="BD86" s="13">
        <f>IF('Données projet'!$A$88&gt;35,BD85+BC86-BL85,IF(A86&lt;'Données projet'!$A$88,$BA$205^A86,IF(A86='Données projet'!$A$88,'Données projet'!$B$88,BD85+BC86-BL85)))</f>
        <v>1639.0799999999995</v>
      </c>
      <c r="BE86" s="14">
        <f>BD86*VLOOKUP('Données projet'!$B$11,Paramètres!$A$1:$I$89,3,0)*VLOOKUP('Données projet'!$B$11,Paramètres!$A$1:$I$89,5,0)</f>
        <v>1713.1664159999993</v>
      </c>
      <c r="BF86" s="14">
        <f t="shared" si="91"/>
        <v>331.84658225861466</v>
      </c>
      <c r="BG86" s="22">
        <f t="shared" si="61"/>
        <v>3561.7309719670861</v>
      </c>
      <c r="BH86" s="62">
        <f t="shared" si="62"/>
        <v>3855.0643053004196</v>
      </c>
      <c r="BI86" s="62">
        <f ca="1">AVERAGE(OFFSET($BH$3,0,0,'Données projet'!$E$11+1,1))-AVERAGE(OFFSET($H$3,0,0,'Données projet'!$E$11+1,1))</f>
        <v>2843.5086223152098</v>
      </c>
      <c r="BJ86" s="62">
        <f t="shared" si="92"/>
        <v>324.81562437645522</v>
      </c>
      <c r="BK86" s="16">
        <f>IF(ISNA(VLOOKUP(A86,'Données projet'!$A$87:$I$107,3,0)),0,VLOOKUP(A86,'Données projet'!$A$87:$I$107,3,0))</f>
        <v>5</v>
      </c>
      <c r="BL86" s="16">
        <f>IF(ISNA(VLOOKUP(A86,'Données projet'!$A$87:$I$107,4,0)),0,VLOOKUP(A86,'Données projet'!$A$87:$I$107,4,0))</f>
        <v>327.82</v>
      </c>
      <c r="BM86" s="17">
        <f>IF(ISNA(VLOOKUP(A86,'Données projet'!$A$87:$I$107,5,0)),0%,VLOOKUP(A86,'Données projet'!$A$87:$I$107,5,0)*VLOOKUP('Données projet'!$B$11,Paramètres!$A$1:$I$89,7,0))</f>
        <v>0.25800000000000001</v>
      </c>
      <c r="BN86" s="17">
        <f>IF(ISNA(VLOOKUP(A86,'Données projet'!$A$87:$I$107,6,0)),0%,VLOOKUP(A86,'Données projet'!$A$87:$I$107,6,0)*VLOOKUP('Données projet'!$B$11,Paramètres!$A$1:$I$89,7,0))</f>
        <v>3.44E-2</v>
      </c>
      <c r="BO86" s="17">
        <f>IF(ISNA(VLOOKUP(A86,'Données projet'!$A$87:$I$107,7,0)),0%,VLOOKUP(A86,'Données projet'!$A$87:$I$107,7,0))</f>
        <v>0.12</v>
      </c>
      <c r="BP86" s="23">
        <f>EXP(-LN(2)/35)*BP85+(1-EXP(-LN(2)/35))/(LN(2)/35)*BL86*BM86*VLOOKUP('Données projet'!$B$11,Paramètres!$A$1:$I$89,3,0)*0.475*44/12</f>
        <v>168.48350596027294</v>
      </c>
      <c r="BQ86" s="23">
        <f>EXP(-LN(2)/25)*BQ85+(1-EXP(-LN(2)/25))/(LN(2)/25)*Calculateur!BL86*Calculateur!BN86*VLOOKUP('Données projet'!$B$11,Paramètres!$A$1:$I$89,3,0)*0.475*44/12</f>
        <v>25.270523116252203</v>
      </c>
      <c r="BR86" s="23">
        <f>EXP(-LN(2)/2)*BR85+(1-EXP(-LN(2)/2))/(LN(2)/2)*BL86*BO86*VLOOKUP('Données projet'!$B$11,Paramètres!$A$1:$I$89,3,0)*0.475*44/12</f>
        <v>39.218519417520859</v>
      </c>
      <c r="BS86" s="24">
        <f t="shared" si="63"/>
        <v>232.97254849404601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>
        <f>VLOOKUP(A86,'Données projet'!$A$113:$I$133,2,0)</f>
        <v>1639.08</v>
      </c>
      <c r="BW86" s="13">
        <f>VLOOKUP(A86,'Données projet'!$A$113:$I$133,9,0)</f>
        <v>46.510000000000005</v>
      </c>
      <c r="BX86" s="13">
        <f t="array" ref="BX86">INDEX(BW:BW,MIN(IF(ISNUMBER(BW86:BW282),ROW(BW86:BW282),"")))</f>
        <v>46.510000000000005</v>
      </c>
      <c r="BY86" s="13">
        <f>IF('Données projet'!$A$114&gt;35,BY85+BX86-CG85,IF(A86&lt;'Données projet'!$A$114,$BV$205^A86,IF(A86='Données projet'!$A$114,'Données projet'!$B$114,BY85+BX86-CG85)))</f>
        <v>1639.0799999999995</v>
      </c>
      <c r="BZ86" s="14">
        <f>BY86*VLOOKUP('Données projet'!$B$12,Paramètres!$A$1:$I$89,3,0)*VLOOKUP('Données projet'!$B$12,Paramètres!$A$1:$I$89,5,0)</f>
        <v>1636.4574719999996</v>
      </c>
      <c r="CA86" s="14">
        <f t="shared" si="93"/>
        <v>318.68254624250847</v>
      </c>
      <c r="CB86" s="22">
        <f t="shared" si="64"/>
        <v>3405.2021984390353</v>
      </c>
      <c r="CC86" s="62">
        <f t="shared" si="65"/>
        <v>3698.5355317723688</v>
      </c>
      <c r="CD86" s="62">
        <f ca="1">AVERAGE(OFFSET($CC$3,0,0,'Données projet'!$E$12+1,1))-AVERAGE(OFFSET($H$3,0,0,'Données projet'!$E$12+1,1))</f>
        <v>2719.939926994799</v>
      </c>
      <c r="CE86" s="62">
        <f t="shared" si="94"/>
        <v>312.21824046329749</v>
      </c>
      <c r="CF86" s="16">
        <f>IF(ISNA(VLOOKUP(A86,'Données projet'!$A$113:$I$133,3,0)),0,VLOOKUP(A86,'Données projet'!$A$113:$I$133,3,0))</f>
        <v>5</v>
      </c>
      <c r="CG86" s="16">
        <f>IF(ISNA(VLOOKUP(A86,'Données projet'!$A$113:$I$133,4,0)),0,VLOOKUP(A86,'Données projet'!$A$113:$I$133,4,0))</f>
        <v>327.82</v>
      </c>
      <c r="CH86" s="17">
        <f>IF(ISNA(VLOOKUP(A86,'Données projet'!$A$113:$I$133,5,0)),0%,VLOOKUP(A86,'Données projet'!$A$113:$I$133,5,0)*VLOOKUP('Données projet'!$B$12,Paramètres!$A$1:$I$89,7,0))</f>
        <v>0.25800000000000001</v>
      </c>
      <c r="CI86" s="17">
        <f>IF(ISNA(VLOOKUP(A86,'Données projet'!$A$113:$I$133,6,0)),0%,VLOOKUP(A86,'Données projet'!$A$113:$I$133,6,0)*VLOOKUP('Données projet'!$B$12,Paramètres!$A$1:$I$89,7,0))</f>
        <v>3.44E-2</v>
      </c>
      <c r="CJ86" s="17">
        <f>IF(ISNA(VLOOKUP(A86,'Données projet'!$A$113:$I$133,7,0)),0%,VLOOKUP(A86,'Données projet'!$A$113:$I$133,7,0))</f>
        <v>0.12</v>
      </c>
      <c r="CK86" s="23">
        <f>EXP(-LN(2)/35)*CK85+(1-EXP(-LN(2)/35))/(LN(2)/35)*CG86*CH86*VLOOKUP('Données projet'!$B$12,Paramètres!$A$1:$I$89,3,0)*0.475*44/12</f>
        <v>160.93946837996219</v>
      </c>
      <c r="CL86" s="23">
        <f>EXP(-LN(2)/25)*CL85+(1-EXP(-LN(2)/25))/(LN(2)/25)*Calculateur!CG86*Calculateur!CI86*VLOOKUP('Données projet'!$B$12,Paramètres!$A$1:$I$89,3,0)*0.475*44/12</f>
        <v>24.139007155823002</v>
      </c>
      <c r="CM86" s="23">
        <f>EXP(-LN(2)/2)*CM85+(1-EXP(-LN(2)/2))/(LN(2)/2)*CG86*CJ86*VLOOKUP('Données projet'!$B$12,Paramètres!$A$1:$I$89,3,0)*0.475*44/12</f>
        <v>37.462466309273651</v>
      </c>
      <c r="CN86" s="24">
        <f t="shared" si="66"/>
        <v>222.54094184505885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1.1368683772161603E-12</v>
      </c>
      <c r="CU86" s="18">
        <f>CT86*VLOOKUP('Données projet'!$B$13,Paramètres!$A$1:$I$89,3,0)*VLOOKUP('Données projet'!$B$13,Paramètres!$A$1:$I$89,5,0)</f>
        <v>9.9316821433603771E-13</v>
      </c>
      <c r="CV86" s="14">
        <f t="shared" si="95"/>
        <v>1.1421454694498936E-11</v>
      </c>
      <c r="CW86" s="22">
        <f t="shared" si="67"/>
        <v>2.1622134899554243E-11</v>
      </c>
      <c r="CX86" s="62">
        <f t="shared" si="68"/>
        <v>293.33333333335491</v>
      </c>
      <c r="CY86" s="62">
        <f ca="1">AVERAGE(OFFSET($CX$3,0,0,'Données projet'!$E$13+1,1))-AVERAGE(OFFSET($H$3,0,0,'Données projet'!$E$13+1,1))</f>
        <v>1036.0130072090849</v>
      </c>
      <c r="CZ86" s="62">
        <f t="shared" si="96"/>
        <v>346.56593355696174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631.05206177390733</v>
      </c>
      <c r="DG86" s="23">
        <f>EXP(-LN(2)/25)*DG85+(1-EXP(-LN(2)/25))/(LN(2)/25)*Calculateur!DB86*Calculateur!DD86*VLOOKUP('Données projet'!$B$13,Paramètres!$A$1:$I$89,3,0)*0.475*44/12</f>
        <v>38.943729444186374</v>
      </c>
      <c r="DH86" s="23">
        <f>EXP(-LN(2)/2)*DH85+(1-EXP(-LN(2)/2))/(LN(2)/2)*DB86*DE86*VLOOKUP('Données projet'!$B$13,Paramètres!$A$1:$I$89,3,0)*0.475*44/12</f>
        <v>31.952393189826264</v>
      </c>
      <c r="DI86" s="24">
        <f t="shared" si="69"/>
        <v>701.94818440791994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6.8212102632969618E-13</v>
      </c>
      <c r="DP86" s="18">
        <f>DO86*VLOOKUP('Données projet'!$B$14,Paramètres!$A$1:$I$89,3,0)*VLOOKUP('Données projet'!$B$14,Paramètres!$A$1:$I$89,5,0)</f>
        <v>3.8130565371830017E-13</v>
      </c>
      <c r="DQ86" s="14">
        <f t="shared" si="97"/>
        <v>4.9019074112354236E-12</v>
      </c>
      <c r="DR86" s="22">
        <f t="shared" si="70"/>
        <v>9.2015960881277352E-12</v>
      </c>
      <c r="DS86" s="62">
        <f t="shared" si="71"/>
        <v>293.33333333334252</v>
      </c>
      <c r="DT86" s="62">
        <f ca="1">AVERAGE(OFFSET($DS$3,0,0,'Données projet'!$E$14+1,1))-AVERAGE(OFFSET($H$3,0,0,'Données projet'!$E$14+1,1))</f>
        <v>446.48069057792151</v>
      </c>
      <c r="DU86" s="62">
        <f t="shared" si="98"/>
        <v>561.75656782935948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117.09948303343802</v>
      </c>
      <c r="EB86" s="23">
        <f>EXP(-LN(2)/25)*EB85+(1-EXP(-LN(2)/25))/(LN(2)/25)*Calculateur!DW86*Calculateur!DY86*VLOOKUP('Données projet'!$B$14,Paramètres!$A$1:$I$89,3,0)*0.475*44/12</f>
        <v>42.827523729052992</v>
      </c>
      <c r="EC86" s="23">
        <f>EXP(-LN(2)/2)*EC85+(1-EXP(-LN(2)/2))/(LN(2)/2)*DW86*DZ86*VLOOKUP('Données projet'!$B$14,Paramètres!$A$1:$I$89,3,0)*0.475*44/12</f>
        <v>4.6329709466188591E-2</v>
      </c>
      <c r="ED86" s="24">
        <f t="shared" si="72"/>
        <v>159.9733364719572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1.7053025658242404E-13</v>
      </c>
      <c r="EK86" s="18">
        <f>EJ86*VLOOKUP('Données projet'!$B$15,Paramètres!$A$1:$I$89,3,0)*VLOOKUP('Données projet'!$B$15,Paramètres!$A$1:$I$89,5,0)</f>
        <v>1.6493686416652052E-13</v>
      </c>
      <c r="EL86" s="14">
        <f t="shared" si="99"/>
        <v>2.3376205369651282E-12</v>
      </c>
      <c r="EM86" s="22">
        <f t="shared" si="73"/>
        <v>4.3586208069709543E-12</v>
      </c>
      <c r="EN86" s="62">
        <f t="shared" si="74"/>
        <v>293.33333333333769</v>
      </c>
      <c r="EO86" s="62">
        <f ca="1">AVERAGE(OFFSET($EN$3,0,0,'Données projet'!$E$15+1,1))-AVERAGE(OFFSET($H$3,0,0,'Données projet'!$E$15+1,1))</f>
        <v>301.18531163828169</v>
      </c>
      <c r="EP86" s="62">
        <f t="shared" si="100"/>
        <v>192.30530273268101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151.2205564981503</v>
      </c>
      <c r="EW86" s="23">
        <f>EXP(-LN(2)/25)*EW85+(1-EXP(-LN(2)/25))/(LN(2)/25)*Calculateur!ER86*Calculateur!ET86*VLOOKUP('Données projet'!$B$15,Paramètres!$A$1:$I$89,3,0)*0.475*44/12</f>
        <v>12.463766032851602</v>
      </c>
      <c r="EX86" s="23">
        <f>EXP(-LN(2)/2)*EX85+(1-EXP(-LN(2)/2))/(LN(2)/2)*ER86*EU86*VLOOKUP('Données projet'!$B$15,Paramètres!$A$1:$I$89,3,0)*0.475*44/12</f>
        <v>2.1865444430065679E-2</v>
      </c>
      <c r="EY86" s="24">
        <f t="shared" si="75"/>
        <v>163.70618797543196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1.7053025658242404E-13</v>
      </c>
      <c r="FF86" s="18">
        <f>FE86*VLOOKUP('Données projet'!$B$16,Paramètres!$A$1:$I$89,3,0)*VLOOKUP('Données projet'!$B$16,Paramètres!$A$1:$I$89,5,0)</f>
        <v>1.3301360013429075E-13</v>
      </c>
      <c r="FG86" s="14">
        <f t="shared" si="101"/>
        <v>1.9329766731057041E-12</v>
      </c>
      <c r="FH86" s="22">
        <f t="shared" si="76"/>
        <v>3.5982663925596575E-12</v>
      </c>
      <c r="FI86" s="62">
        <f t="shared" si="77"/>
        <v>293.3333333333369</v>
      </c>
      <c r="FJ86" s="62">
        <f ca="1">AVERAGE(OFFSET($FI$3,0,0,'Données projet'!$E$16+1,1))-AVERAGE(OFFSET($H$3,0,0,'Données projet'!$E$16+1,1))</f>
        <v>249.2899297828755</v>
      </c>
      <c r="FK86" s="62">
        <f t="shared" si="102"/>
        <v>162.88011837476813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121.95206169205667</v>
      </c>
      <c r="FR86" s="23">
        <f>EXP(-LN(2)/25)*FR85+(1-EXP(-LN(2)/25))/(LN(2)/25)*Calculateur!FM86*Calculateur!FO86*VLOOKUP('Données projet'!$B$16,Paramètres!$A$1:$I$89,3,0)*0.475*44/12</f>
        <v>10.051424220041609</v>
      </c>
      <c r="FS86" s="23">
        <f>EXP(-LN(2)/2)*FS85+(1-EXP(-LN(2)/2))/(LN(2)/2)*FM86*FP86*VLOOKUP('Données projet'!$B$16,Paramètres!$A$1:$I$89,3,0)*0.475*44/12</f>
        <v>1.7633422927472296E-2</v>
      </c>
      <c r="FT86" s="24">
        <f t="shared" si="78"/>
        <v>132.02111933502576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1.7053025658242404E-13</v>
      </c>
      <c r="GA86" s="18">
        <f>FZ86*VLOOKUP('Données projet'!$B$17,Paramètres!$A$1:$I$89,3,0)*VLOOKUP('Données projet'!$B$17,Paramètres!$A$1:$I$89,5,0)</f>
        <v>1.1439169611549005E-13</v>
      </c>
      <c r="GB86" s="14">
        <f t="shared" si="103"/>
        <v>1.6918016515029816E-12</v>
      </c>
      <c r="GC86" s="22">
        <f t="shared" si="79"/>
        <v>3.1457867471021712E-12</v>
      </c>
      <c r="GD86" s="62">
        <f t="shared" si="80"/>
        <v>293.33333333333644</v>
      </c>
      <c r="GE86" s="62">
        <f ca="1">AVERAGE(OFFSET($GD$3,0,0,'Données projet'!$E$17+1,1))-AVERAGE(OFFSET($H$3,0,0,'Données projet'!$E$17+1,1))</f>
        <v>218.89895999738746</v>
      </c>
      <c r="GF86" s="62">
        <f t="shared" si="104"/>
        <v>145.64042897395763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129.26918539358007</v>
      </c>
      <c r="GM86" s="23">
        <f>EXP(-LN(2)/25)*GM85+(1-EXP(-LN(2)/25))/(LN(2)/25)*Calculateur!GH86*Calculateur!GJ86*VLOOKUP('Données projet'!$B$17,Paramètres!$A$1:$I$89,3,0)*0.475*44/12</f>
        <v>10.654509673244108</v>
      </c>
      <c r="GN86" s="23">
        <f>EXP(-LN(2)/2)*GN85+(1-EXP(-LN(2)/2))/(LN(2)/2)*GH86*GK86*VLOOKUP('Données projet'!$B$17,Paramètres!$A$1:$I$89,3,0)*0.475*44/12</f>
        <v>1.5164743717626198E-2</v>
      </c>
      <c r="GO86" s="23">
        <f t="shared" si="81"/>
        <v>139.93885981054183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1.7053025658242404E-13</v>
      </c>
      <c r="GV86" s="18">
        <f>GU86*VLOOKUP('Données projet'!$B$18,Paramètres!$A$1:$I$89,3,0)*VLOOKUP('Données projet'!$B$18,Paramètres!$A$1:$I$89,5,0)</f>
        <v>1.8355876818532125E-13</v>
      </c>
      <c r="GW86" s="14">
        <f t="shared" si="105"/>
        <v>2.5693529898865504E-12</v>
      </c>
      <c r="GX86" s="22">
        <f t="shared" si="82"/>
        <v>4.7946546453085093E-12</v>
      </c>
      <c r="GY86" s="62">
        <f t="shared" si="83"/>
        <v>293.33333333333809</v>
      </c>
      <c r="GZ86" s="62">
        <f ca="1">AVERAGE(OFFSET($GY$3,0,0,'Données projet'!$E$18+1,1))-AVERAGE(OFFSET($H$3,0,0,'Données projet'!$E$18+1,1))</f>
        <v>331.3579800635751</v>
      </c>
      <c r="HA86" s="62">
        <f t="shared" si="106"/>
        <v>209.40702003535273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168.29384513503814</v>
      </c>
      <c r="HH86" s="23">
        <f>EXP(-LN(2)/25)*HH85+(1-EXP(-LN(2)/25))/(LN(2)/25)*Calculateur!HC86*Calculateur!HE86*VLOOKUP('Données projet'!$B$18,Paramètres!$A$1:$I$89,3,0)*0.475*44/12</f>
        <v>13.870965423657427</v>
      </c>
      <c r="HI86" s="23">
        <f>EXP(-LN(2)/2)*HI85+(1-EXP(-LN(2)/2))/(LN(2)/2)*HC86*HF86*VLOOKUP('Données projet'!$B$18,Paramètres!$A$1:$I$89,3,0)*0.475*44/12</f>
        <v>2.4334123639911776E-2</v>
      </c>
      <c r="HJ86" s="24">
        <f t="shared" si="84"/>
        <v>182.18914468233547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58.727857142857133</v>
      </c>
      <c r="N87" s="14">
        <f>IF('Données projet'!$A$36&gt;35,N86+M87-V86,IF(A87&lt;'Données projet'!$A$36,$K$205^A87,IF(A87='Données projet'!$A$36,'Données projet'!$B$36,N86+M87-V86)))</f>
        <v>1369.9878571428567</v>
      </c>
      <c r="O87" s="14">
        <f>N87*VLOOKUP('Données projet'!$B$9,Paramètres!$A$1:$I$89,3,0)*VLOOKUP('Données projet'!$B$9,Paramètres!$A$1:$I$89,5,0)</f>
        <v>1239.5650131428567</v>
      </c>
      <c r="P87" s="14">
        <f t="shared" si="87"/>
        <v>249.32442546991842</v>
      </c>
      <c r="Q87" s="22">
        <f t="shared" si="54"/>
        <v>2593.1491055839165</v>
      </c>
      <c r="R87" s="62">
        <f t="shared" si="55"/>
        <v>2886.48243891725</v>
      </c>
      <c r="S87" s="62">
        <f ca="1">AVERAGE(OFFSET($R$3,0,0,'Données projet'!$E$9+1,1))-AVERAGE(OFFSET($H$3,0,0,'Données projet'!$E$9+1,1))</f>
        <v>2472.5049373954762</v>
      </c>
      <c r="T87" s="62">
        <f t="shared" si="88"/>
        <v>286.98388307318311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142.9913363588752</v>
      </c>
      <c r="AA87" s="23">
        <f>EXP(-LN(2)/25)*AA86+(1-EXP(-LN(2)/25))/(LN(2)/25)*Calculateur!V87*Calculateur!X87*VLOOKUP('Données projet'!$B$9,Paramètres!$A$1:$I$89,3,0)*0.475*44/12</f>
        <v>21.277775541756945</v>
      </c>
      <c r="AB87" s="23">
        <f>EXP(-LN(2)/2)*AB86+(1-EXP(-LN(2)/2))/(LN(2)/2)*V87*Y87*VLOOKUP('Données projet'!$B$9,Paramètres!$A$1:$I$89,3,0)*0.475*44/12</f>
        <v>24.006529845329354</v>
      </c>
      <c r="AC87" s="24">
        <f t="shared" si="57"/>
        <v>188.27564174596148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58.727857142857133</v>
      </c>
      <c r="AI87" s="14">
        <f>IF('Données projet'!$A$62&gt;35,AI86+AH87-AQ86,IF(A87&lt;'Données projet'!$A$62,$AF$205^A87,IF(A87='Données projet'!$A$62,'Données projet'!$B$62,AI86+AH87-AQ86)))</f>
        <v>1369.9878571428567</v>
      </c>
      <c r="AJ87" s="14">
        <f>AI87*VLOOKUP('Données projet'!$B$10,Paramètres!$A$1:$I$89,3,0)*VLOOKUP('Données projet'!$B$10,Paramètres!$A$1:$I$89,5,0)</f>
        <v>1389.1676871428567</v>
      </c>
      <c r="AK87" s="14">
        <f t="shared" si="89"/>
        <v>275.73385568805668</v>
      </c>
      <c r="AL87" s="22">
        <f t="shared" si="58"/>
        <v>2899.7035204305071</v>
      </c>
      <c r="AM87" s="62">
        <f t="shared" si="59"/>
        <v>3193.0368537638406</v>
      </c>
      <c r="AN87" s="62">
        <f ca="1">AVERAGE(OFFSET($AM$3,0,0,'Données projet'!$E$10+1,1))-AVERAGE(OFFSET($H$3,0,0,'Données projet'!$E$10+1,1))</f>
        <v>2761.1400657295467</v>
      </c>
      <c r="AO87" s="62">
        <f t="shared" si="90"/>
        <v>316.41877504316409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160.24891143667048</v>
      </c>
      <c r="AV87" s="23">
        <f>EXP(-LN(2)/25)*AV86+(1-EXP(-LN(2)/25))/(LN(2)/25)*Calculateur!AQ87*Calculateur!AS87*VLOOKUP('Données projet'!$B$10,Paramètres!$A$1:$I$89,3,0)*0.475*44/12</f>
        <v>23.845782934727616</v>
      </c>
      <c r="AW87" s="23">
        <f>EXP(-LN(2)/2)*AW86+(1-EXP(-LN(2)/2))/(LN(2)/2)*AQ87*AT87*VLOOKUP('Données projet'!$B$10,Paramètres!$A$1:$I$89,3,0)*0.475*44/12</f>
        <v>26.903869654248417</v>
      </c>
      <c r="AX87" s="23">
        <f t="shared" si="60"/>
        <v>210.99856402564652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58.727857142857133</v>
      </c>
      <c r="BD87" s="13">
        <f>IF('Données projet'!$A$88&gt;35,BD86+BC87-BL86,IF(A87&lt;'Données projet'!$A$88,$BA$205^A87,IF(A87='Données projet'!$A$88,'Données projet'!$B$88,BD86+BC87-BL86)))</f>
        <v>1369.9878571428567</v>
      </c>
      <c r="BE87" s="14">
        <f>BD87*VLOOKUP('Données projet'!$B$11,Paramètres!$A$1:$I$89,3,0)*VLOOKUP('Données projet'!$B$11,Paramètres!$A$1:$I$89,5,0)</f>
        <v>1431.9113082857141</v>
      </c>
      <c r="BF87" s="14">
        <f t="shared" si="91"/>
        <v>283.21714955326877</v>
      </c>
      <c r="BG87" s="22">
        <f t="shared" si="61"/>
        <v>2987.1820640695619</v>
      </c>
      <c r="BH87" s="62">
        <f t="shared" si="62"/>
        <v>3280.5153974028954</v>
      </c>
      <c r="BI87" s="62">
        <f ca="1">AVERAGE(OFFSET($BH$3,0,0,'Données projet'!$E$11+1,1))-AVERAGE(OFFSET($H$3,0,0,'Données projet'!$E$11+1,1))</f>
        <v>2843.5086223152098</v>
      </c>
      <c r="BJ87" s="62">
        <f t="shared" si="92"/>
        <v>324.81562437645522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165.17964717318344</v>
      </c>
      <c r="BQ87" s="23">
        <f>EXP(-LN(2)/25)*BQ86+(1-EXP(-LN(2)/25))/(LN(2)/25)*Calculateur!BL87*Calculateur!BN87*VLOOKUP('Données projet'!$B$11,Paramètres!$A$1:$I$89,3,0)*0.475*44/12</f>
        <v>24.579499332719234</v>
      </c>
      <c r="BR87" s="23">
        <f>EXP(-LN(2)/2)*BR86+(1-EXP(-LN(2)/2))/(LN(2)/2)*BL87*BO87*VLOOKUP('Données projet'!$B$11,Paramètres!$A$1:$I$89,3,0)*0.475*44/12</f>
        <v>27.731681028225289</v>
      </c>
      <c r="BS87" s="24">
        <f t="shared" si="63"/>
        <v>217.49082753412796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58.727857142857133</v>
      </c>
      <c r="BY87" s="13">
        <f>IF('Données projet'!$A$114&gt;35,BY86+BX87-CG86,IF(A87&lt;'Données projet'!$A$114,$BV$205^A87,IF(A87='Données projet'!$A$114,'Données projet'!$B$114,BY86+BX87-CG86)))</f>
        <v>1369.9878571428567</v>
      </c>
      <c r="BZ87" s="14">
        <f>BY87*VLOOKUP('Données projet'!$B$12,Paramètres!$A$1:$I$89,3,0)*VLOOKUP('Données projet'!$B$12,Paramètres!$A$1:$I$89,5,0)</f>
        <v>1367.7958765714282</v>
      </c>
      <c r="CA87" s="14">
        <f t="shared" si="93"/>
        <v>271.98219654660306</v>
      </c>
      <c r="CB87" s="22">
        <f t="shared" si="64"/>
        <v>2855.9468106805707</v>
      </c>
      <c r="CC87" s="62">
        <f t="shared" si="65"/>
        <v>3149.2801440139042</v>
      </c>
      <c r="CD87" s="62">
        <f ca="1">AVERAGE(OFFSET($CC$3,0,0,'Données projet'!$E$12+1,1))-AVERAGE(OFFSET($H$3,0,0,'Données projet'!$E$12+1,1))</f>
        <v>2719.939926994799</v>
      </c>
      <c r="CE87" s="62">
        <f t="shared" si="94"/>
        <v>312.21824046329749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157.78354356841402</v>
      </c>
      <c r="CL87" s="23">
        <f>EXP(-LN(2)/25)*CL86+(1-EXP(-LN(2)/25))/(LN(2)/25)*Calculateur!CG87*Calculateur!CI87*VLOOKUP('Données projet'!$B$12,Paramètres!$A$1:$I$89,3,0)*0.475*44/12</f>
        <v>23.478924735731805</v>
      </c>
      <c r="CM87" s="23">
        <f>EXP(-LN(2)/2)*CM86+(1-EXP(-LN(2)/2))/(LN(2)/2)*CG87*CJ87*VLOOKUP('Données projet'!$B$12,Paramètres!$A$1:$I$89,3,0)*0.475*44/12</f>
        <v>26.489963967259975</v>
      </c>
      <c r="CN87" s="24">
        <f t="shared" si="66"/>
        <v>207.75243227140578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1.1368683772161603E-12</v>
      </c>
      <c r="CU87" s="18">
        <f>CT87*VLOOKUP('Données projet'!$B$13,Paramètres!$A$1:$I$89,3,0)*VLOOKUP('Données projet'!$B$13,Paramètres!$A$1:$I$89,5,0)</f>
        <v>9.9316821433603771E-13</v>
      </c>
      <c r="CV87" s="14">
        <f t="shared" si="95"/>
        <v>1.1421454694498936E-11</v>
      </c>
      <c r="CW87" s="22">
        <f t="shared" si="67"/>
        <v>2.1622134899554243E-11</v>
      </c>
      <c r="CX87" s="62">
        <f t="shared" si="68"/>
        <v>293.33333333335491</v>
      </c>
      <c r="CY87" s="62">
        <f ca="1">AVERAGE(OFFSET($CX$3,0,0,'Données projet'!$E$13+1,1))-AVERAGE(OFFSET($H$3,0,0,'Données projet'!$E$13+1,1))</f>
        <v>1036.0130072090849</v>
      </c>
      <c r="CZ87" s="62">
        <f t="shared" si="96"/>
        <v>346.56593355696174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618.67751574627255</v>
      </c>
      <c r="DG87" s="23">
        <f>EXP(-LN(2)/25)*DG86+(1-EXP(-LN(2)/25))/(LN(2)/25)*Calculateur!DB87*Calculateur!DD87*VLOOKUP('Données projet'!$B$13,Paramètres!$A$1:$I$89,3,0)*0.475*44/12</f>
        <v>37.878811114573374</v>
      </c>
      <c r="DH87" s="23">
        <f>EXP(-LN(2)/2)*DH86+(1-EXP(-LN(2)/2))/(LN(2)/2)*DB87*DE87*VLOOKUP('Données projet'!$B$13,Paramètres!$A$1:$I$89,3,0)*0.475*44/12</f>
        <v>22.593753899665014</v>
      </c>
      <c r="DI87" s="24">
        <f t="shared" si="69"/>
        <v>679.15008076051095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6.8212102632969618E-13</v>
      </c>
      <c r="DP87" s="18">
        <f>DO87*VLOOKUP('Données projet'!$B$14,Paramètres!$A$1:$I$89,3,0)*VLOOKUP('Données projet'!$B$14,Paramètres!$A$1:$I$89,5,0)</f>
        <v>3.8130565371830017E-13</v>
      </c>
      <c r="DQ87" s="14">
        <f t="shared" si="97"/>
        <v>4.9019074112354236E-12</v>
      </c>
      <c r="DR87" s="22">
        <f t="shared" si="70"/>
        <v>9.2015960881277352E-12</v>
      </c>
      <c r="DS87" s="62">
        <f t="shared" si="71"/>
        <v>293.33333333334252</v>
      </c>
      <c r="DT87" s="62">
        <f ca="1">AVERAGE(OFFSET($DS$3,0,0,'Données projet'!$E$14+1,1))-AVERAGE(OFFSET($H$3,0,0,'Données projet'!$E$14+1,1))</f>
        <v>446.48069057792151</v>
      </c>
      <c r="DU87" s="62">
        <f t="shared" si="98"/>
        <v>561.75656782935948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114.80323359478446</v>
      </c>
      <c r="EB87" s="23">
        <f>EXP(-LN(2)/25)*EB86+(1-EXP(-LN(2)/25))/(LN(2)/25)*Calculateur!DW87*Calculateur!DY87*VLOOKUP('Données projet'!$B$14,Paramètres!$A$1:$I$89,3,0)*0.475*44/12</f>
        <v>41.656402840480446</v>
      </c>
      <c r="EC87" s="23">
        <f>EXP(-LN(2)/2)*EC86+(1-EXP(-LN(2)/2))/(LN(2)/2)*DW87*DZ87*VLOOKUP('Données projet'!$B$14,Paramètres!$A$1:$I$89,3,0)*0.475*44/12</f>
        <v>3.2760051733944535E-2</v>
      </c>
      <c r="ED87" s="24">
        <f t="shared" si="72"/>
        <v>156.49239648699884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1.7053025658242404E-13</v>
      </c>
      <c r="EK87" s="18">
        <f>EJ87*VLOOKUP('Données projet'!$B$15,Paramètres!$A$1:$I$89,3,0)*VLOOKUP('Données projet'!$B$15,Paramètres!$A$1:$I$89,5,0)</f>
        <v>1.6493686416652052E-13</v>
      </c>
      <c r="EL87" s="14">
        <f t="shared" si="99"/>
        <v>2.3376205369651282E-12</v>
      </c>
      <c r="EM87" s="22">
        <f t="shared" si="73"/>
        <v>4.3586208069709543E-12</v>
      </c>
      <c r="EN87" s="62">
        <f t="shared" si="74"/>
        <v>293.33333333333769</v>
      </c>
      <c r="EO87" s="62">
        <f ca="1">AVERAGE(OFFSET($EN$3,0,0,'Données projet'!$E$15+1,1))-AVERAGE(OFFSET($H$3,0,0,'Données projet'!$E$15+1,1))</f>
        <v>301.18531163828169</v>
      </c>
      <c r="EP87" s="62">
        <f t="shared" si="100"/>
        <v>192.30530273268101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148.25521362065354</v>
      </c>
      <c r="EW87" s="23">
        <f>EXP(-LN(2)/25)*EW86+(1-EXP(-LN(2)/25))/(LN(2)/25)*Calculateur!ER87*Calculateur!ET87*VLOOKUP('Données projet'!$B$15,Paramètres!$A$1:$I$89,3,0)*0.475*44/12</f>
        <v>12.122943695242306</v>
      </c>
      <c r="EX87" s="23">
        <f>EXP(-LN(2)/2)*EX86+(1-EXP(-LN(2)/2))/(LN(2)/2)*ER87*EU87*VLOOKUP('Données projet'!$B$15,Paramètres!$A$1:$I$89,3,0)*0.475*44/12</f>
        <v>1.5461204030157067E-2</v>
      </c>
      <c r="EY87" s="24">
        <f t="shared" si="75"/>
        <v>160.39361851992598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1.7053025658242404E-13</v>
      </c>
      <c r="FF87" s="18">
        <f>FE87*VLOOKUP('Données projet'!$B$16,Paramètres!$A$1:$I$89,3,0)*VLOOKUP('Données projet'!$B$16,Paramètres!$A$1:$I$89,5,0)</f>
        <v>1.3301360013429075E-13</v>
      </c>
      <c r="FG87" s="14">
        <f t="shared" si="101"/>
        <v>1.9329766731057041E-12</v>
      </c>
      <c r="FH87" s="22">
        <f t="shared" si="76"/>
        <v>3.5982663925596575E-12</v>
      </c>
      <c r="FI87" s="62">
        <f t="shared" si="77"/>
        <v>293.3333333333369</v>
      </c>
      <c r="FJ87" s="62">
        <f ca="1">AVERAGE(OFFSET($FI$3,0,0,'Données projet'!$E$16+1,1))-AVERAGE(OFFSET($H$3,0,0,'Données projet'!$E$16+1,1))</f>
        <v>249.2899297828755</v>
      </c>
      <c r="FK87" s="62">
        <f t="shared" si="102"/>
        <v>162.88011837476813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119.56065614568833</v>
      </c>
      <c r="FR87" s="23">
        <f>EXP(-LN(2)/25)*FR86+(1-EXP(-LN(2)/25))/(LN(2)/25)*Calculateur!FM87*Calculateur!FO87*VLOOKUP('Données projet'!$B$16,Paramètres!$A$1:$I$89,3,0)*0.475*44/12</f>
        <v>9.7765674961631444</v>
      </c>
      <c r="FS87" s="23">
        <f>EXP(-LN(2)/2)*FS86+(1-EXP(-LN(2)/2))/(LN(2)/2)*FM87*FP87*VLOOKUP('Données projet'!$B$16,Paramètres!$A$1:$I$89,3,0)*0.475*44/12</f>
        <v>1.2468712927546003E-2</v>
      </c>
      <c r="FT87" s="24">
        <f t="shared" si="78"/>
        <v>129.34969235477902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1.7053025658242404E-13</v>
      </c>
      <c r="GA87" s="18">
        <f>FZ87*VLOOKUP('Données projet'!$B$17,Paramètres!$A$1:$I$89,3,0)*VLOOKUP('Données projet'!$B$17,Paramètres!$A$1:$I$89,5,0)</f>
        <v>1.1439169611549005E-13</v>
      </c>
      <c r="GB87" s="14">
        <f t="shared" si="103"/>
        <v>1.6918016515029816E-12</v>
      </c>
      <c r="GC87" s="22">
        <f t="shared" si="79"/>
        <v>3.1457867471021712E-12</v>
      </c>
      <c r="GD87" s="62">
        <f t="shared" si="80"/>
        <v>293.33333333333644</v>
      </c>
      <c r="GE87" s="62">
        <f ca="1">AVERAGE(OFFSET($GD$3,0,0,'Données projet'!$E$17+1,1))-AVERAGE(OFFSET($H$3,0,0,'Données projet'!$E$17+1,1))</f>
        <v>218.89895999738746</v>
      </c>
      <c r="GF87" s="62">
        <f t="shared" si="104"/>
        <v>145.64042897395763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126.73429551442962</v>
      </c>
      <c r="GM87" s="23">
        <f>EXP(-LN(2)/25)*GM86+(1-EXP(-LN(2)/25))/(LN(2)/25)*Calculateur!GH87*Calculateur!GJ87*VLOOKUP('Données projet'!$B$17,Paramètres!$A$1:$I$89,3,0)*0.475*44/12</f>
        <v>10.363161545932936</v>
      </c>
      <c r="GN87" s="23">
        <f>EXP(-LN(2)/2)*GN86+(1-EXP(-LN(2)/2))/(LN(2)/2)*GH87*GK87*VLOOKUP('Données projet'!$B$17,Paramètres!$A$1:$I$89,3,0)*0.475*44/12</f>
        <v>1.072309311768958E-2</v>
      </c>
      <c r="GO87" s="23">
        <f t="shared" si="81"/>
        <v>137.10818015348025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1.7053025658242404E-13</v>
      </c>
      <c r="GV87" s="18">
        <f>GU87*VLOOKUP('Données projet'!$B$18,Paramètres!$A$1:$I$89,3,0)*VLOOKUP('Données projet'!$B$18,Paramètres!$A$1:$I$89,5,0)</f>
        <v>1.8355876818532125E-13</v>
      </c>
      <c r="GW87" s="14">
        <f t="shared" si="105"/>
        <v>2.5693529898865504E-12</v>
      </c>
      <c r="GX87" s="22">
        <f t="shared" si="82"/>
        <v>4.7946546453085093E-12</v>
      </c>
      <c r="GY87" s="62">
        <f t="shared" si="83"/>
        <v>293.33333333333809</v>
      </c>
      <c r="GZ87" s="62">
        <f ca="1">AVERAGE(OFFSET($GY$3,0,0,'Données projet'!$E$18+1,1))-AVERAGE(OFFSET($H$3,0,0,'Données projet'!$E$18+1,1))</f>
        <v>331.3579800635751</v>
      </c>
      <c r="HA87" s="62">
        <f t="shared" si="106"/>
        <v>209.40702003535273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164.99370548104983</v>
      </c>
      <c r="HH87" s="23">
        <f>EXP(-LN(2)/25)*HH86+(1-EXP(-LN(2)/25))/(LN(2)/25)*Calculateur!HC87*Calculateur!HE87*VLOOKUP('Données projet'!$B$18,Paramètres!$A$1:$I$89,3,0)*0.475*44/12</f>
        <v>13.491663144705146</v>
      </c>
      <c r="HI87" s="23">
        <f>EXP(-LN(2)/2)*HI86+(1-EXP(-LN(2)/2))/(LN(2)/2)*HC87*HF87*VLOOKUP('Données projet'!$B$18,Paramètres!$A$1:$I$89,3,0)*0.475*44/12</f>
        <v>1.7206823840013489E-2</v>
      </c>
      <c r="HJ87" s="24">
        <f t="shared" si="84"/>
        <v>178.50257544959499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58.727857142857133</v>
      </c>
      <c r="N88" s="14">
        <f>IF('Données projet'!$A$36&gt;35,N87+M88-V87,IF(A88&lt;'Données projet'!$A$36,$K$205^A88,IF(A88='Données projet'!$A$36,'Données projet'!$B$36,N87+M88-V87)))</f>
        <v>1428.7157142857138</v>
      </c>
      <c r="O88" s="14">
        <f>N88*VLOOKUP('Données projet'!$B$9,Paramètres!$A$1:$I$89,3,0)*VLOOKUP('Données projet'!$B$9,Paramètres!$A$1:$I$89,5,0)</f>
        <v>1292.7019782857137</v>
      </c>
      <c r="P88" s="14">
        <f t="shared" si="87"/>
        <v>258.74505764615611</v>
      </c>
      <c r="Q88" s="22">
        <f t="shared" si="54"/>
        <v>2702.10358758134</v>
      </c>
      <c r="R88" s="62">
        <f t="shared" si="55"/>
        <v>2995.4369209146735</v>
      </c>
      <c r="S88" s="62">
        <f ca="1">AVERAGE(OFFSET($R$3,0,0,'Données projet'!$E$9+1,1))-AVERAGE(OFFSET($H$3,0,0,'Données projet'!$E$9+1,1))</f>
        <v>2472.5049373954762</v>
      </c>
      <c r="T88" s="62">
        <f t="shared" si="88"/>
        <v>286.98388307318311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140.18736346898098</v>
      </c>
      <c r="AA88" s="23">
        <f>EXP(-LN(2)/25)*AA87+(1-EXP(-LN(2)/25))/(LN(2)/25)*Calculateur!V88*Calculateur!X88*VLOOKUP('Données projet'!$B$9,Paramètres!$A$1:$I$89,3,0)*0.475*44/12</f>
        <v>20.695933650618016</v>
      </c>
      <c r="AB88" s="23">
        <f>EXP(-LN(2)/2)*AB87+(1-EXP(-LN(2)/2))/(LN(2)/2)*V88*Y88*VLOOKUP('Données projet'!$B$9,Paramètres!$A$1:$I$89,3,0)*0.475*44/12</f>
        <v>16.975180046389628</v>
      </c>
      <c r="AC88" s="24">
        <f t="shared" si="57"/>
        <v>177.8584771659886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58.727857142857133</v>
      </c>
      <c r="AI88" s="14">
        <f>IF('Données projet'!$A$62&gt;35,AI87+AH88-AQ87,IF(A88&lt;'Données projet'!$A$62,$AF$205^A88,IF(A88='Données projet'!$A$62,'Données projet'!$B$62,AI87+AH88-AQ87)))</f>
        <v>1428.7157142857138</v>
      </c>
      <c r="AJ88" s="14">
        <f>AI88*VLOOKUP('Données projet'!$B$10,Paramètres!$A$1:$I$89,3,0)*VLOOKUP('Données projet'!$B$10,Paramètres!$A$1:$I$89,5,0)</f>
        <v>1448.717734285714</v>
      </c>
      <c r="AK88" s="14">
        <f t="shared" si="89"/>
        <v>286.15235852056958</v>
      </c>
      <c r="AL88" s="22">
        <f t="shared" si="58"/>
        <v>3021.5654116376099</v>
      </c>
      <c r="AM88" s="62">
        <f t="shared" si="59"/>
        <v>3314.8987449709434</v>
      </c>
      <c r="AN88" s="62">
        <f ca="1">AVERAGE(OFFSET($AM$3,0,0,'Données projet'!$E$10+1,1))-AVERAGE(OFFSET($H$3,0,0,'Données projet'!$E$10+1,1))</f>
        <v>2761.1400657295467</v>
      </c>
      <c r="AO88" s="62">
        <f t="shared" si="90"/>
        <v>316.41877504316409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157.10652802558212</v>
      </c>
      <c r="AV88" s="23">
        <f>EXP(-LN(2)/25)*AV87+(1-EXP(-LN(2)/25))/(LN(2)/25)*Calculateur!AQ88*Calculateur!AS88*VLOOKUP('Données projet'!$B$10,Paramètres!$A$1:$I$89,3,0)*0.475*44/12</f>
        <v>23.193718746382267</v>
      </c>
      <c r="AW88" s="23">
        <f>EXP(-LN(2)/2)*AW87+(1-EXP(-LN(2)/2))/(LN(2)/2)*AQ88*AT88*VLOOKUP('Données projet'!$B$10,Paramètres!$A$1:$I$89,3,0)*0.475*44/12</f>
        <v>19.023908672678033</v>
      </c>
      <c r="AX88" s="23">
        <f t="shared" si="60"/>
        <v>199.32415544464243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58.727857142857133</v>
      </c>
      <c r="BD88" s="13">
        <f>IF('Données projet'!$A$88&gt;35,BD87+BC88-BL87,IF(A88&lt;'Données projet'!$A$88,$BA$205^A88,IF(A88='Données projet'!$A$88,'Données projet'!$B$88,BD87+BC88-BL87)))</f>
        <v>1428.7157142857138</v>
      </c>
      <c r="BE88" s="14">
        <f>BD88*VLOOKUP('Données projet'!$B$11,Paramètres!$A$1:$I$89,3,0)*VLOOKUP('Données projet'!$B$11,Paramètres!$A$1:$I$89,5,0)</f>
        <v>1493.2936645714283</v>
      </c>
      <c r="BF88" s="14">
        <f t="shared" si="91"/>
        <v>293.9184059059715</v>
      </c>
      <c r="BG88" s="22">
        <f t="shared" si="61"/>
        <v>3112.727689414804</v>
      </c>
      <c r="BH88" s="62">
        <f t="shared" si="62"/>
        <v>3406.0610227481375</v>
      </c>
      <c r="BI88" s="62">
        <f ca="1">AVERAGE(OFFSET($BH$3,0,0,'Données projet'!$E$11+1,1))-AVERAGE(OFFSET($H$3,0,0,'Données projet'!$E$11+1,1))</f>
        <v>2843.5086223152098</v>
      </c>
      <c r="BJ88" s="62">
        <f t="shared" si="92"/>
        <v>324.81562437645522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161.94057504175387</v>
      </c>
      <c r="BQ88" s="23">
        <f>EXP(-LN(2)/25)*BQ87+(1-EXP(-LN(2)/25))/(LN(2)/25)*Calculateur!BL88*Calculateur!BN88*VLOOKUP('Données projet'!$B$11,Paramètres!$A$1:$I$89,3,0)*0.475*44/12</f>
        <v>23.907371630886335</v>
      </c>
      <c r="BR88" s="23">
        <f>EXP(-LN(2)/2)*BR87+(1-EXP(-LN(2)/2))/(LN(2)/2)*BL88*BO88*VLOOKUP('Données projet'!$B$11,Paramètres!$A$1:$I$89,3,0)*0.475*44/12</f>
        <v>19.609259708760433</v>
      </c>
      <c r="BS88" s="24">
        <f t="shared" si="63"/>
        <v>205.45720638140062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58.727857142857133</v>
      </c>
      <c r="BY88" s="13">
        <f>IF('Données projet'!$A$114&gt;35,BY87+BX88-CG87,IF(A88&lt;'Données projet'!$A$114,$BV$205^A88,IF(A88='Données projet'!$A$114,'Données projet'!$B$114,BY87+BX88-CG87)))</f>
        <v>1428.7157142857138</v>
      </c>
      <c r="BZ88" s="14">
        <f>BY88*VLOOKUP('Données projet'!$B$12,Paramètres!$A$1:$I$89,3,0)*VLOOKUP('Données projet'!$B$12,Paramètres!$A$1:$I$89,5,0)</f>
        <v>1426.4297691428567</v>
      </c>
      <c r="CA88" s="14">
        <f t="shared" si="93"/>
        <v>282.2589443113738</v>
      </c>
      <c r="CB88" s="22">
        <f t="shared" si="64"/>
        <v>2975.9661759327846</v>
      </c>
      <c r="CC88" s="62">
        <f t="shared" si="65"/>
        <v>3269.2995092661181</v>
      </c>
      <c r="CD88" s="62">
        <f ca="1">AVERAGE(OFFSET($CC$3,0,0,'Données projet'!$E$12+1,1))-AVERAGE(OFFSET($H$3,0,0,'Données projet'!$E$12+1,1))</f>
        <v>2719.939926994799</v>
      </c>
      <c r="CE88" s="62">
        <f t="shared" si="94"/>
        <v>312.21824046329749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154.68950451749623</v>
      </c>
      <c r="CL88" s="23">
        <f>EXP(-LN(2)/25)*CL87+(1-EXP(-LN(2)/25))/(LN(2)/25)*Calculateur!CG88*Calculateur!CI88*VLOOKUP('Données projet'!$B$12,Paramètres!$A$1:$I$89,3,0)*0.475*44/12</f>
        <v>22.836892304130227</v>
      </c>
      <c r="CM88" s="23">
        <f>EXP(-LN(2)/2)*CM87+(1-EXP(-LN(2)/2))/(LN(2)/2)*CG88*CJ88*VLOOKUP('Données projet'!$B$12,Paramètres!$A$1:$I$89,3,0)*0.475*44/12</f>
        <v>18.731233154636829</v>
      </c>
      <c r="CN88" s="24">
        <f t="shared" si="66"/>
        <v>196.2576299762633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1.1368683772161603E-12</v>
      </c>
      <c r="CU88" s="18">
        <f>CT88*VLOOKUP('Données projet'!$B$13,Paramètres!$A$1:$I$89,3,0)*VLOOKUP('Données projet'!$B$13,Paramètres!$A$1:$I$89,5,0)</f>
        <v>9.9316821433603771E-13</v>
      </c>
      <c r="CV88" s="14">
        <f t="shared" si="95"/>
        <v>1.1421454694498936E-11</v>
      </c>
      <c r="CW88" s="22">
        <f t="shared" si="67"/>
        <v>2.1622134899554243E-11</v>
      </c>
      <c r="CX88" s="62">
        <f t="shared" si="68"/>
        <v>293.33333333335491</v>
      </c>
      <c r="CY88" s="62">
        <f ca="1">AVERAGE(OFFSET($CX$3,0,0,'Données projet'!$E$13+1,1))-AVERAGE(OFFSET($H$3,0,0,'Données projet'!$E$13+1,1))</f>
        <v>1036.0130072090849</v>
      </c>
      <c r="CZ88" s="62">
        <f t="shared" si="96"/>
        <v>346.56593355696174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606.54562701851194</v>
      </c>
      <c r="DG88" s="23">
        <f>EXP(-LN(2)/25)*DG87+(1-EXP(-LN(2)/25))/(LN(2)/25)*Calculateur!DB88*Calculateur!DD88*VLOOKUP('Données projet'!$B$13,Paramètres!$A$1:$I$89,3,0)*0.475*44/12</f>
        <v>36.843013032685263</v>
      </c>
      <c r="DH88" s="23">
        <f>EXP(-LN(2)/2)*DH87+(1-EXP(-LN(2)/2))/(LN(2)/2)*DB88*DE88*VLOOKUP('Données projet'!$B$13,Paramètres!$A$1:$I$89,3,0)*0.475*44/12</f>
        <v>15.976196594913135</v>
      </c>
      <c r="DI88" s="24">
        <f t="shared" si="69"/>
        <v>659.36483664611035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6.8212102632969618E-13</v>
      </c>
      <c r="DP88" s="18">
        <f>DO88*VLOOKUP('Données projet'!$B$14,Paramètres!$A$1:$I$89,3,0)*VLOOKUP('Données projet'!$B$14,Paramètres!$A$1:$I$89,5,0)</f>
        <v>3.8130565371830017E-13</v>
      </c>
      <c r="DQ88" s="14">
        <f t="shared" si="97"/>
        <v>4.9019074112354236E-12</v>
      </c>
      <c r="DR88" s="22">
        <f t="shared" si="70"/>
        <v>9.2015960881277352E-12</v>
      </c>
      <c r="DS88" s="62">
        <f t="shared" si="71"/>
        <v>293.33333333334252</v>
      </c>
      <c r="DT88" s="62">
        <f ca="1">AVERAGE(OFFSET($DS$3,0,0,'Données projet'!$E$14+1,1))-AVERAGE(OFFSET($H$3,0,0,'Données projet'!$E$14+1,1))</f>
        <v>446.48069057792151</v>
      </c>
      <c r="DU88" s="62">
        <f t="shared" si="98"/>
        <v>561.75656782935948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112.55201220704903</v>
      </c>
      <c r="EB88" s="23">
        <f>EXP(-LN(2)/25)*EB87+(1-EXP(-LN(2)/25))/(LN(2)/25)*Calculateur!DW88*Calculateur!DY88*VLOOKUP('Données projet'!$B$14,Paramètres!$A$1:$I$89,3,0)*0.475*44/12</f>
        <v>40.517306314192489</v>
      </c>
      <c r="EC88" s="23">
        <f>EXP(-LN(2)/2)*EC87+(1-EXP(-LN(2)/2))/(LN(2)/2)*DW88*DZ88*VLOOKUP('Données projet'!$B$14,Paramètres!$A$1:$I$89,3,0)*0.475*44/12</f>
        <v>2.3164854733094296E-2</v>
      </c>
      <c r="ED88" s="24">
        <f t="shared" si="72"/>
        <v>153.09248337597461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1.7053025658242404E-13</v>
      </c>
      <c r="EK88" s="18">
        <f>EJ88*VLOOKUP('Données projet'!$B$15,Paramètres!$A$1:$I$89,3,0)*VLOOKUP('Données projet'!$B$15,Paramètres!$A$1:$I$89,5,0)</f>
        <v>1.6493686416652052E-13</v>
      </c>
      <c r="EL88" s="14">
        <f t="shared" si="99"/>
        <v>2.3376205369651282E-12</v>
      </c>
      <c r="EM88" s="22">
        <f t="shared" si="73"/>
        <v>4.3586208069709543E-12</v>
      </c>
      <c r="EN88" s="62">
        <f t="shared" si="74"/>
        <v>293.33333333333769</v>
      </c>
      <c r="EO88" s="62">
        <f ca="1">AVERAGE(OFFSET($EN$3,0,0,'Données projet'!$E$15+1,1))-AVERAGE(OFFSET($H$3,0,0,'Données projet'!$E$15+1,1))</f>
        <v>301.18531163828169</v>
      </c>
      <c r="EP88" s="62">
        <f t="shared" si="100"/>
        <v>192.30530273268101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145.34801930830392</v>
      </c>
      <c r="EW88" s="23">
        <f>EXP(-LN(2)/25)*EW87+(1-EXP(-LN(2)/25))/(LN(2)/25)*Calculateur!ER88*Calculateur!ET88*VLOOKUP('Données projet'!$B$15,Paramètres!$A$1:$I$89,3,0)*0.475*44/12</f>
        <v>11.791441162378003</v>
      </c>
      <c r="EX88" s="23">
        <f>EXP(-LN(2)/2)*EX87+(1-EXP(-LN(2)/2))/(LN(2)/2)*ER88*EU88*VLOOKUP('Données projet'!$B$15,Paramètres!$A$1:$I$89,3,0)*0.475*44/12</f>
        <v>1.0932722215032841E-2</v>
      </c>
      <c r="EY88" s="24">
        <f t="shared" si="75"/>
        <v>157.15039319289696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1.7053025658242404E-13</v>
      </c>
      <c r="FF88" s="18">
        <f>FE88*VLOOKUP('Données projet'!$B$16,Paramètres!$A$1:$I$89,3,0)*VLOOKUP('Données projet'!$B$16,Paramètres!$A$1:$I$89,5,0)</f>
        <v>1.3301360013429075E-13</v>
      </c>
      <c r="FG88" s="14">
        <f t="shared" si="101"/>
        <v>1.9329766731057041E-12</v>
      </c>
      <c r="FH88" s="22">
        <f t="shared" si="76"/>
        <v>3.5982663925596575E-12</v>
      </c>
      <c r="FI88" s="62">
        <f t="shared" si="77"/>
        <v>293.3333333333369</v>
      </c>
      <c r="FJ88" s="62">
        <f ca="1">AVERAGE(OFFSET($FI$3,0,0,'Données projet'!$E$16+1,1))-AVERAGE(OFFSET($H$3,0,0,'Données projet'!$E$16+1,1))</f>
        <v>249.2899297828755</v>
      </c>
      <c r="FK88" s="62">
        <f t="shared" si="102"/>
        <v>162.88011837476813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117.21614460347091</v>
      </c>
      <c r="FR88" s="23">
        <f>EXP(-LN(2)/25)*FR87+(1-EXP(-LN(2)/25))/(LN(2)/25)*Calculateur!FM88*Calculateur!FO88*VLOOKUP('Données projet'!$B$16,Paramètres!$A$1:$I$89,3,0)*0.475*44/12</f>
        <v>9.5092267438532225</v>
      </c>
      <c r="FS88" s="23">
        <f>EXP(-LN(2)/2)*FS87+(1-EXP(-LN(2)/2))/(LN(2)/2)*FM88*FP88*VLOOKUP('Données projet'!$B$16,Paramètres!$A$1:$I$89,3,0)*0.475*44/12</f>
        <v>8.8167114637361481E-3</v>
      </c>
      <c r="FT88" s="24">
        <f t="shared" si="78"/>
        <v>126.73418805878786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1.7053025658242404E-13</v>
      </c>
      <c r="GA88" s="18">
        <f>FZ88*VLOOKUP('Données projet'!$B$17,Paramètres!$A$1:$I$89,3,0)*VLOOKUP('Données projet'!$B$17,Paramètres!$A$1:$I$89,5,0)</f>
        <v>1.1439169611549005E-13</v>
      </c>
      <c r="GB88" s="14">
        <f t="shared" si="103"/>
        <v>1.6918016515029816E-12</v>
      </c>
      <c r="GC88" s="22">
        <f t="shared" si="79"/>
        <v>3.1457867471021712E-12</v>
      </c>
      <c r="GD88" s="62">
        <f t="shared" si="80"/>
        <v>293.33333333333644</v>
      </c>
      <c r="GE88" s="62">
        <f ca="1">AVERAGE(OFFSET($GD$3,0,0,'Données projet'!$E$17+1,1))-AVERAGE(OFFSET($H$3,0,0,'Données projet'!$E$17+1,1))</f>
        <v>218.89895999738746</v>
      </c>
      <c r="GF88" s="62">
        <f t="shared" si="104"/>
        <v>145.64042897395763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124.24911327967915</v>
      </c>
      <c r="GM88" s="23">
        <f>EXP(-LN(2)/25)*GM87+(1-EXP(-LN(2)/25))/(LN(2)/25)*Calculateur!GH88*Calculateur!GJ88*VLOOKUP('Données projet'!$B$17,Paramètres!$A$1:$I$89,3,0)*0.475*44/12</f>
        <v>10.07978034848442</v>
      </c>
      <c r="GN88" s="23">
        <f>EXP(-LN(2)/2)*GN87+(1-EXP(-LN(2)/2))/(LN(2)/2)*GH88*GK88*VLOOKUP('Données projet'!$B$17,Paramètres!$A$1:$I$89,3,0)*0.475*44/12</f>
        <v>7.5823718588130997E-3</v>
      </c>
      <c r="GO88" s="23">
        <f t="shared" si="81"/>
        <v>134.33647600002237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1.7053025658242404E-13</v>
      </c>
      <c r="GV88" s="18">
        <f>GU88*VLOOKUP('Données projet'!$B$18,Paramètres!$A$1:$I$89,3,0)*VLOOKUP('Données projet'!$B$18,Paramètres!$A$1:$I$89,5,0)</f>
        <v>1.8355876818532125E-13</v>
      </c>
      <c r="GW88" s="14">
        <f t="shared" si="105"/>
        <v>2.5693529898865504E-12</v>
      </c>
      <c r="GX88" s="22">
        <f t="shared" si="82"/>
        <v>4.7946546453085093E-12</v>
      </c>
      <c r="GY88" s="62">
        <f t="shared" si="83"/>
        <v>293.33333333333809</v>
      </c>
      <c r="GZ88" s="62">
        <f ca="1">AVERAGE(OFFSET($GY$3,0,0,'Données projet'!$E$18+1,1))-AVERAGE(OFFSET($H$3,0,0,'Données projet'!$E$18+1,1))</f>
        <v>331.3579800635751</v>
      </c>
      <c r="HA88" s="62">
        <f t="shared" si="106"/>
        <v>209.40702003535273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161.75827955278979</v>
      </c>
      <c r="HH88" s="23">
        <f>EXP(-LN(2)/25)*HH87+(1-EXP(-LN(2)/25))/(LN(2)/25)*Calculateur!HC88*Calculateur!HE88*VLOOKUP('Données projet'!$B$18,Paramètres!$A$1:$I$89,3,0)*0.475*44/12</f>
        <v>13.122732906517456</v>
      </c>
      <c r="HI88" s="23">
        <f>EXP(-LN(2)/2)*HI87+(1-EXP(-LN(2)/2))/(LN(2)/2)*HC88*HF88*VLOOKUP('Données projet'!$B$18,Paramètres!$A$1:$I$89,3,0)*0.475*44/12</f>
        <v>1.2167061819955888E-2</v>
      </c>
      <c r="HJ88" s="24">
        <f t="shared" si="84"/>
        <v>174.89317952112719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58.727857142857133</v>
      </c>
      <c r="N89" s="14">
        <f>IF('Données projet'!$A$36&gt;35,N88+M89-V88,IF(A89&lt;'Données projet'!$A$36,$K$205^A89,IF(A89='Données projet'!$A$36,'Données projet'!$B$36,N88+M89-V88)))</f>
        <v>1487.443571428571</v>
      </c>
      <c r="O89" s="14">
        <f>N89*VLOOKUP('Données projet'!$B$9,Paramètres!$A$1:$I$89,3,0)*VLOOKUP('Données projet'!$B$9,Paramètres!$A$1:$I$89,5,0)</f>
        <v>1345.8389434285709</v>
      </c>
      <c r="P89" s="14">
        <f t="shared" si="87"/>
        <v>268.12070956043897</v>
      </c>
      <c r="Q89" s="22">
        <f t="shared" si="54"/>
        <v>2810.9797289558592</v>
      </c>
      <c r="R89" s="62">
        <f t="shared" si="55"/>
        <v>3104.3130622891927</v>
      </c>
      <c r="S89" s="62">
        <f ca="1">AVERAGE(OFFSET($R$3,0,0,'Données projet'!$E$9+1,1))-AVERAGE(OFFSET($H$3,0,0,'Données projet'!$E$9+1,1))</f>
        <v>2472.5049373954762</v>
      </c>
      <c r="T89" s="62">
        <f t="shared" si="88"/>
        <v>286.98388307318311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137.43837477720297</v>
      </c>
      <c r="AA89" s="23">
        <f>EXP(-LN(2)/25)*AA88+(1-EXP(-LN(2)/25))/(LN(2)/25)*Calculateur!V89*Calculateur!X89*VLOOKUP('Données projet'!$B$9,Paramètres!$A$1:$I$89,3,0)*0.475*44/12</f>
        <v>20.130002256590018</v>
      </c>
      <c r="AB89" s="23">
        <f>EXP(-LN(2)/2)*AB88+(1-EXP(-LN(2)/2))/(LN(2)/2)*V89*Y89*VLOOKUP('Données projet'!$B$9,Paramètres!$A$1:$I$89,3,0)*0.475*44/12</f>
        <v>12.003264922664679</v>
      </c>
      <c r="AC89" s="24">
        <f t="shared" si="57"/>
        <v>169.57164195645765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58.727857142857133</v>
      </c>
      <c r="AI89" s="14">
        <f>IF('Données projet'!$A$62&gt;35,AI88+AH89-AQ88,IF(A89&lt;'Données projet'!$A$62,$AF$205^A89,IF(A89='Données projet'!$A$62,'Données projet'!$B$62,AI88+AH89-AQ88)))</f>
        <v>1487.443571428571</v>
      </c>
      <c r="AJ89" s="14">
        <f>AI89*VLOOKUP('Données projet'!$B$10,Paramètres!$A$1:$I$89,3,0)*VLOOKUP('Données projet'!$B$10,Paramètres!$A$1:$I$89,5,0)</f>
        <v>1508.267781428571</v>
      </c>
      <c r="AK89" s="14">
        <f t="shared" si="89"/>
        <v>296.52111660370497</v>
      </c>
      <c r="AL89" s="22">
        <f t="shared" si="58"/>
        <v>3143.3406640728804</v>
      </c>
      <c r="AM89" s="62">
        <f t="shared" si="59"/>
        <v>3436.6739974062139</v>
      </c>
      <c r="AN89" s="62">
        <f ca="1">AVERAGE(OFFSET($AM$3,0,0,'Données projet'!$E$10+1,1))-AVERAGE(OFFSET($H$3,0,0,'Données projet'!$E$10+1,1))</f>
        <v>2761.1400657295467</v>
      </c>
      <c r="AO89" s="62">
        <f t="shared" si="90"/>
        <v>316.41877504316409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154.02576483652058</v>
      </c>
      <c r="AV89" s="23">
        <f>EXP(-LN(2)/25)*AV88+(1-EXP(-LN(2)/25))/(LN(2)/25)*Calculateur!AQ89*Calculateur!AS89*VLOOKUP('Données projet'!$B$10,Paramètres!$A$1:$I$89,3,0)*0.475*44/12</f>
        <v>22.559485287557784</v>
      </c>
      <c r="AW89" s="23">
        <f>EXP(-LN(2)/2)*AW88+(1-EXP(-LN(2)/2))/(LN(2)/2)*AQ89*AT89*VLOOKUP('Données projet'!$B$10,Paramètres!$A$1:$I$89,3,0)*0.475*44/12</f>
        <v>13.451934827124211</v>
      </c>
      <c r="AX89" s="23">
        <f t="shared" si="60"/>
        <v>190.03718495120256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58.727857142857133</v>
      </c>
      <c r="BD89" s="13">
        <f>IF('Données projet'!$A$88&gt;35,BD88+BC89-BL88,IF(A89&lt;'Données projet'!$A$88,$BA$205^A89,IF(A89='Données projet'!$A$88,'Données projet'!$B$88,BD88+BC89-BL88)))</f>
        <v>1487.443571428571</v>
      </c>
      <c r="BE89" s="14">
        <f>BD89*VLOOKUP('Données projet'!$B$11,Paramètres!$A$1:$I$89,3,0)*VLOOKUP('Données projet'!$B$11,Paramètres!$A$1:$I$89,5,0)</f>
        <v>1554.6760208571427</v>
      </c>
      <c r="BF89" s="14">
        <f t="shared" si="91"/>
        <v>304.56856745898472</v>
      </c>
      <c r="BG89" s="22">
        <f t="shared" si="61"/>
        <v>3238.1843246505887</v>
      </c>
      <c r="BH89" s="62">
        <f t="shared" si="62"/>
        <v>3531.5176579839222</v>
      </c>
      <c r="BI89" s="62">
        <f ca="1">AVERAGE(OFFSET($BH$3,0,0,'Données projet'!$E$11+1,1))-AVERAGE(OFFSET($H$3,0,0,'Données projet'!$E$11+1,1))</f>
        <v>2843.5086223152098</v>
      </c>
      <c r="BJ89" s="62">
        <f t="shared" si="92"/>
        <v>324.81562437645522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158.76501913918273</v>
      </c>
      <c r="BQ89" s="23">
        <f>EXP(-LN(2)/25)*BQ88+(1-EXP(-LN(2)/25))/(LN(2)/25)*Calculateur!BL89*Calculateur!BN89*VLOOKUP('Données projet'!$B$11,Paramètres!$A$1:$I$89,3,0)*0.475*44/12</f>
        <v>23.253623296405713</v>
      </c>
      <c r="BR89" s="23">
        <f>EXP(-LN(2)/2)*BR88+(1-EXP(-LN(2)/2))/(LN(2)/2)*BL89*BO89*VLOOKUP('Données projet'!$B$11,Paramètres!$A$1:$I$89,3,0)*0.475*44/12</f>
        <v>13.865840514112648</v>
      </c>
      <c r="BS89" s="24">
        <f t="shared" si="63"/>
        <v>195.88448294970109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58.727857142857133</v>
      </c>
      <c r="BY89" s="13">
        <f>IF('Données projet'!$A$114&gt;35,BY88+BX89-CG88,IF(A89&lt;'Données projet'!$A$114,$BV$205^A89,IF(A89='Données projet'!$A$114,'Données projet'!$B$114,BY88+BX89-CG88)))</f>
        <v>1487.443571428571</v>
      </c>
      <c r="BZ89" s="14">
        <f>BY89*VLOOKUP('Données projet'!$B$12,Paramètres!$A$1:$I$89,3,0)*VLOOKUP('Données projet'!$B$12,Paramètres!$A$1:$I$89,5,0)</f>
        <v>1485.0636617142852</v>
      </c>
      <c r="CA89" s="14">
        <f t="shared" si="93"/>
        <v>292.48662415821121</v>
      </c>
      <c r="CB89" s="22">
        <f t="shared" si="64"/>
        <v>3095.9000812279314</v>
      </c>
      <c r="CC89" s="62">
        <f t="shared" si="65"/>
        <v>3389.2334145612649</v>
      </c>
      <c r="CD89" s="62">
        <f ca="1">AVERAGE(OFFSET($CC$3,0,0,'Données projet'!$E$12+1,1))-AVERAGE(OFFSET($H$3,0,0,'Données projet'!$E$12+1,1))</f>
        <v>2719.939926994799</v>
      </c>
      <c r="CE89" s="62">
        <f t="shared" si="94"/>
        <v>312.21824046329749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151.65613768518946</v>
      </c>
      <c r="CL89" s="23">
        <f>EXP(-LN(2)/25)*CL88+(1-EXP(-LN(2)/25))/(LN(2)/25)*Calculateur!CG89*Calculateur!CI89*VLOOKUP('Données projet'!$B$12,Paramètres!$A$1:$I$89,3,0)*0.475*44/12</f>
        <v>22.212416283133816</v>
      </c>
      <c r="CM89" s="23">
        <f>EXP(-LN(2)/2)*CM88+(1-EXP(-LN(2)/2))/(LN(2)/2)*CG89*CJ89*VLOOKUP('Données projet'!$B$12,Paramètres!$A$1:$I$89,3,0)*0.475*44/12</f>
        <v>13.244981983629989</v>
      </c>
      <c r="CN89" s="24">
        <f t="shared" si="66"/>
        <v>187.11353595195328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1.1368683772161603E-12</v>
      </c>
      <c r="CU89" s="18">
        <f>CT89*VLOOKUP('Données projet'!$B$13,Paramètres!$A$1:$I$89,3,0)*VLOOKUP('Données projet'!$B$13,Paramètres!$A$1:$I$89,5,0)</f>
        <v>9.9316821433603771E-13</v>
      </c>
      <c r="CV89" s="14">
        <f t="shared" si="95"/>
        <v>1.1421454694498936E-11</v>
      </c>
      <c r="CW89" s="22">
        <f t="shared" si="67"/>
        <v>2.1622134899554243E-11</v>
      </c>
      <c r="CX89" s="62">
        <f t="shared" si="68"/>
        <v>293.33333333335491</v>
      </c>
      <c r="CY89" s="62">
        <f ca="1">AVERAGE(OFFSET($CX$3,0,0,'Données projet'!$E$13+1,1))-AVERAGE(OFFSET($H$3,0,0,'Données projet'!$E$13+1,1))</f>
        <v>1036.0130072090849</v>
      </c>
      <c r="CZ89" s="62">
        <f t="shared" si="96"/>
        <v>346.56593355696174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594.65163722898126</v>
      </c>
      <c r="DG89" s="23">
        <f>EXP(-LN(2)/25)*DG88+(1-EXP(-LN(2)/25))/(LN(2)/25)*Calculateur!DB89*Calculateur!DD89*VLOOKUP('Données projet'!$B$13,Paramètres!$A$1:$I$89,3,0)*0.475*44/12</f>
        <v>35.835538903816634</v>
      </c>
      <c r="DH89" s="23">
        <f>EXP(-LN(2)/2)*DH88+(1-EXP(-LN(2)/2))/(LN(2)/2)*DB89*DE89*VLOOKUP('Données projet'!$B$13,Paramètres!$A$1:$I$89,3,0)*0.475*44/12</f>
        <v>11.296876949832509</v>
      </c>
      <c r="DI89" s="24">
        <f t="shared" si="69"/>
        <v>641.78405308263041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6.8212102632969618E-13</v>
      </c>
      <c r="DP89" s="18">
        <f>DO89*VLOOKUP('Données projet'!$B$14,Paramètres!$A$1:$I$89,3,0)*VLOOKUP('Données projet'!$B$14,Paramètres!$A$1:$I$89,5,0)</f>
        <v>3.8130565371830017E-13</v>
      </c>
      <c r="DQ89" s="14">
        <f t="shared" si="97"/>
        <v>4.9019074112354236E-12</v>
      </c>
      <c r="DR89" s="22">
        <f t="shared" si="70"/>
        <v>9.2015960881277352E-12</v>
      </c>
      <c r="DS89" s="62">
        <f t="shared" si="71"/>
        <v>293.33333333334252</v>
      </c>
      <c r="DT89" s="62">
        <f ca="1">AVERAGE(OFFSET($DS$3,0,0,'Données projet'!$E$14+1,1))-AVERAGE(OFFSET($H$3,0,0,'Données projet'!$E$14+1,1))</f>
        <v>446.48069057792151</v>
      </c>
      <c r="DU89" s="62">
        <f t="shared" si="98"/>
        <v>561.75656782935948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110.34493589761763</v>
      </c>
      <c r="EB89" s="23">
        <f>EXP(-LN(2)/25)*EB88+(1-EXP(-LN(2)/25))/(LN(2)/25)*Calculateur!DW89*Calculateur!DY89*VLOOKUP('Données projet'!$B$14,Paramètres!$A$1:$I$89,3,0)*0.475*44/12</f>
        <v>39.409358442318357</v>
      </c>
      <c r="EC89" s="23">
        <f>EXP(-LN(2)/2)*EC88+(1-EXP(-LN(2)/2))/(LN(2)/2)*DW89*DZ89*VLOOKUP('Données projet'!$B$14,Paramètres!$A$1:$I$89,3,0)*0.475*44/12</f>
        <v>1.6380025866972268E-2</v>
      </c>
      <c r="ED89" s="24">
        <f t="shared" si="72"/>
        <v>149.77067436580296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1.7053025658242404E-13</v>
      </c>
      <c r="EK89" s="18">
        <f>EJ89*VLOOKUP('Données projet'!$B$15,Paramètres!$A$1:$I$89,3,0)*VLOOKUP('Données projet'!$B$15,Paramètres!$A$1:$I$89,5,0)</f>
        <v>1.6493686416652052E-13</v>
      </c>
      <c r="EL89" s="14">
        <f t="shared" si="99"/>
        <v>2.3376205369651282E-12</v>
      </c>
      <c r="EM89" s="22">
        <f t="shared" si="73"/>
        <v>4.3586208069709543E-12</v>
      </c>
      <c r="EN89" s="62">
        <f t="shared" si="74"/>
        <v>293.33333333333769</v>
      </c>
      <c r="EO89" s="62">
        <f ca="1">AVERAGE(OFFSET($EN$3,0,0,'Données projet'!$E$15+1,1))-AVERAGE(OFFSET($H$3,0,0,'Données projet'!$E$15+1,1))</f>
        <v>301.18531163828169</v>
      </c>
      <c r="EP89" s="62">
        <f t="shared" si="100"/>
        <v>192.30530273268101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142.49783330320605</v>
      </c>
      <c r="EW89" s="23">
        <f>EXP(-LN(2)/25)*EW88+(1-EXP(-LN(2)/25))/(LN(2)/25)*Calculateur!ER89*Calculateur!ET89*VLOOKUP('Données projet'!$B$15,Paramètres!$A$1:$I$89,3,0)*0.475*44/12</f>
        <v>11.469003583707837</v>
      </c>
      <c r="EX89" s="23">
        <f>EXP(-LN(2)/2)*EX88+(1-EXP(-LN(2)/2))/(LN(2)/2)*ER89*EU89*VLOOKUP('Données projet'!$B$15,Paramètres!$A$1:$I$89,3,0)*0.475*44/12</f>
        <v>7.7306020150785353E-3</v>
      </c>
      <c r="EY89" s="24">
        <f t="shared" si="75"/>
        <v>153.97456748892895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1.7053025658242404E-13</v>
      </c>
      <c r="FF89" s="18">
        <f>FE89*VLOOKUP('Données projet'!$B$16,Paramètres!$A$1:$I$89,3,0)*VLOOKUP('Données projet'!$B$16,Paramètres!$A$1:$I$89,5,0)</f>
        <v>1.3301360013429075E-13</v>
      </c>
      <c r="FG89" s="14">
        <f t="shared" si="101"/>
        <v>1.9329766731057041E-12</v>
      </c>
      <c r="FH89" s="22">
        <f t="shared" si="76"/>
        <v>3.5982663925596575E-12</v>
      </c>
      <c r="FI89" s="62">
        <f t="shared" si="77"/>
        <v>293.3333333333369</v>
      </c>
      <c r="FJ89" s="62">
        <f ca="1">AVERAGE(OFFSET($FI$3,0,0,'Données projet'!$E$16+1,1))-AVERAGE(OFFSET($H$3,0,0,'Données projet'!$E$16+1,1))</f>
        <v>249.2899297828755</v>
      </c>
      <c r="FK89" s="62">
        <f t="shared" si="102"/>
        <v>162.88011837476813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114.91760750258553</v>
      </c>
      <c r="FR89" s="23">
        <f>EXP(-LN(2)/25)*FR88+(1-EXP(-LN(2)/25))/(LN(2)/25)*Calculateur!FM89*Calculateur!FO89*VLOOKUP('Données projet'!$B$16,Paramètres!$A$1:$I$89,3,0)*0.475*44/12</f>
        <v>9.2491964384740548</v>
      </c>
      <c r="FS89" s="23">
        <f>EXP(-LN(2)/2)*FS88+(1-EXP(-LN(2)/2))/(LN(2)/2)*FM89*FP89*VLOOKUP('Données projet'!$B$16,Paramètres!$A$1:$I$89,3,0)*0.475*44/12</f>
        <v>6.2343564637730017E-3</v>
      </c>
      <c r="FT89" s="24">
        <f t="shared" si="78"/>
        <v>124.17303829752336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1.7053025658242404E-13</v>
      </c>
      <c r="GA89" s="18">
        <f>FZ89*VLOOKUP('Données projet'!$B$17,Paramètres!$A$1:$I$89,3,0)*VLOOKUP('Données projet'!$B$17,Paramètres!$A$1:$I$89,5,0)</f>
        <v>1.1439169611549005E-13</v>
      </c>
      <c r="GB89" s="14">
        <f t="shared" si="103"/>
        <v>1.6918016515029816E-12</v>
      </c>
      <c r="GC89" s="22">
        <f t="shared" si="79"/>
        <v>3.1457867471021712E-12</v>
      </c>
      <c r="GD89" s="62">
        <f t="shared" si="80"/>
        <v>293.33333333333644</v>
      </c>
      <c r="GE89" s="62">
        <f ca="1">AVERAGE(OFFSET($GD$3,0,0,'Données projet'!$E$17+1,1))-AVERAGE(OFFSET($H$3,0,0,'Données projet'!$E$17+1,1))</f>
        <v>218.89895999738746</v>
      </c>
      <c r="GF89" s="62">
        <f t="shared" si="104"/>
        <v>145.64042897395763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121.81266395274065</v>
      </c>
      <c r="GM89" s="23">
        <f>EXP(-LN(2)/25)*GM88+(1-EXP(-LN(2)/25))/(LN(2)/25)*Calculateur!GH89*Calculateur!GJ89*VLOOKUP('Données projet'!$B$17,Paramètres!$A$1:$I$89,3,0)*0.475*44/12</f>
        <v>9.8041482247825016</v>
      </c>
      <c r="GN89" s="23">
        <f>EXP(-LN(2)/2)*GN88+(1-EXP(-LN(2)/2))/(LN(2)/2)*GH89*GK89*VLOOKUP('Données projet'!$B$17,Paramètres!$A$1:$I$89,3,0)*0.475*44/12</f>
        <v>5.3615465588447908E-3</v>
      </c>
      <c r="GO89" s="23">
        <f t="shared" si="81"/>
        <v>131.62217372408199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1.7053025658242404E-13</v>
      </c>
      <c r="GV89" s="18">
        <f>GU89*VLOOKUP('Données projet'!$B$18,Paramètres!$A$1:$I$89,3,0)*VLOOKUP('Données projet'!$B$18,Paramètres!$A$1:$I$89,5,0)</f>
        <v>1.8355876818532125E-13</v>
      </c>
      <c r="GW89" s="14">
        <f t="shared" si="105"/>
        <v>2.5693529898865504E-12</v>
      </c>
      <c r="GX89" s="22">
        <f t="shared" si="82"/>
        <v>4.7946546453085093E-12</v>
      </c>
      <c r="GY89" s="62">
        <f t="shared" si="83"/>
        <v>293.33333333333809</v>
      </c>
      <c r="GZ89" s="62">
        <f ca="1">AVERAGE(OFFSET($GY$3,0,0,'Données projet'!$E$18+1,1))-AVERAGE(OFFSET($H$3,0,0,'Données projet'!$E$18+1,1))</f>
        <v>331.3579800635751</v>
      </c>
      <c r="HA89" s="62">
        <f t="shared" si="106"/>
        <v>209.40702003535273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158.58629835356797</v>
      </c>
      <c r="HH89" s="23">
        <f>EXP(-LN(2)/25)*HH88+(1-EXP(-LN(2)/25))/(LN(2)/25)*Calculateur!HC89*Calculateur!HE89*VLOOKUP('Données projet'!$B$18,Paramètres!$A$1:$I$89,3,0)*0.475*44/12</f>
        <v>12.763891085094205</v>
      </c>
      <c r="HI89" s="23">
        <f>EXP(-LN(2)/2)*HI88+(1-EXP(-LN(2)/2))/(LN(2)/2)*HC89*HF89*VLOOKUP('Données projet'!$B$18,Paramètres!$A$1:$I$89,3,0)*0.475*44/12</f>
        <v>8.6034119200067444E-3</v>
      </c>
      <c r="HJ89" s="24">
        <f t="shared" si="84"/>
        <v>171.35879285058218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58.727857142857133</v>
      </c>
      <c r="N90" s="14">
        <f>IF('Données projet'!$A$36&gt;35,N89+M90-V89,IF(A90&lt;'Données projet'!$A$36,$K$205^A90,IF(A90='Données projet'!$A$36,'Données projet'!$B$36,N89+M90-V89)))</f>
        <v>1546.1714285714281</v>
      </c>
      <c r="O90" s="14">
        <f>N90*VLOOKUP('Données projet'!$B$9,Paramètres!$A$1:$I$89,3,0)*VLOOKUP('Données projet'!$B$9,Paramètres!$A$1:$I$89,5,0)</f>
        <v>1398.9759085714281</v>
      </c>
      <c r="P90" s="14">
        <f t="shared" si="87"/>
        <v>277.45336035876028</v>
      </c>
      <c r="Q90" s="22">
        <f t="shared" si="54"/>
        <v>2919.7809767200779</v>
      </c>
      <c r="R90" s="62">
        <f t="shared" si="55"/>
        <v>3213.1143100534114</v>
      </c>
      <c r="S90" s="62">
        <f ca="1">AVERAGE(OFFSET($R$3,0,0,'Données projet'!$E$9+1,1))-AVERAGE(OFFSET($H$3,0,0,'Données projet'!$E$9+1,1))</f>
        <v>2472.5049373954762</v>
      </c>
      <c r="T90" s="62">
        <f t="shared" si="88"/>
        <v>286.98388307318311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134.7432920769532</v>
      </c>
      <c r="AA90" s="23">
        <f>EXP(-LN(2)/25)*AA89+(1-EXP(-LN(2)/25))/(LN(2)/25)*Calculateur!V90*Calculateur!X90*VLOOKUP('Données projet'!$B$9,Paramètres!$A$1:$I$89,3,0)*0.475*44/12</f>
        <v>19.579546286292754</v>
      </c>
      <c r="AB90" s="23">
        <f>EXP(-LN(2)/2)*AB89+(1-EXP(-LN(2)/2))/(LN(2)/2)*V90*Y90*VLOOKUP('Données projet'!$B$9,Paramètres!$A$1:$I$89,3,0)*0.475*44/12</f>
        <v>8.487590023194814</v>
      </c>
      <c r="AC90" s="24">
        <f t="shared" si="57"/>
        <v>162.81042838644078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58.727857142857133</v>
      </c>
      <c r="AI90" s="14">
        <f>IF('Données projet'!$A$62&gt;35,AI89+AH90-AQ89,IF(A90&lt;'Données projet'!$A$62,$AF$205^A90,IF(A90='Données projet'!$A$62,'Données projet'!$B$62,AI89+AH90-AQ89)))</f>
        <v>1546.1714285714281</v>
      </c>
      <c r="AJ90" s="14">
        <f>AI90*VLOOKUP('Données projet'!$B$10,Paramètres!$A$1:$I$89,3,0)*VLOOKUP('Données projet'!$B$10,Paramètres!$A$1:$I$89,5,0)</f>
        <v>1567.8178285714282</v>
      </c>
      <c r="AK90" s="14">
        <f t="shared" si="89"/>
        <v>306.84231872243538</v>
      </c>
      <c r="AL90" s="22">
        <f t="shared" si="58"/>
        <v>3265.0330898701454</v>
      </c>
      <c r="AM90" s="62">
        <f t="shared" si="59"/>
        <v>3558.3664232034789</v>
      </c>
      <c r="AN90" s="62">
        <f ca="1">AVERAGE(OFFSET($AM$3,0,0,'Données projet'!$E$10+1,1))-AVERAGE(OFFSET($H$3,0,0,'Données projet'!$E$10+1,1))</f>
        <v>2761.1400657295467</v>
      </c>
      <c r="AO90" s="62">
        <f t="shared" si="90"/>
        <v>316.41877504316409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151.00541353451652</v>
      </c>
      <c r="AV90" s="23">
        <f>EXP(-LN(2)/25)*AV89+(1-EXP(-LN(2)/25))/(LN(2)/25)*Calculateur!AQ90*Calculateur!AS90*VLOOKUP('Données projet'!$B$10,Paramètres!$A$1:$I$89,3,0)*0.475*44/12</f>
        <v>21.942594976017745</v>
      </c>
      <c r="AW90" s="23">
        <f>EXP(-LN(2)/2)*AW89+(1-EXP(-LN(2)/2))/(LN(2)/2)*AQ90*AT90*VLOOKUP('Données projet'!$B$10,Paramètres!$A$1:$I$89,3,0)*0.475*44/12</f>
        <v>9.5119543363390182</v>
      </c>
      <c r="AX90" s="23">
        <f t="shared" si="60"/>
        <v>182.45996284687328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58.727857142857133</v>
      </c>
      <c r="BD90" s="13">
        <f>IF('Données projet'!$A$88&gt;35,BD89+BC90-BL89,IF(A90&lt;'Données projet'!$A$88,$BA$205^A90,IF(A90='Données projet'!$A$88,'Données projet'!$B$88,BD89+BC90-BL89)))</f>
        <v>1546.1714285714281</v>
      </c>
      <c r="BE90" s="14">
        <f>BD90*VLOOKUP('Données projet'!$B$11,Paramètres!$A$1:$I$89,3,0)*VLOOKUP('Données projet'!$B$11,Paramètres!$A$1:$I$89,5,0)</f>
        <v>1616.0583771428567</v>
      </c>
      <c r="BF90" s="14">
        <f t="shared" si="91"/>
        <v>315.16988239992872</v>
      </c>
      <c r="BG90" s="22">
        <f t="shared" si="61"/>
        <v>3363.5558853703515</v>
      </c>
      <c r="BH90" s="62">
        <f t="shared" si="62"/>
        <v>3656.8892187036849</v>
      </c>
      <c r="BI90" s="62">
        <f ca="1">AVERAGE(OFFSET($BH$3,0,0,'Données projet'!$E$11+1,1))-AVERAGE(OFFSET($H$3,0,0,'Données projet'!$E$11+1,1))</f>
        <v>2843.5086223152098</v>
      </c>
      <c r="BJ90" s="62">
        <f t="shared" si="92"/>
        <v>324.81562437645522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155.65173395096315</v>
      </c>
      <c r="BQ90" s="23">
        <f>EXP(-LN(2)/25)*BQ89+(1-EXP(-LN(2)/25))/(LN(2)/25)*Calculateur!BL90*Calculateur!BN90*VLOOKUP('Données projet'!$B$11,Paramètres!$A$1:$I$89,3,0)*0.475*44/12</f>
        <v>22.617751744510596</v>
      </c>
      <c r="BR90" s="23">
        <f>EXP(-LN(2)/2)*BR89+(1-EXP(-LN(2)/2))/(LN(2)/2)*BL90*BO90*VLOOKUP('Données projet'!$B$11,Paramètres!$A$1:$I$89,3,0)*0.475*44/12</f>
        <v>9.8046298543802184</v>
      </c>
      <c r="BS90" s="24">
        <f t="shared" si="63"/>
        <v>188.07411554985396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58.727857142857133</v>
      </c>
      <c r="BY90" s="13">
        <f>IF('Données projet'!$A$114&gt;35,BY89+BX90-CG89,IF(A90&lt;'Données projet'!$A$114,$BV$205^A90,IF(A90='Données projet'!$A$114,'Données projet'!$B$114,BY89+BX90-CG89)))</f>
        <v>1546.1714285714281</v>
      </c>
      <c r="BZ90" s="14">
        <f>BY90*VLOOKUP('Données projet'!$B$12,Paramètres!$A$1:$I$89,3,0)*VLOOKUP('Données projet'!$B$12,Paramètres!$A$1:$I$89,5,0)</f>
        <v>1543.697554285714</v>
      </c>
      <c r="CA90" s="14">
        <f t="shared" si="93"/>
        <v>302.66739509128678</v>
      </c>
      <c r="CB90" s="22">
        <f t="shared" si="64"/>
        <v>3215.7522868316096</v>
      </c>
      <c r="CC90" s="62">
        <f t="shared" si="65"/>
        <v>3509.0856201649431</v>
      </c>
      <c r="CD90" s="62">
        <f ca="1">AVERAGE(OFFSET($CC$3,0,0,'Données projet'!$E$12+1,1))-AVERAGE(OFFSET($H$3,0,0,'Données projet'!$E$12+1,1))</f>
        <v>2719.939926994799</v>
      </c>
      <c r="CE90" s="62">
        <f t="shared" si="94"/>
        <v>312.21824046329749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148.68225332629316</v>
      </c>
      <c r="CL90" s="23">
        <f>EXP(-LN(2)/25)*CL89+(1-EXP(-LN(2)/25))/(LN(2)/25)*Calculateur!CG90*Calculateur!CI90*VLOOKUP('Données projet'!$B$12,Paramètres!$A$1:$I$89,3,0)*0.475*44/12</f>
        <v>21.605016591771317</v>
      </c>
      <c r="CM90" s="23">
        <f>EXP(-LN(2)/2)*CM89+(1-EXP(-LN(2)/2))/(LN(2)/2)*CG90*CJ90*VLOOKUP('Données projet'!$B$12,Paramètres!$A$1:$I$89,3,0)*0.475*44/12</f>
        <v>9.3656165773184163</v>
      </c>
      <c r="CN90" s="24">
        <f t="shared" si="66"/>
        <v>179.65288649538289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1.1368683772161603E-12</v>
      </c>
      <c r="CU90" s="18">
        <f>CT90*VLOOKUP('Données projet'!$B$13,Paramètres!$A$1:$I$89,3,0)*VLOOKUP('Données projet'!$B$13,Paramètres!$A$1:$I$89,5,0)</f>
        <v>9.9316821433603771E-13</v>
      </c>
      <c r="CV90" s="14">
        <f t="shared" si="95"/>
        <v>1.1421454694498936E-11</v>
      </c>
      <c r="CW90" s="22">
        <f t="shared" si="67"/>
        <v>2.1622134899554243E-11</v>
      </c>
      <c r="CX90" s="62">
        <f t="shared" si="68"/>
        <v>293.33333333335491</v>
      </c>
      <c r="CY90" s="62">
        <f ca="1">AVERAGE(OFFSET($CX$3,0,0,'Données projet'!$E$13+1,1))-AVERAGE(OFFSET($H$3,0,0,'Données projet'!$E$13+1,1))</f>
        <v>1036.0130072090849</v>
      </c>
      <c r="CZ90" s="62">
        <f t="shared" si="96"/>
        <v>346.56593355696174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582.99088132460588</v>
      </c>
      <c r="DG90" s="23">
        <f>EXP(-LN(2)/25)*DG89+(1-EXP(-LN(2)/25))/(LN(2)/25)*Calculateur!DB90*Calculateur!DD90*VLOOKUP('Données projet'!$B$13,Paramètres!$A$1:$I$89,3,0)*0.475*44/12</f>
        <v>34.855614207982683</v>
      </c>
      <c r="DH90" s="23">
        <f>EXP(-LN(2)/2)*DH89+(1-EXP(-LN(2)/2))/(LN(2)/2)*DB90*DE90*VLOOKUP('Données projet'!$B$13,Paramètres!$A$1:$I$89,3,0)*0.475*44/12</f>
        <v>7.9880982974565686</v>
      </c>
      <c r="DI90" s="24">
        <f t="shared" si="69"/>
        <v>625.83459383004504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6.8212102632969618E-13</v>
      </c>
      <c r="DP90" s="18">
        <f>DO90*VLOOKUP('Données projet'!$B$14,Paramètres!$A$1:$I$89,3,0)*VLOOKUP('Données projet'!$B$14,Paramètres!$A$1:$I$89,5,0)</f>
        <v>3.8130565371830017E-13</v>
      </c>
      <c r="DQ90" s="14">
        <f t="shared" si="97"/>
        <v>4.9019074112354236E-12</v>
      </c>
      <c r="DR90" s="22">
        <f t="shared" si="70"/>
        <v>9.2015960881277352E-12</v>
      </c>
      <c r="DS90" s="62">
        <f t="shared" si="71"/>
        <v>293.33333333334252</v>
      </c>
      <c r="DT90" s="62">
        <f ca="1">AVERAGE(OFFSET($DS$3,0,0,'Données projet'!$E$14+1,1))-AVERAGE(OFFSET($H$3,0,0,'Données projet'!$E$14+1,1))</f>
        <v>446.48069057792151</v>
      </c>
      <c r="DU90" s="62">
        <f t="shared" si="98"/>
        <v>561.75656782935948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108.18113900843055</v>
      </c>
      <c r="EB90" s="23">
        <f>EXP(-LN(2)/25)*EB89+(1-EXP(-LN(2)/25))/(LN(2)/25)*Calculateur!DW90*Calculateur!DY90*VLOOKUP('Données projet'!$B$14,Paramètres!$A$1:$I$89,3,0)*0.475*44/12</f>
        <v>38.331707463265076</v>
      </c>
      <c r="EC90" s="23">
        <f>EXP(-LN(2)/2)*EC89+(1-EXP(-LN(2)/2))/(LN(2)/2)*DW90*DZ90*VLOOKUP('Données projet'!$B$14,Paramètres!$A$1:$I$89,3,0)*0.475*44/12</f>
        <v>1.1582427366547148E-2</v>
      </c>
      <c r="ED90" s="24">
        <f t="shared" si="72"/>
        <v>146.52442889906217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1.7053025658242404E-13</v>
      </c>
      <c r="EK90" s="18">
        <f>EJ90*VLOOKUP('Données projet'!$B$15,Paramètres!$A$1:$I$89,3,0)*VLOOKUP('Données projet'!$B$15,Paramètres!$A$1:$I$89,5,0)</f>
        <v>1.6493686416652052E-13</v>
      </c>
      <c r="EL90" s="14">
        <f t="shared" si="99"/>
        <v>2.3376205369651282E-12</v>
      </c>
      <c r="EM90" s="22">
        <f t="shared" si="73"/>
        <v>4.3586208069709543E-12</v>
      </c>
      <c r="EN90" s="62">
        <f t="shared" si="74"/>
        <v>293.33333333333769</v>
      </c>
      <c r="EO90" s="62">
        <f ca="1">AVERAGE(OFFSET($EN$3,0,0,'Données projet'!$E$15+1,1))-AVERAGE(OFFSET($H$3,0,0,'Données projet'!$E$15+1,1))</f>
        <v>301.18531163828169</v>
      </c>
      <c r="EP90" s="62">
        <f t="shared" si="100"/>
        <v>192.30530273268101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139.70353770722633</v>
      </c>
      <c r="EW90" s="23">
        <f>EXP(-LN(2)/25)*EW89+(1-EXP(-LN(2)/25))/(LN(2)/25)*Calculateur!ER90*Calculateur!ET90*VLOOKUP('Données projet'!$B$15,Paramètres!$A$1:$I$89,3,0)*0.475*44/12</f>
        <v>11.155383077582661</v>
      </c>
      <c r="EX90" s="23">
        <f>EXP(-LN(2)/2)*EX89+(1-EXP(-LN(2)/2))/(LN(2)/2)*ER90*EU90*VLOOKUP('Données projet'!$B$15,Paramètres!$A$1:$I$89,3,0)*0.475*44/12</f>
        <v>5.4663611075164214E-3</v>
      </c>
      <c r="EY90" s="24">
        <f t="shared" si="75"/>
        <v>150.86438714591651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1.7053025658242404E-13</v>
      </c>
      <c r="FF90" s="18">
        <f>FE90*VLOOKUP('Données projet'!$B$16,Paramètres!$A$1:$I$89,3,0)*VLOOKUP('Données projet'!$B$16,Paramètres!$A$1:$I$89,5,0)</f>
        <v>1.3301360013429075E-13</v>
      </c>
      <c r="FG90" s="14">
        <f t="shared" si="101"/>
        <v>1.9329766731057041E-12</v>
      </c>
      <c r="FH90" s="22">
        <f t="shared" si="76"/>
        <v>3.5982663925596575E-12</v>
      </c>
      <c r="FI90" s="62">
        <f t="shared" si="77"/>
        <v>293.3333333333369</v>
      </c>
      <c r="FJ90" s="62">
        <f ca="1">AVERAGE(OFFSET($FI$3,0,0,'Données projet'!$E$16+1,1))-AVERAGE(OFFSET($H$3,0,0,'Données projet'!$E$16+1,1))</f>
        <v>249.2899297828755</v>
      </c>
      <c r="FK90" s="62">
        <f t="shared" si="102"/>
        <v>162.88011837476813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112.66414331227931</v>
      </c>
      <c r="FR90" s="23">
        <f>EXP(-LN(2)/25)*FR89+(1-EXP(-LN(2)/25))/(LN(2)/25)*Calculateur!FM90*Calculateur!FO90*VLOOKUP('Données projet'!$B$16,Paramètres!$A$1:$I$89,3,0)*0.475*44/12</f>
        <v>8.9962766754698809</v>
      </c>
      <c r="FS90" s="23">
        <f>EXP(-LN(2)/2)*FS89+(1-EXP(-LN(2)/2))/(LN(2)/2)*FM90*FP90*VLOOKUP('Données projet'!$B$16,Paramètres!$A$1:$I$89,3,0)*0.475*44/12</f>
        <v>4.408355731868074E-3</v>
      </c>
      <c r="FT90" s="24">
        <f t="shared" si="78"/>
        <v>121.66482834348106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1.7053025658242404E-13</v>
      </c>
      <c r="GA90" s="18">
        <f>FZ90*VLOOKUP('Données projet'!$B$17,Paramètres!$A$1:$I$89,3,0)*VLOOKUP('Données projet'!$B$17,Paramètres!$A$1:$I$89,5,0)</f>
        <v>1.1439169611549005E-13</v>
      </c>
      <c r="GB90" s="14">
        <f t="shared" si="103"/>
        <v>1.6918016515029816E-12</v>
      </c>
      <c r="GC90" s="22">
        <f t="shared" si="79"/>
        <v>3.1457867471021712E-12</v>
      </c>
      <c r="GD90" s="62">
        <f t="shared" si="80"/>
        <v>293.33333333333644</v>
      </c>
      <c r="GE90" s="62">
        <f ca="1">AVERAGE(OFFSET($GD$3,0,0,'Données projet'!$E$17+1,1))-AVERAGE(OFFSET($H$3,0,0,'Données projet'!$E$17+1,1))</f>
        <v>218.89895999738746</v>
      </c>
      <c r="GF90" s="62">
        <f t="shared" si="104"/>
        <v>145.64042897395763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119.42399191101606</v>
      </c>
      <c r="GM90" s="23">
        <f>EXP(-LN(2)/25)*GM89+(1-EXP(-LN(2)/25))/(LN(2)/25)*Calculateur!GH90*Calculateur!GJ90*VLOOKUP('Données projet'!$B$17,Paramètres!$A$1:$I$89,3,0)*0.475*44/12</f>
        <v>9.5360532759980767</v>
      </c>
      <c r="GN90" s="23">
        <f>EXP(-LN(2)/2)*GN89+(1-EXP(-LN(2)/2))/(LN(2)/2)*GH90*GK90*VLOOKUP('Données projet'!$B$17,Paramètres!$A$1:$I$89,3,0)*0.475*44/12</f>
        <v>3.7911859294065507E-3</v>
      </c>
      <c r="GO90" s="23">
        <f t="shared" si="81"/>
        <v>128.96383637294355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1.7053025658242404E-13</v>
      </c>
      <c r="GV90" s="18">
        <f>GU90*VLOOKUP('Données projet'!$B$18,Paramètres!$A$1:$I$89,3,0)*VLOOKUP('Données projet'!$B$18,Paramètres!$A$1:$I$89,5,0)</f>
        <v>1.8355876818532125E-13</v>
      </c>
      <c r="GW90" s="14">
        <f t="shared" si="105"/>
        <v>2.5693529898865504E-12</v>
      </c>
      <c r="GX90" s="22">
        <f t="shared" si="82"/>
        <v>4.7946546453085093E-12</v>
      </c>
      <c r="GY90" s="62">
        <f t="shared" si="83"/>
        <v>293.33333333333809</v>
      </c>
      <c r="GZ90" s="62">
        <f ca="1">AVERAGE(OFFSET($GY$3,0,0,'Données projet'!$E$18+1,1))-AVERAGE(OFFSET($H$3,0,0,'Données projet'!$E$18+1,1))</f>
        <v>331.3579800635751</v>
      </c>
      <c r="HA90" s="62">
        <f t="shared" si="106"/>
        <v>209.40702003535273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155.47651777094538</v>
      </c>
      <c r="HH90" s="23">
        <f>EXP(-LN(2)/25)*HH89+(1-EXP(-LN(2)/25))/(LN(2)/25)*Calculateur!HC90*Calculateur!HE90*VLOOKUP('Données projet'!$B$18,Paramètres!$A$1:$I$89,3,0)*0.475*44/12</f>
        <v>12.414861812148443</v>
      </c>
      <c r="HI90" s="23">
        <f>EXP(-LN(2)/2)*HI89+(1-EXP(-LN(2)/2))/(LN(2)/2)*HC90*HF90*VLOOKUP('Données projet'!$B$18,Paramètres!$A$1:$I$89,3,0)*0.475*44/12</f>
        <v>6.0835309099779439E-3</v>
      </c>
      <c r="HJ90" s="24">
        <f t="shared" si="84"/>
        <v>167.89746311400381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58.727857142857133</v>
      </c>
      <c r="N91" s="14">
        <f>IF('Données projet'!$A$36&gt;35,N90+M91-V90,IF(A91&lt;'Données projet'!$A$36,$K$205^A91,IF(A91='Données projet'!$A$36,'Données projet'!$B$36,N90+M91-V90)))</f>
        <v>1604.8992857142853</v>
      </c>
      <c r="O91" s="14">
        <f>N91*VLOOKUP('Données projet'!$B$9,Paramètres!$A$1:$I$89,3,0)*VLOOKUP('Données projet'!$B$9,Paramètres!$A$1:$I$89,5,0)</f>
        <v>1452.1128737142853</v>
      </c>
      <c r="P91" s="14">
        <f t="shared" si="87"/>
        <v>286.74483032453031</v>
      </c>
      <c r="Q91" s="22">
        <f t="shared" si="54"/>
        <v>3028.5105012009371</v>
      </c>
      <c r="R91" s="62">
        <f t="shared" si="55"/>
        <v>3321.8438345342706</v>
      </c>
      <c r="S91" s="62">
        <f ca="1">AVERAGE(OFFSET($R$3,0,0,'Données projet'!$E$9+1,1))-AVERAGE(OFFSET($H$3,0,0,'Données projet'!$E$9+1,1))</f>
        <v>2472.5049373954762</v>
      </c>
      <c r="T91" s="62">
        <f t="shared" si="88"/>
        <v>286.98388307318311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132.1010583046172</v>
      </c>
      <c r="AA91" s="23">
        <f>EXP(-LN(2)/25)*AA90+(1-EXP(-LN(2)/25))/(LN(2)/25)*Calculateur!V91*Calculateur!X91*VLOOKUP('Données projet'!$B$9,Paramètres!$A$1:$I$89,3,0)*0.475*44/12</f>
        <v>19.044142563450489</v>
      </c>
      <c r="AB91" s="23">
        <f>EXP(-LN(2)/2)*AB90+(1-EXP(-LN(2)/2))/(LN(2)/2)*V91*Y91*VLOOKUP('Données projet'!$B$9,Paramètres!$A$1:$I$89,3,0)*0.475*44/12</f>
        <v>6.0016324613323393</v>
      </c>
      <c r="AC91" s="24">
        <f t="shared" si="57"/>
        <v>157.14683332940004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58.727857142857133</v>
      </c>
      <c r="AI91" s="14">
        <f>IF('Données projet'!$A$62&gt;35,AI90+AH91-AQ90,IF(A91&lt;'Données projet'!$A$62,$AF$205^A91,IF(A91='Données projet'!$A$62,'Données projet'!$B$62,AI90+AH91-AQ90)))</f>
        <v>1604.8992857142853</v>
      </c>
      <c r="AJ91" s="14">
        <f>AI91*VLOOKUP('Données projet'!$B$10,Paramètres!$A$1:$I$89,3,0)*VLOOKUP('Données projet'!$B$10,Paramètres!$A$1:$I$89,5,0)</f>
        <v>1627.3678757142852</v>
      </c>
      <c r="AK91" s="14">
        <f t="shared" si="89"/>
        <v>317.11797797179651</v>
      </c>
      <c r="AL91" s="22">
        <f t="shared" si="58"/>
        <v>3386.6461951699257</v>
      </c>
      <c r="AM91" s="62">
        <f t="shared" si="59"/>
        <v>3679.9795285032592</v>
      </c>
      <c r="AN91" s="62">
        <f ca="1">AVERAGE(OFFSET($AM$3,0,0,'Données projet'!$E$10+1,1))-AVERAGE(OFFSET($H$3,0,0,'Données projet'!$E$10+1,1))</f>
        <v>2761.1400657295467</v>
      </c>
      <c r="AO91" s="62">
        <f t="shared" si="90"/>
        <v>316.41877504316409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148.04428947931237</v>
      </c>
      <c r="AV91" s="23">
        <f>EXP(-LN(2)/25)*AV90+(1-EXP(-LN(2)/25))/(LN(2)/25)*Calculateur!AQ91*Calculateur!AS91*VLOOKUP('Données projet'!$B$10,Paramètres!$A$1:$I$89,3,0)*0.475*44/12</f>
        <v>21.342573562487619</v>
      </c>
      <c r="AW91" s="23">
        <f>EXP(-LN(2)/2)*AW90+(1-EXP(-LN(2)/2))/(LN(2)/2)*AQ91*AT91*VLOOKUP('Données projet'!$B$10,Paramètres!$A$1:$I$89,3,0)*0.475*44/12</f>
        <v>6.7259674135621061</v>
      </c>
      <c r="AX91" s="23">
        <f t="shared" si="60"/>
        <v>176.11283045536209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58.727857142857133</v>
      </c>
      <c r="BD91" s="13">
        <f>IF('Données projet'!$A$88&gt;35,BD90+BC91-BL90,IF(A91&lt;'Données projet'!$A$88,$BA$205^A91,IF(A91='Données projet'!$A$88,'Données projet'!$B$88,BD90+BC91-BL90)))</f>
        <v>1604.8992857142853</v>
      </c>
      <c r="BE91" s="14">
        <f>BD91*VLOOKUP('Données projet'!$B$11,Paramètres!$A$1:$I$89,3,0)*VLOOKUP('Données projet'!$B$11,Paramètres!$A$1:$I$89,5,0)</f>
        <v>1677.4407334285713</v>
      </c>
      <c r="BF91" s="14">
        <f t="shared" si="91"/>
        <v>325.7244184583414</v>
      </c>
      <c r="BG91" s="22">
        <f t="shared" si="61"/>
        <v>3488.8459728697067</v>
      </c>
      <c r="BH91" s="62">
        <f t="shared" si="62"/>
        <v>3782.1793062030401</v>
      </c>
      <c r="BI91" s="62">
        <f ca="1">AVERAGE(OFFSET($BH$3,0,0,'Données projet'!$E$11+1,1))-AVERAGE(OFFSET($H$3,0,0,'Données projet'!$E$11+1,1))</f>
        <v>2843.5086223152098</v>
      </c>
      <c r="BJ91" s="62">
        <f t="shared" si="92"/>
        <v>324.81562437645522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152.59949838636811</v>
      </c>
      <c r="BQ91" s="23">
        <f>EXP(-LN(2)/25)*BQ90+(1-EXP(-LN(2)/25))/(LN(2)/25)*Calculateur!BL91*Calculateur!BN91*VLOOKUP('Données projet'!$B$11,Paramètres!$A$1:$I$89,3,0)*0.475*44/12</f>
        <v>21.999268133641081</v>
      </c>
      <c r="BR91" s="23">
        <f>EXP(-LN(2)/2)*BR90+(1-EXP(-LN(2)/2))/(LN(2)/2)*BL91*BO91*VLOOKUP('Données projet'!$B$11,Paramètres!$A$1:$I$89,3,0)*0.475*44/12</f>
        <v>6.9329202570563249</v>
      </c>
      <c r="BS91" s="24">
        <f t="shared" si="63"/>
        <v>181.53168677706552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58.727857142857133</v>
      </c>
      <c r="BY91" s="13">
        <f>IF('Données projet'!$A$114&gt;35,BY90+BX91-CG90,IF(A91&lt;'Données projet'!$A$114,$BV$205^A91,IF(A91='Données projet'!$A$114,'Données projet'!$B$114,BY90+BX91-CG90)))</f>
        <v>1604.8992857142853</v>
      </c>
      <c r="BZ91" s="14">
        <f>BY91*VLOOKUP('Données projet'!$B$12,Paramètres!$A$1:$I$89,3,0)*VLOOKUP('Données projet'!$B$12,Paramètres!$A$1:$I$89,5,0)</f>
        <v>1602.3314468571425</v>
      </c>
      <c r="CA91" s="14">
        <f t="shared" si="93"/>
        <v>312.80324281528698</v>
      </c>
      <c r="CB91" s="22">
        <f t="shared" si="64"/>
        <v>3335.5262511794808</v>
      </c>
      <c r="CC91" s="62">
        <f t="shared" si="65"/>
        <v>3628.8595845128143</v>
      </c>
      <c r="CD91" s="62">
        <f ca="1">AVERAGE(OFFSET($CC$3,0,0,'Données projet'!$E$12+1,1))-AVERAGE(OFFSET($H$3,0,0,'Données projet'!$E$12+1,1))</f>
        <v>2719.939926994799</v>
      </c>
      <c r="CE91" s="62">
        <f t="shared" si="94"/>
        <v>312.21824046329749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145.76668502578445</v>
      </c>
      <c r="CL91" s="23">
        <f>EXP(-LN(2)/25)*CL90+(1-EXP(-LN(2)/25))/(LN(2)/25)*Calculateur!CG91*Calculateur!CI91*VLOOKUP('Données projet'!$B$12,Paramètres!$A$1:$I$89,3,0)*0.475*44/12</f>
        <v>21.014226276910886</v>
      </c>
      <c r="CM91" s="23">
        <f>EXP(-LN(2)/2)*CM90+(1-EXP(-LN(2)/2))/(LN(2)/2)*CG91*CJ91*VLOOKUP('Données projet'!$B$12,Paramètres!$A$1:$I$89,3,0)*0.475*44/12</f>
        <v>6.6224909918149963</v>
      </c>
      <c r="CN91" s="24">
        <f t="shared" si="66"/>
        <v>173.40340229451033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1.1368683772161603E-12</v>
      </c>
      <c r="CU91" s="18">
        <f>CT91*VLOOKUP('Données projet'!$B$13,Paramètres!$A$1:$I$89,3,0)*VLOOKUP('Données projet'!$B$13,Paramètres!$A$1:$I$89,5,0)</f>
        <v>9.9316821433603771E-13</v>
      </c>
      <c r="CV91" s="14">
        <f t="shared" si="95"/>
        <v>1.1421454694498936E-11</v>
      </c>
      <c r="CW91" s="22">
        <f t="shared" si="67"/>
        <v>2.1622134899554243E-11</v>
      </c>
      <c r="CX91" s="62">
        <f t="shared" si="68"/>
        <v>293.33333333335491</v>
      </c>
      <c r="CY91" s="62">
        <f ca="1">AVERAGE(OFFSET($CX$3,0,0,'Données projet'!$E$13+1,1))-AVERAGE(OFFSET($H$3,0,0,'Données projet'!$E$13+1,1))</f>
        <v>1036.0130072090849</v>
      </c>
      <c r="CZ91" s="62">
        <f t="shared" si="96"/>
        <v>346.56593355696174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571.55878573115649</v>
      </c>
      <c r="DG91" s="23">
        <f>EXP(-LN(2)/25)*DG90+(1-EXP(-LN(2)/25))/(LN(2)/25)*Calculateur!DB91*Calculateur!DD91*VLOOKUP('Données projet'!$B$13,Paramètres!$A$1:$I$89,3,0)*0.475*44/12</f>
        <v>33.902485604488305</v>
      </c>
      <c r="DH91" s="23">
        <f>EXP(-LN(2)/2)*DH90+(1-EXP(-LN(2)/2))/(LN(2)/2)*DB91*DE91*VLOOKUP('Données projet'!$B$13,Paramètres!$A$1:$I$89,3,0)*0.475*44/12</f>
        <v>5.6484384749162553</v>
      </c>
      <c r="DI91" s="24">
        <f t="shared" si="69"/>
        <v>611.10970981056107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6.8212102632969618E-13</v>
      </c>
      <c r="DP91" s="18">
        <f>DO91*VLOOKUP('Données projet'!$B$14,Paramètres!$A$1:$I$89,3,0)*VLOOKUP('Données projet'!$B$14,Paramètres!$A$1:$I$89,5,0)</f>
        <v>3.8130565371830017E-13</v>
      </c>
      <c r="DQ91" s="14">
        <f t="shared" si="97"/>
        <v>4.9019074112354236E-12</v>
      </c>
      <c r="DR91" s="22">
        <f t="shared" si="70"/>
        <v>9.2015960881277352E-12</v>
      </c>
      <c r="DS91" s="62">
        <f t="shared" si="71"/>
        <v>293.33333333334252</v>
      </c>
      <c r="DT91" s="62">
        <f ca="1">AVERAGE(OFFSET($DS$3,0,0,'Données projet'!$E$14+1,1))-AVERAGE(OFFSET($H$3,0,0,'Données projet'!$E$14+1,1))</f>
        <v>446.48069057792151</v>
      </c>
      <c r="DU91" s="62">
        <f t="shared" si="98"/>
        <v>561.75656782935948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106.05977285645464</v>
      </c>
      <c r="EB91" s="23">
        <f>EXP(-LN(2)/25)*EB90+(1-EXP(-LN(2)/25))/(LN(2)/25)*Calculateur!DW91*Calculateur!DY91*VLOOKUP('Données projet'!$B$14,Paramètres!$A$1:$I$89,3,0)*0.475*44/12</f>
        <v>37.283524906905207</v>
      </c>
      <c r="EC91" s="23">
        <f>EXP(-LN(2)/2)*EC90+(1-EXP(-LN(2)/2))/(LN(2)/2)*DW91*DZ91*VLOOKUP('Données projet'!$B$14,Paramètres!$A$1:$I$89,3,0)*0.475*44/12</f>
        <v>8.1900129334861339E-3</v>
      </c>
      <c r="ED91" s="24">
        <f t="shared" si="72"/>
        <v>143.35148777629334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1.7053025658242404E-13</v>
      </c>
      <c r="EK91" s="18">
        <f>EJ91*VLOOKUP('Données projet'!$B$15,Paramètres!$A$1:$I$89,3,0)*VLOOKUP('Données projet'!$B$15,Paramètres!$A$1:$I$89,5,0)</f>
        <v>1.6493686416652052E-13</v>
      </c>
      <c r="EL91" s="14">
        <f t="shared" si="99"/>
        <v>2.3376205369651282E-12</v>
      </c>
      <c r="EM91" s="22">
        <f t="shared" si="73"/>
        <v>4.3586208069709543E-12</v>
      </c>
      <c r="EN91" s="62">
        <f t="shared" si="74"/>
        <v>293.33333333333769</v>
      </c>
      <c r="EO91" s="62">
        <f ca="1">AVERAGE(OFFSET($EN$3,0,0,'Données projet'!$E$15+1,1))-AVERAGE(OFFSET($H$3,0,0,'Données projet'!$E$15+1,1))</f>
        <v>301.18531163828169</v>
      </c>
      <c r="EP91" s="62">
        <f t="shared" si="100"/>
        <v>192.30530273268101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136.96403654353176</v>
      </c>
      <c r="EW91" s="23">
        <f>EXP(-LN(2)/25)*EW90+(1-EXP(-LN(2)/25))/(LN(2)/25)*Calculateur!ER91*Calculateur!ET91*VLOOKUP('Données projet'!$B$15,Paramètres!$A$1:$I$89,3,0)*0.475*44/12</f>
        <v>10.850338540690062</v>
      </c>
      <c r="EX91" s="23">
        <f>EXP(-LN(2)/2)*EX90+(1-EXP(-LN(2)/2))/(LN(2)/2)*ER91*EU91*VLOOKUP('Données projet'!$B$15,Paramètres!$A$1:$I$89,3,0)*0.475*44/12</f>
        <v>3.8653010075392681E-3</v>
      </c>
      <c r="EY91" s="24">
        <f t="shared" si="75"/>
        <v>147.81824038522939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1.7053025658242404E-13</v>
      </c>
      <c r="FF91" s="18">
        <f>FE91*VLOOKUP('Données projet'!$B$16,Paramètres!$A$1:$I$89,3,0)*VLOOKUP('Données projet'!$B$16,Paramètres!$A$1:$I$89,5,0)</f>
        <v>1.3301360013429075E-13</v>
      </c>
      <c r="FG91" s="14">
        <f t="shared" si="101"/>
        <v>1.9329766731057041E-12</v>
      </c>
      <c r="FH91" s="22">
        <f t="shared" si="76"/>
        <v>3.5982663925596575E-12</v>
      </c>
      <c r="FI91" s="62">
        <f t="shared" si="77"/>
        <v>293.3333333333369</v>
      </c>
      <c r="FJ91" s="62">
        <f ca="1">AVERAGE(OFFSET($FI$3,0,0,'Données projet'!$E$16+1,1))-AVERAGE(OFFSET($H$3,0,0,'Données projet'!$E$16+1,1))</f>
        <v>249.2899297828755</v>
      </c>
      <c r="FK91" s="62">
        <f t="shared" si="102"/>
        <v>162.88011837476813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110.45486818026755</v>
      </c>
      <c r="FR91" s="23">
        <f>EXP(-LN(2)/25)*FR90+(1-EXP(-LN(2)/25))/(LN(2)/25)*Calculateur!FM91*Calculateur!FO91*VLOOKUP('Données projet'!$B$16,Paramètres!$A$1:$I$89,3,0)*0.475*44/12</f>
        <v>8.7502730166855276</v>
      </c>
      <c r="FS91" s="23">
        <f>EXP(-LN(2)/2)*FS90+(1-EXP(-LN(2)/2))/(LN(2)/2)*FM91*FP91*VLOOKUP('Données projet'!$B$16,Paramètres!$A$1:$I$89,3,0)*0.475*44/12</f>
        <v>3.1171782318865008E-3</v>
      </c>
      <c r="FT91" s="24">
        <f t="shared" si="78"/>
        <v>119.20825837518497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1.7053025658242404E-13</v>
      </c>
      <c r="GA91" s="18">
        <f>FZ91*VLOOKUP('Données projet'!$B$17,Paramètres!$A$1:$I$89,3,0)*VLOOKUP('Données projet'!$B$17,Paramètres!$A$1:$I$89,5,0)</f>
        <v>1.1439169611549005E-13</v>
      </c>
      <c r="GB91" s="14">
        <f t="shared" si="103"/>
        <v>1.6918016515029816E-12</v>
      </c>
      <c r="GC91" s="22">
        <f t="shared" si="79"/>
        <v>3.1457867471021712E-12</v>
      </c>
      <c r="GD91" s="62">
        <f t="shared" si="80"/>
        <v>293.33333333333644</v>
      </c>
      <c r="GE91" s="62">
        <f ca="1">AVERAGE(OFFSET($GD$3,0,0,'Données projet'!$E$17+1,1))-AVERAGE(OFFSET($H$3,0,0,'Données projet'!$E$17+1,1))</f>
        <v>218.89895999738746</v>
      </c>
      <c r="GF91" s="62">
        <f t="shared" si="104"/>
        <v>145.64042897395763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117.08216027108361</v>
      </c>
      <c r="GM91" s="23">
        <f>EXP(-LN(2)/25)*GM90+(1-EXP(-LN(2)/25))/(LN(2)/25)*Calculateur!GH91*Calculateur!GJ91*VLOOKUP('Données projet'!$B$17,Paramètres!$A$1:$I$89,3,0)*0.475*44/12</f>
        <v>9.2752893976866631</v>
      </c>
      <c r="GN91" s="23">
        <f>EXP(-LN(2)/2)*GN90+(1-EXP(-LN(2)/2))/(LN(2)/2)*GH91*GK91*VLOOKUP('Données projet'!$B$17,Paramètres!$A$1:$I$89,3,0)*0.475*44/12</f>
        <v>2.6807732794223958E-3</v>
      </c>
      <c r="GO91" s="23">
        <f t="shared" si="81"/>
        <v>126.36013044204969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1.7053025658242404E-13</v>
      </c>
      <c r="GV91" s="18">
        <f>GU91*VLOOKUP('Données projet'!$B$18,Paramètres!$A$1:$I$89,3,0)*VLOOKUP('Données projet'!$B$18,Paramètres!$A$1:$I$89,5,0)</f>
        <v>1.8355876818532125E-13</v>
      </c>
      <c r="GW91" s="14">
        <f t="shared" si="105"/>
        <v>2.5693529898865504E-12</v>
      </c>
      <c r="GX91" s="22">
        <f t="shared" si="82"/>
        <v>4.7946546453085093E-12</v>
      </c>
      <c r="GY91" s="62">
        <f t="shared" si="83"/>
        <v>293.33333333333809</v>
      </c>
      <c r="GZ91" s="62">
        <f ca="1">AVERAGE(OFFSET($GY$3,0,0,'Données projet'!$E$18+1,1))-AVERAGE(OFFSET($H$3,0,0,'Données projet'!$E$18+1,1))</f>
        <v>331.3579800635751</v>
      </c>
      <c r="HA91" s="62">
        <f t="shared" si="106"/>
        <v>209.40702003535273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152.42771808876915</v>
      </c>
      <c r="HH91" s="23">
        <f>EXP(-LN(2)/25)*HH90+(1-EXP(-LN(2)/25))/(LN(2)/25)*Calculateur!HC91*Calculateur!HE91*VLOOKUP('Données projet'!$B$18,Paramètres!$A$1:$I$89,3,0)*0.475*44/12</f>
        <v>12.075376763026036</v>
      </c>
      <c r="HI91" s="23">
        <f>EXP(-LN(2)/2)*HI90+(1-EXP(-LN(2)/2))/(LN(2)/2)*HC91*HF91*VLOOKUP('Données projet'!$B$18,Paramètres!$A$1:$I$89,3,0)*0.475*44/12</f>
        <v>4.3017059600033722E-3</v>
      </c>
      <c r="HJ91" s="24">
        <f t="shared" si="84"/>
        <v>164.50739655775521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58.727857142857133</v>
      </c>
      <c r="N92" s="14">
        <f>IF('Données projet'!$A$36&gt;35,N91+M92-V91,IF(A92&lt;'Données projet'!$A$36,$K$205^A92,IF(A92='Données projet'!$A$36,'Données projet'!$B$36,N91+M92-V91)))</f>
        <v>1663.6271428571424</v>
      </c>
      <c r="O92" s="14">
        <f>N92*VLOOKUP('Données projet'!$B$9,Paramètres!$A$1:$I$89,3,0)*VLOOKUP('Données projet'!$B$9,Paramètres!$A$1:$I$89,5,0)</f>
        <v>1505.2498388571425</v>
      </c>
      <c r="P92" s="14">
        <f t="shared" si="87"/>
        <v>295.99679897301615</v>
      </c>
      <c r="Q92" s="22">
        <f t="shared" si="54"/>
        <v>3137.1712275541936</v>
      </c>
      <c r="R92" s="62">
        <f t="shared" si="55"/>
        <v>3430.5045608875271</v>
      </c>
      <c r="S92" s="62">
        <f ca="1">AVERAGE(OFFSET($R$3,0,0,'Données projet'!$E$9+1,1))-AVERAGE(OFFSET($H$3,0,0,'Données projet'!$E$9+1,1))</f>
        <v>2472.5049373954762</v>
      </c>
      <c r="T92" s="62">
        <f t="shared" si="88"/>
        <v>286.98388307318311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129.51063712495323</v>
      </c>
      <c r="AA92" s="23">
        <f>EXP(-LN(2)/25)*AA91+(1-EXP(-LN(2)/25))/(LN(2)/25)*Calculateur!V92*Calculateur!X92*VLOOKUP('Données projet'!$B$9,Paramètres!$A$1:$I$89,3,0)*0.475*44/12</f>
        <v>18.523379483565005</v>
      </c>
      <c r="AB92" s="23">
        <f>EXP(-LN(2)/2)*AB91+(1-EXP(-LN(2)/2))/(LN(2)/2)*V92*Y92*VLOOKUP('Données projet'!$B$9,Paramètres!$A$1:$I$89,3,0)*0.475*44/12</f>
        <v>4.243795011597407</v>
      </c>
      <c r="AC92" s="24">
        <f t="shared" si="57"/>
        <v>152.27781162011564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58.727857142857133</v>
      </c>
      <c r="AI92" s="14">
        <f>IF('Données projet'!$A$62&gt;35,AI91+AH92-AQ91,IF(A92&lt;'Données projet'!$A$62,$AF$205^A92,IF(A92='Données projet'!$A$62,'Données projet'!$B$62,AI91+AH92-AQ91)))</f>
        <v>1663.6271428571424</v>
      </c>
      <c r="AJ92" s="14">
        <f>AI92*VLOOKUP('Données projet'!$B$10,Paramètres!$A$1:$I$89,3,0)*VLOOKUP('Données projet'!$B$10,Paramètres!$A$1:$I$89,5,0)</f>
        <v>1686.9179228571425</v>
      </c>
      <c r="AK92" s="14">
        <f t="shared" si="89"/>
        <v>327.34995176796122</v>
      </c>
      <c r="AL92" s="22">
        <f t="shared" si="58"/>
        <v>3508.1832149720553</v>
      </c>
      <c r="AM92" s="62">
        <f t="shared" si="59"/>
        <v>3801.5165483053888</v>
      </c>
      <c r="AN92" s="62">
        <f ca="1">AVERAGE(OFFSET($AM$3,0,0,'Données projet'!$E$10+1,1))-AVERAGE(OFFSET($H$3,0,0,'Données projet'!$E$10+1,1))</f>
        <v>2761.1400657295467</v>
      </c>
      <c r="AO92" s="62">
        <f t="shared" si="90"/>
        <v>316.41877504316409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145.14123126072343</v>
      </c>
      <c r="AV92" s="23">
        <f>EXP(-LN(2)/25)*AV91+(1-EXP(-LN(2)/25))/(LN(2)/25)*Calculateur!AQ92*Calculateur!AS92*VLOOKUP('Données projet'!$B$10,Paramètres!$A$1:$I$89,3,0)*0.475*44/12</f>
        <v>20.75895976606423</v>
      </c>
      <c r="AW92" s="23">
        <f>EXP(-LN(2)/2)*AW91+(1-EXP(-LN(2)/2))/(LN(2)/2)*AQ92*AT92*VLOOKUP('Données projet'!$B$10,Paramètres!$A$1:$I$89,3,0)*0.475*44/12</f>
        <v>4.7559771681695091</v>
      </c>
      <c r="AX92" s="23">
        <f t="shared" si="60"/>
        <v>170.65616819495719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58.727857142857133</v>
      </c>
      <c r="BD92" s="13">
        <f>IF('Données projet'!$A$88&gt;35,BD91+BC92-BL91,IF(A92&lt;'Données projet'!$A$88,$BA$205^A92,IF(A92='Données projet'!$A$88,'Données projet'!$B$88,BD91+BC92-BL91)))</f>
        <v>1663.6271428571424</v>
      </c>
      <c r="BE92" s="14">
        <f>BD92*VLOOKUP('Données projet'!$B$11,Paramètres!$A$1:$I$89,3,0)*VLOOKUP('Données projet'!$B$11,Paramètres!$A$1:$I$89,5,0)</f>
        <v>1738.8230897142855</v>
      </c>
      <c r="BF92" s="14">
        <f t="shared" si="91"/>
        <v>336.23408345984171</v>
      </c>
      <c r="BG92" s="22">
        <f t="shared" si="61"/>
        <v>3614.0579099449387</v>
      </c>
      <c r="BH92" s="62">
        <f t="shared" si="62"/>
        <v>3907.3912432782722</v>
      </c>
      <c r="BI92" s="62">
        <f ca="1">AVERAGE(OFFSET($BH$3,0,0,'Données projet'!$E$11+1,1))-AVERAGE(OFFSET($H$3,0,0,'Données projet'!$E$11+1,1))</f>
        <v>2843.5086223152098</v>
      </c>
      <c r="BJ92" s="62">
        <f t="shared" si="92"/>
        <v>324.81562437645522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149.6071152995149</v>
      </c>
      <c r="BQ92" s="23">
        <f>EXP(-LN(2)/25)*BQ91+(1-EXP(-LN(2)/25))/(LN(2)/25)*Calculateur!BL92*Calculateur!BN92*VLOOKUP('Données projet'!$B$11,Paramètres!$A$1:$I$89,3,0)*0.475*44/12</f>
        <v>21.397696989635435</v>
      </c>
      <c r="BR92" s="23">
        <f>EXP(-LN(2)/2)*BR91+(1-EXP(-LN(2)/2))/(LN(2)/2)*BL92*BO92*VLOOKUP('Données projet'!$B$11,Paramètres!$A$1:$I$89,3,0)*0.475*44/12</f>
        <v>4.9023149271901101</v>
      </c>
      <c r="BS92" s="24">
        <f t="shared" si="63"/>
        <v>175.90712721634043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58.727857142857133</v>
      </c>
      <c r="BY92" s="13">
        <f>IF('Données projet'!$A$114&gt;35,BY91+BX92-CG91,IF(A92&lt;'Données projet'!$A$114,$BV$205^A92,IF(A92='Données projet'!$A$114,'Données projet'!$B$114,BY91+BX92-CG91)))</f>
        <v>1663.6271428571424</v>
      </c>
      <c r="BZ92" s="14">
        <f>BY92*VLOOKUP('Données projet'!$B$12,Paramètres!$A$1:$I$89,3,0)*VLOOKUP('Données projet'!$B$12,Paramètres!$A$1:$I$89,5,0)</f>
        <v>1660.9653394285713</v>
      </c>
      <c r="CA92" s="14">
        <f t="shared" si="93"/>
        <v>322.89599947421726</v>
      </c>
      <c r="CB92" s="22">
        <f t="shared" si="64"/>
        <v>3455.2251652556897</v>
      </c>
      <c r="CC92" s="62">
        <f t="shared" si="65"/>
        <v>3748.5584985890232</v>
      </c>
      <c r="CD92" s="62">
        <f ca="1">AVERAGE(OFFSET($CC$3,0,0,'Données projet'!$E$12+1,1))-AVERAGE(OFFSET($H$3,0,0,'Données projet'!$E$12+1,1))</f>
        <v>2719.939926994799</v>
      </c>
      <c r="CE92" s="62">
        <f t="shared" si="94"/>
        <v>312.21824046329749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142.90828924132765</v>
      </c>
      <c r="CL92" s="23">
        <f>EXP(-LN(2)/25)*CL91+(1-EXP(-LN(2)/25))/(LN(2)/25)*Calculateur!CG92*Calculateur!CI92*VLOOKUP('Données projet'!$B$12,Paramètres!$A$1:$I$89,3,0)*0.475*44/12</f>
        <v>20.439591154278627</v>
      </c>
      <c r="CM92" s="23">
        <f>EXP(-LN(2)/2)*CM91+(1-EXP(-LN(2)/2))/(LN(2)/2)*CG92*CJ92*VLOOKUP('Données projet'!$B$12,Paramètres!$A$1:$I$89,3,0)*0.475*44/12</f>
        <v>4.6828082886592091</v>
      </c>
      <c r="CN92" s="24">
        <f t="shared" si="66"/>
        <v>168.03068868426547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1.1368683772161603E-12</v>
      </c>
      <c r="CU92" s="18">
        <f>CT92*VLOOKUP('Données projet'!$B$13,Paramètres!$A$1:$I$89,3,0)*VLOOKUP('Données projet'!$B$13,Paramètres!$A$1:$I$89,5,0)</f>
        <v>9.9316821433603771E-13</v>
      </c>
      <c r="CV92" s="14">
        <f t="shared" si="95"/>
        <v>1.1421454694498936E-11</v>
      </c>
      <c r="CW92" s="22">
        <f t="shared" si="67"/>
        <v>2.1622134899554243E-11</v>
      </c>
      <c r="CX92" s="62">
        <f t="shared" si="68"/>
        <v>293.33333333335491</v>
      </c>
      <c r="CY92" s="62">
        <f ca="1">AVERAGE(OFFSET($CX$3,0,0,'Données projet'!$E$13+1,1))-AVERAGE(OFFSET($H$3,0,0,'Données projet'!$E$13+1,1))</f>
        <v>1036.0130072090849</v>
      </c>
      <c r="CZ92" s="62">
        <f t="shared" si="96"/>
        <v>346.56593355696174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560.35086655940484</v>
      </c>
      <c r="DG92" s="23">
        <f>EXP(-LN(2)/25)*DG91+(1-EXP(-LN(2)/25))/(LN(2)/25)*Calculateur!DB92*Calculateur!DD92*VLOOKUP('Données projet'!$B$13,Paramètres!$A$1:$I$89,3,0)*0.475*44/12</f>
        <v>32.975420352779338</v>
      </c>
      <c r="DH92" s="23">
        <f>EXP(-LN(2)/2)*DH91+(1-EXP(-LN(2)/2))/(LN(2)/2)*DB92*DE92*VLOOKUP('Données projet'!$B$13,Paramètres!$A$1:$I$89,3,0)*0.475*44/12</f>
        <v>3.9940491487282852</v>
      </c>
      <c r="DI92" s="24">
        <f t="shared" si="69"/>
        <v>597.3203360609125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6.8212102632969618E-13</v>
      </c>
      <c r="DP92" s="18">
        <f>DO92*VLOOKUP('Données projet'!$B$14,Paramètres!$A$1:$I$89,3,0)*VLOOKUP('Données projet'!$B$14,Paramètres!$A$1:$I$89,5,0)</f>
        <v>3.8130565371830017E-13</v>
      </c>
      <c r="DQ92" s="14">
        <f t="shared" si="97"/>
        <v>4.9019074112354236E-12</v>
      </c>
      <c r="DR92" s="22">
        <f t="shared" si="70"/>
        <v>9.2015960881277352E-12</v>
      </c>
      <c r="DS92" s="62">
        <f t="shared" si="71"/>
        <v>293.33333333334252</v>
      </c>
      <c r="DT92" s="62">
        <f ca="1">AVERAGE(OFFSET($DS$3,0,0,'Données projet'!$E$14+1,1))-AVERAGE(OFFSET($H$3,0,0,'Données projet'!$E$14+1,1))</f>
        <v>446.48069057792151</v>
      </c>
      <c r="DU92" s="62">
        <f t="shared" si="98"/>
        <v>561.75656782935948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103.9800054008134</v>
      </c>
      <c r="EB92" s="23">
        <f>EXP(-LN(2)/25)*EB91+(1-EXP(-LN(2)/25))/(LN(2)/25)*Calculateur!DW92*Calculateur!DY92*VLOOKUP('Données projet'!$B$14,Paramètres!$A$1:$I$89,3,0)*0.475*44/12</f>
        <v>36.264004957670522</v>
      </c>
      <c r="EC92" s="23">
        <f>EXP(-LN(2)/2)*EC91+(1-EXP(-LN(2)/2))/(LN(2)/2)*DW92*DZ92*VLOOKUP('Données projet'!$B$14,Paramètres!$A$1:$I$89,3,0)*0.475*44/12</f>
        <v>5.7912136832735739E-3</v>
      </c>
      <c r="ED92" s="24">
        <f t="shared" si="72"/>
        <v>140.2498015721672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1.7053025658242404E-13</v>
      </c>
      <c r="EK92" s="18">
        <f>EJ92*VLOOKUP('Données projet'!$B$15,Paramètres!$A$1:$I$89,3,0)*VLOOKUP('Données projet'!$B$15,Paramètres!$A$1:$I$89,5,0)</f>
        <v>1.6493686416652052E-13</v>
      </c>
      <c r="EL92" s="14">
        <f t="shared" si="99"/>
        <v>2.3376205369651282E-12</v>
      </c>
      <c r="EM92" s="22">
        <f t="shared" si="73"/>
        <v>4.3586208069709543E-12</v>
      </c>
      <c r="EN92" s="62">
        <f t="shared" si="74"/>
        <v>293.33333333333769</v>
      </c>
      <c r="EO92" s="62">
        <f ca="1">AVERAGE(OFFSET($EN$3,0,0,'Données projet'!$E$15+1,1))-AVERAGE(OFFSET($H$3,0,0,'Données projet'!$E$15+1,1))</f>
        <v>301.18531163828169</v>
      </c>
      <c r="EP92" s="62">
        <f t="shared" si="100"/>
        <v>192.30530273268101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134.27825532672654</v>
      </c>
      <c r="EW92" s="23">
        <f>EXP(-LN(2)/25)*EW91+(1-EXP(-LN(2)/25))/(LN(2)/25)*Calculateur!ER92*Calculateur!ET92*VLOOKUP('Données projet'!$B$15,Paramètres!$A$1:$I$89,3,0)*0.475*44/12</f>
        <v>10.553635462700388</v>
      </c>
      <c r="EX92" s="23">
        <f>EXP(-LN(2)/2)*EX91+(1-EXP(-LN(2)/2))/(LN(2)/2)*ER92*EU92*VLOOKUP('Données projet'!$B$15,Paramètres!$A$1:$I$89,3,0)*0.475*44/12</f>
        <v>2.7331805537582111E-3</v>
      </c>
      <c r="EY92" s="24">
        <f t="shared" si="75"/>
        <v>144.83462396998067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1.7053025658242404E-13</v>
      </c>
      <c r="FF92" s="18">
        <f>FE92*VLOOKUP('Données projet'!$B$16,Paramètres!$A$1:$I$89,3,0)*VLOOKUP('Données projet'!$B$16,Paramètres!$A$1:$I$89,5,0)</f>
        <v>1.3301360013429075E-13</v>
      </c>
      <c r="FG92" s="14">
        <f t="shared" si="101"/>
        <v>1.9329766731057041E-12</v>
      </c>
      <c r="FH92" s="22">
        <f t="shared" si="76"/>
        <v>3.5982663925596575E-12</v>
      </c>
      <c r="FI92" s="62">
        <f t="shared" si="77"/>
        <v>293.3333333333369</v>
      </c>
      <c r="FJ92" s="62">
        <f ca="1">AVERAGE(OFFSET($FI$3,0,0,'Données projet'!$E$16+1,1))-AVERAGE(OFFSET($H$3,0,0,'Données projet'!$E$16+1,1))</f>
        <v>249.2899297828755</v>
      </c>
      <c r="FK92" s="62">
        <f t="shared" si="102"/>
        <v>162.88011837476813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108.28891558606978</v>
      </c>
      <c r="FR92" s="23">
        <f>EXP(-LN(2)/25)*FR91+(1-EXP(-LN(2)/25))/(LN(2)/25)*Calculateur!FM92*Calculateur!FO92*VLOOKUP('Données projet'!$B$16,Paramètres!$A$1:$I$89,3,0)*0.475*44/12</f>
        <v>8.5109963408874023</v>
      </c>
      <c r="FS92" s="23">
        <f>EXP(-LN(2)/2)*FS91+(1-EXP(-LN(2)/2))/(LN(2)/2)*FM92*FP92*VLOOKUP('Données projet'!$B$16,Paramètres!$A$1:$I$89,3,0)*0.475*44/12</f>
        <v>2.204177865934037E-3</v>
      </c>
      <c r="FT92" s="24">
        <f t="shared" si="78"/>
        <v>116.80211610482311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1.7053025658242404E-13</v>
      </c>
      <c r="GA92" s="18">
        <f>FZ92*VLOOKUP('Données projet'!$B$17,Paramètres!$A$1:$I$89,3,0)*VLOOKUP('Données projet'!$B$17,Paramètres!$A$1:$I$89,5,0)</f>
        <v>1.1439169611549005E-13</v>
      </c>
      <c r="GB92" s="14">
        <f t="shared" si="103"/>
        <v>1.6918016515029816E-12</v>
      </c>
      <c r="GC92" s="22">
        <f t="shared" si="79"/>
        <v>3.1457867471021712E-12</v>
      </c>
      <c r="GD92" s="62">
        <f t="shared" si="80"/>
        <v>293.33333333333644</v>
      </c>
      <c r="GE92" s="62">
        <f ca="1">AVERAGE(OFFSET($GD$3,0,0,'Données projet'!$E$17+1,1))-AVERAGE(OFFSET($H$3,0,0,'Données projet'!$E$17+1,1))</f>
        <v>218.89895999738746</v>
      </c>
      <c r="GF92" s="62">
        <f t="shared" si="104"/>
        <v>145.64042897395763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114.78625052123397</v>
      </c>
      <c r="GM92" s="23">
        <f>EXP(-LN(2)/25)*GM91+(1-EXP(-LN(2)/25))/(LN(2)/25)*Calculateur!GH92*Calculateur!GJ92*VLOOKUP('Données projet'!$B$17,Paramètres!$A$1:$I$89,3,0)*0.475*44/12</f>
        <v>9.0216561213406514</v>
      </c>
      <c r="GN92" s="23">
        <f>EXP(-LN(2)/2)*GN91+(1-EXP(-LN(2)/2))/(LN(2)/2)*GH92*GK92*VLOOKUP('Données projet'!$B$17,Paramètres!$A$1:$I$89,3,0)*0.475*44/12</f>
        <v>1.8955929647032756E-3</v>
      </c>
      <c r="GO92" s="23">
        <f t="shared" si="81"/>
        <v>123.80980223553932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1.7053025658242404E-13</v>
      </c>
      <c r="GV92" s="18">
        <f>GU92*VLOOKUP('Données projet'!$B$18,Paramètres!$A$1:$I$89,3,0)*VLOOKUP('Données projet'!$B$18,Paramètres!$A$1:$I$89,5,0)</f>
        <v>1.8355876818532125E-13</v>
      </c>
      <c r="GW92" s="14">
        <f t="shared" si="105"/>
        <v>2.5693529898865504E-12</v>
      </c>
      <c r="GX92" s="22">
        <f t="shared" si="82"/>
        <v>4.7946546453085093E-12</v>
      </c>
      <c r="GY92" s="62">
        <f t="shared" si="83"/>
        <v>293.33333333333809</v>
      </c>
      <c r="GZ92" s="62">
        <f ca="1">AVERAGE(OFFSET($GY$3,0,0,'Données projet'!$E$18+1,1))-AVERAGE(OFFSET($H$3,0,0,'Données projet'!$E$18+1,1))</f>
        <v>331.3579800635751</v>
      </c>
      <c r="HA92" s="62">
        <f t="shared" si="106"/>
        <v>209.40702003535273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149.43870350877623</v>
      </c>
      <c r="HH92" s="23">
        <f>EXP(-LN(2)/25)*HH91+(1-EXP(-LN(2)/25))/(LN(2)/25)*Calculateur!HC92*Calculateur!HE92*VLOOKUP('Données projet'!$B$18,Paramètres!$A$1:$I$89,3,0)*0.475*44/12</f>
        <v>11.745174950424623</v>
      </c>
      <c r="HI92" s="23">
        <f>EXP(-LN(2)/2)*HI91+(1-EXP(-LN(2)/2))/(LN(2)/2)*HC92*HF92*VLOOKUP('Données projet'!$B$18,Paramètres!$A$1:$I$89,3,0)*0.475*44/12</f>
        <v>3.0417654549889719E-3</v>
      </c>
      <c r="HJ92" s="24">
        <f t="shared" si="84"/>
        <v>161.18692022465584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58.727857142857133</v>
      </c>
      <c r="N93" s="14">
        <f>IF('Données projet'!$A$36&gt;35,N92+M93-V92,IF(A93&lt;'Données projet'!$A$36,$K$205^A93,IF(A93='Données projet'!$A$36,'Données projet'!$B$36,N92+M93-V92)))</f>
        <v>1722.3549999999996</v>
      </c>
      <c r="O93" s="14">
        <f>N93*VLOOKUP('Données projet'!$B$9,Paramètres!$A$1:$I$89,3,0)*VLOOKUP('Données projet'!$B$9,Paramètres!$A$1:$I$89,5,0)</f>
        <v>1558.3868039999995</v>
      </c>
      <c r="P93" s="14">
        <f t="shared" si="87"/>
        <v>305.21082051897406</v>
      </c>
      <c r="Q93" s="22">
        <f t="shared" si="54"/>
        <v>3245.7658627038786</v>
      </c>
      <c r="R93" s="62">
        <f t="shared" si="55"/>
        <v>3539.0991960372121</v>
      </c>
      <c r="S93" s="62">
        <f ca="1">AVERAGE(OFFSET($R$3,0,0,'Données projet'!$E$9+1,1))-AVERAGE(OFFSET($H$3,0,0,'Données projet'!$E$9+1,1))</f>
        <v>2472.5049373954762</v>
      </c>
      <c r="T93" s="62">
        <f t="shared" si="88"/>
        <v>286.98388307318311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126.97101252462157</v>
      </c>
      <c r="AA93" s="23">
        <f>EXP(-LN(2)/25)*AA92+(1-EXP(-LN(2)/25))/(LN(2)/25)*Calculateur!V93*Calculateur!X93*VLOOKUP('Données projet'!$B$9,Paramètres!$A$1:$I$89,3,0)*0.475*44/12</f>
        <v>18.01685669748473</v>
      </c>
      <c r="AB93" s="23">
        <f>EXP(-LN(2)/2)*AB92+(1-EXP(-LN(2)/2))/(LN(2)/2)*V93*Y93*VLOOKUP('Données projet'!$B$9,Paramètres!$A$1:$I$89,3,0)*0.475*44/12</f>
        <v>3.0008162306661696</v>
      </c>
      <c r="AC93" s="24">
        <f t="shared" si="57"/>
        <v>147.98868545277247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58.727857142857133</v>
      </c>
      <c r="AI93" s="14">
        <f>IF('Données projet'!$A$62&gt;35,AI92+AH93-AQ92,IF(A93&lt;'Données projet'!$A$62,$AF$205^A93,IF(A93='Données projet'!$A$62,'Données projet'!$B$62,AI92+AH93-AQ92)))</f>
        <v>1722.3549999999996</v>
      </c>
      <c r="AJ93" s="14">
        <f>AI93*VLOOKUP('Données projet'!$B$10,Paramètres!$A$1:$I$89,3,0)*VLOOKUP('Données projet'!$B$10,Paramètres!$A$1:$I$89,5,0)</f>
        <v>1746.4679699999995</v>
      </c>
      <c r="AK93" s="14">
        <f t="shared" si="89"/>
        <v>337.53995895426578</v>
      </c>
      <c r="AL93" s="22">
        <f t="shared" si="58"/>
        <v>3629.6471429286789</v>
      </c>
      <c r="AM93" s="62">
        <f t="shared" si="59"/>
        <v>3922.9804762620124</v>
      </c>
      <c r="AN93" s="62">
        <f ca="1">AVERAGE(OFFSET($AM$3,0,0,'Données projet'!$E$10+1,1))-AVERAGE(OFFSET($H$3,0,0,'Données projet'!$E$10+1,1))</f>
        <v>2761.1400657295467</v>
      </c>
      <c r="AO93" s="62">
        <f t="shared" si="90"/>
        <v>316.41877504316409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142.29510024311037</v>
      </c>
      <c r="AV93" s="23">
        <f>EXP(-LN(2)/25)*AV92+(1-EXP(-LN(2)/25))/(LN(2)/25)*Calculateur!AQ93*Calculateur!AS93*VLOOKUP('Données projet'!$B$10,Paramètres!$A$1:$I$89,3,0)*0.475*44/12</f>
        <v>20.191304919594955</v>
      </c>
      <c r="AW93" s="23">
        <f>EXP(-LN(2)/2)*AW92+(1-EXP(-LN(2)/2))/(LN(2)/2)*AQ93*AT93*VLOOKUP('Données projet'!$B$10,Paramètres!$A$1:$I$89,3,0)*0.475*44/12</f>
        <v>3.3629837067810531</v>
      </c>
      <c r="AX93" s="23">
        <f t="shared" si="60"/>
        <v>165.84938886948638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58.727857142857133</v>
      </c>
      <c r="BD93" s="13">
        <f>IF('Données projet'!$A$88&gt;35,BD92+BC93-BL92,IF(A93&lt;'Données projet'!$A$88,$BA$205^A93,IF(A93='Données projet'!$A$88,'Données projet'!$B$88,BD92+BC93-BL92)))</f>
        <v>1722.3549999999996</v>
      </c>
      <c r="BE93" s="14">
        <f>BD93*VLOOKUP('Données projet'!$B$11,Paramètres!$A$1:$I$89,3,0)*VLOOKUP('Données projet'!$B$11,Paramètres!$A$1:$I$89,5,0)</f>
        <v>1800.2054459999997</v>
      </c>
      <c r="BF93" s="14">
        <f t="shared" si="91"/>
        <v>346.70064289640749</v>
      </c>
      <c r="BG93" s="22">
        <f t="shared" si="61"/>
        <v>3739.1947714945759</v>
      </c>
      <c r="BH93" s="62">
        <f t="shared" si="62"/>
        <v>4032.5281048279094</v>
      </c>
      <c r="BI93" s="62">
        <f ca="1">AVERAGE(OFFSET($BH$3,0,0,'Données projet'!$E$11+1,1))-AVERAGE(OFFSET($H$3,0,0,'Données projet'!$E$11+1,1))</f>
        <v>2843.5086223152098</v>
      </c>
      <c r="BJ93" s="62">
        <f t="shared" si="92"/>
        <v>324.81562437645522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146.67341101982143</v>
      </c>
      <c r="BQ93" s="23">
        <f>EXP(-LN(2)/25)*BQ92+(1-EXP(-LN(2)/25))/(LN(2)/25)*Calculateur!BL93*Calculateur!BN93*VLOOKUP('Données projet'!$B$11,Paramètres!$A$1:$I$89,3,0)*0.475*44/12</f>
        <v>20.812575840197873</v>
      </c>
      <c r="BR93" s="23">
        <f>EXP(-LN(2)/2)*BR92+(1-EXP(-LN(2)/2))/(LN(2)/2)*BL93*BO93*VLOOKUP('Données projet'!$B$11,Paramètres!$A$1:$I$89,3,0)*0.475*44/12</f>
        <v>3.4664601285281629</v>
      </c>
      <c r="BS93" s="24">
        <f t="shared" si="63"/>
        <v>170.95244698854745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58.727857142857133</v>
      </c>
      <c r="BY93" s="13">
        <f>IF('Données projet'!$A$114&gt;35,BY92+BX93-CG92,IF(A93&lt;'Données projet'!$A$114,$BV$205^A93,IF(A93='Données projet'!$A$114,'Données projet'!$B$114,BY92+BX93-CG92)))</f>
        <v>1722.3549999999996</v>
      </c>
      <c r="BZ93" s="14">
        <f>BY93*VLOOKUP('Données projet'!$B$12,Paramètres!$A$1:$I$89,3,0)*VLOOKUP('Données projet'!$B$12,Paramètres!$A$1:$I$89,5,0)</f>
        <v>1719.5992319999996</v>
      </c>
      <c r="CA93" s="14">
        <f t="shared" si="93"/>
        <v>332.94736052467982</v>
      </c>
      <c r="CB93" s="22">
        <f t="shared" si="64"/>
        <v>3574.8519819804828</v>
      </c>
      <c r="CC93" s="62">
        <f t="shared" si="65"/>
        <v>3868.1853153138163</v>
      </c>
      <c r="CD93" s="62">
        <f ca="1">AVERAGE(OFFSET($CC$3,0,0,'Données projet'!$E$12+1,1))-AVERAGE(OFFSET($H$3,0,0,'Données projet'!$E$12+1,1))</f>
        <v>2719.939926994799</v>
      </c>
      <c r="CE93" s="62">
        <f t="shared" si="94"/>
        <v>312.21824046329749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140.10594485475477</v>
      </c>
      <c r="CL93" s="23">
        <f>EXP(-LN(2)/25)*CL92+(1-EXP(-LN(2)/25))/(LN(2)/25)*Calculateur!CG93*Calculateur!CI93*VLOOKUP('Données projet'!$B$12,Paramètres!$A$1:$I$89,3,0)*0.475*44/12</f>
        <v>19.880669459293493</v>
      </c>
      <c r="CM93" s="23">
        <f>EXP(-LN(2)/2)*CM92+(1-EXP(-LN(2)/2))/(LN(2)/2)*CG93*CJ93*VLOOKUP('Données projet'!$B$12,Paramètres!$A$1:$I$89,3,0)*0.475*44/12</f>
        <v>3.3112454959074986</v>
      </c>
      <c r="CN93" s="24">
        <f t="shared" si="66"/>
        <v>163.29785980995575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1.1368683772161603E-12</v>
      </c>
      <c r="CU93" s="18">
        <f>CT93*VLOOKUP('Données projet'!$B$13,Paramètres!$A$1:$I$89,3,0)*VLOOKUP('Données projet'!$B$13,Paramètres!$A$1:$I$89,5,0)</f>
        <v>9.9316821433603771E-13</v>
      </c>
      <c r="CV93" s="14">
        <f t="shared" si="95"/>
        <v>1.1421454694498936E-11</v>
      </c>
      <c r="CW93" s="22">
        <f t="shared" si="67"/>
        <v>2.1622134899554243E-11</v>
      </c>
      <c r="CX93" s="62">
        <f t="shared" si="68"/>
        <v>293.33333333335491</v>
      </c>
      <c r="CY93" s="62">
        <f ca="1">AVERAGE(OFFSET($CX$3,0,0,'Données projet'!$E$13+1,1))-AVERAGE(OFFSET($H$3,0,0,'Données projet'!$E$13+1,1))</f>
        <v>1036.0130072090849</v>
      </c>
      <c r="CZ93" s="62">
        <f t="shared" si="96"/>
        <v>346.56593355696174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549.36272784645553</v>
      </c>
      <c r="DG93" s="23">
        <f>EXP(-LN(2)/25)*DG92+(1-EXP(-LN(2)/25))/(LN(2)/25)*Calculateur!DB93*Calculateur!DD93*VLOOKUP('Données projet'!$B$13,Paramètres!$A$1:$I$89,3,0)*0.475*44/12</f>
        <v>32.073705749130596</v>
      </c>
      <c r="DH93" s="23">
        <f>EXP(-LN(2)/2)*DH92+(1-EXP(-LN(2)/2))/(LN(2)/2)*DB93*DE93*VLOOKUP('Données projet'!$B$13,Paramètres!$A$1:$I$89,3,0)*0.475*44/12</f>
        <v>2.8242192374581281</v>
      </c>
      <c r="DI93" s="24">
        <f t="shared" si="69"/>
        <v>584.26065283304422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6.8212102632969618E-13</v>
      </c>
      <c r="DP93" s="18">
        <f>DO93*VLOOKUP('Données projet'!$B$14,Paramètres!$A$1:$I$89,3,0)*VLOOKUP('Données projet'!$B$14,Paramètres!$A$1:$I$89,5,0)</f>
        <v>3.8130565371830017E-13</v>
      </c>
      <c r="DQ93" s="14">
        <f t="shared" si="97"/>
        <v>4.9019074112354236E-12</v>
      </c>
      <c r="DR93" s="22">
        <f t="shared" si="70"/>
        <v>9.2015960881277352E-12</v>
      </c>
      <c r="DS93" s="62">
        <f t="shared" si="71"/>
        <v>293.33333333334252</v>
      </c>
      <c r="DT93" s="62">
        <f ca="1">AVERAGE(OFFSET($DS$3,0,0,'Données projet'!$E$14+1,1))-AVERAGE(OFFSET($H$3,0,0,'Données projet'!$E$14+1,1))</f>
        <v>446.48069057792151</v>
      </c>
      <c r="DU93" s="62">
        <f t="shared" si="98"/>
        <v>561.75656782935948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101.94102091644439</v>
      </c>
      <c r="EB93" s="23">
        <f>EXP(-LN(2)/25)*EB92+(1-EXP(-LN(2)/25))/(LN(2)/25)*Calculateur!DW93*Calculateur!DY93*VLOOKUP('Données projet'!$B$14,Paramètres!$A$1:$I$89,3,0)*0.475*44/12</f>
        <v>35.272363835061881</v>
      </c>
      <c r="EC93" s="23">
        <f>EXP(-LN(2)/2)*EC92+(1-EXP(-LN(2)/2))/(LN(2)/2)*DW93*DZ93*VLOOKUP('Données projet'!$B$14,Paramètres!$A$1:$I$89,3,0)*0.475*44/12</f>
        <v>4.0950064667430669E-3</v>
      </c>
      <c r="ED93" s="24">
        <f t="shared" si="72"/>
        <v>137.21747975797302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1.7053025658242404E-13</v>
      </c>
      <c r="EK93" s="18">
        <f>EJ93*VLOOKUP('Données projet'!$B$15,Paramètres!$A$1:$I$89,3,0)*VLOOKUP('Données projet'!$B$15,Paramètres!$A$1:$I$89,5,0)</f>
        <v>1.6493686416652052E-13</v>
      </c>
      <c r="EL93" s="14">
        <f t="shared" si="99"/>
        <v>2.3376205369651282E-12</v>
      </c>
      <c r="EM93" s="22">
        <f t="shared" si="73"/>
        <v>4.3586208069709543E-12</v>
      </c>
      <c r="EN93" s="62">
        <f t="shared" si="74"/>
        <v>293.33333333333769</v>
      </c>
      <c r="EO93" s="62">
        <f ca="1">AVERAGE(OFFSET($EN$3,0,0,'Données projet'!$E$15+1,1))-AVERAGE(OFFSET($H$3,0,0,'Données projet'!$E$15+1,1))</f>
        <v>301.18531163828169</v>
      </c>
      <c r="EP93" s="62">
        <f t="shared" si="100"/>
        <v>192.30530273268101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131.64514064141807</v>
      </c>
      <c r="EW93" s="23">
        <f>EXP(-LN(2)/25)*EW92+(1-EXP(-LN(2)/25))/(LN(2)/25)*Calculateur!ER93*Calculateur!ET93*VLOOKUP('Données projet'!$B$15,Paramètres!$A$1:$I$89,3,0)*0.475*44/12</f>
        <v>10.265045745981277</v>
      </c>
      <c r="EX93" s="23">
        <f>EXP(-LN(2)/2)*EX92+(1-EXP(-LN(2)/2))/(LN(2)/2)*ER93*EU93*VLOOKUP('Données projet'!$B$15,Paramètres!$A$1:$I$89,3,0)*0.475*44/12</f>
        <v>1.9326505037696342E-3</v>
      </c>
      <c r="EY93" s="24">
        <f t="shared" si="75"/>
        <v>141.9121190379031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1.7053025658242404E-13</v>
      </c>
      <c r="FF93" s="18">
        <f>FE93*VLOOKUP('Données projet'!$B$16,Paramètres!$A$1:$I$89,3,0)*VLOOKUP('Données projet'!$B$16,Paramètres!$A$1:$I$89,5,0)</f>
        <v>1.3301360013429075E-13</v>
      </c>
      <c r="FG93" s="14">
        <f t="shared" si="101"/>
        <v>1.9329766731057041E-12</v>
      </c>
      <c r="FH93" s="22">
        <f t="shared" si="76"/>
        <v>3.5982663925596575E-12</v>
      </c>
      <c r="FI93" s="62">
        <f t="shared" si="77"/>
        <v>293.3333333333369</v>
      </c>
      <c r="FJ93" s="62">
        <f ca="1">AVERAGE(OFFSET($FI$3,0,0,'Données projet'!$E$16+1,1))-AVERAGE(OFFSET($H$3,0,0,'Données projet'!$E$16+1,1))</f>
        <v>249.2899297828755</v>
      </c>
      <c r="FK93" s="62">
        <f t="shared" si="102"/>
        <v>162.88011837476813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106.16543600114359</v>
      </c>
      <c r="FR93" s="23">
        <f>EXP(-LN(2)/25)*FR92+(1-EXP(-LN(2)/25))/(LN(2)/25)*Calculateur!FM93*Calculateur!FO93*VLOOKUP('Données projet'!$B$16,Paramètres!$A$1:$I$89,3,0)*0.475*44/12</f>
        <v>8.2782626983719911</v>
      </c>
      <c r="FS93" s="23">
        <f>EXP(-LN(2)/2)*FS92+(1-EXP(-LN(2)/2))/(LN(2)/2)*FM93*FP93*VLOOKUP('Données projet'!$B$16,Paramètres!$A$1:$I$89,3,0)*0.475*44/12</f>
        <v>1.5585891159432504E-3</v>
      </c>
      <c r="FT93" s="24">
        <f t="shared" si="78"/>
        <v>114.44525728863152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1.7053025658242404E-13</v>
      </c>
      <c r="GA93" s="18">
        <f>FZ93*VLOOKUP('Données projet'!$B$17,Paramètres!$A$1:$I$89,3,0)*VLOOKUP('Données projet'!$B$17,Paramètres!$A$1:$I$89,5,0)</f>
        <v>1.1439169611549005E-13</v>
      </c>
      <c r="GB93" s="14">
        <f t="shared" si="103"/>
        <v>1.6918016515029816E-12</v>
      </c>
      <c r="GC93" s="22">
        <f t="shared" si="79"/>
        <v>3.1457867471021712E-12</v>
      </c>
      <c r="GD93" s="62">
        <f t="shared" si="80"/>
        <v>293.33333333333644</v>
      </c>
      <c r="GE93" s="62">
        <f ca="1">AVERAGE(OFFSET($GD$3,0,0,'Données projet'!$E$17+1,1))-AVERAGE(OFFSET($H$3,0,0,'Données projet'!$E$17+1,1))</f>
        <v>218.89895999738746</v>
      </c>
      <c r="GF93" s="62">
        <f t="shared" si="104"/>
        <v>145.64042897395763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112.53536216121221</v>
      </c>
      <c r="GM93" s="23">
        <f>EXP(-LN(2)/25)*GM92+(1-EXP(-LN(2)/25))/(LN(2)/25)*Calculateur!GH93*Calculateur!GJ93*VLOOKUP('Données projet'!$B$17,Paramètres!$A$1:$I$89,3,0)*0.475*44/12</f>
        <v>8.7749584602743145</v>
      </c>
      <c r="GN93" s="23">
        <f>EXP(-LN(2)/2)*GN92+(1-EXP(-LN(2)/2))/(LN(2)/2)*GH93*GK93*VLOOKUP('Données projet'!$B$17,Paramètres!$A$1:$I$89,3,0)*0.475*44/12</f>
        <v>1.3403866397111981E-3</v>
      </c>
      <c r="GO93" s="23">
        <f t="shared" si="81"/>
        <v>121.31166100812624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1.7053025658242404E-13</v>
      </c>
      <c r="GV93" s="18">
        <f>GU93*VLOOKUP('Données projet'!$B$18,Paramètres!$A$1:$I$89,3,0)*VLOOKUP('Données projet'!$B$18,Paramètres!$A$1:$I$89,5,0)</f>
        <v>1.8355876818532125E-13</v>
      </c>
      <c r="GW93" s="14">
        <f t="shared" si="105"/>
        <v>2.5693529898865504E-12</v>
      </c>
      <c r="GX93" s="22">
        <f t="shared" si="82"/>
        <v>4.7946546453085093E-12</v>
      </c>
      <c r="GY93" s="62">
        <f t="shared" si="83"/>
        <v>293.33333333333809</v>
      </c>
      <c r="GZ93" s="62">
        <f ca="1">AVERAGE(OFFSET($GY$3,0,0,'Données projet'!$E$18+1,1))-AVERAGE(OFFSET($H$3,0,0,'Données projet'!$E$18+1,1))</f>
        <v>331.3579800635751</v>
      </c>
      <c r="HA93" s="62">
        <f t="shared" si="106"/>
        <v>209.40702003535273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146.5083016815781</v>
      </c>
      <c r="HH93" s="23">
        <f>EXP(-LN(2)/25)*HH92+(1-EXP(-LN(2)/25))/(LN(2)/25)*Calculateur!HC93*Calculateur!HE93*VLOOKUP('Données projet'!$B$18,Paramètres!$A$1:$I$89,3,0)*0.475*44/12</f>
        <v>11.424002523753355</v>
      </c>
      <c r="HI93" s="23">
        <f>EXP(-LN(2)/2)*HI92+(1-EXP(-LN(2)/2))/(LN(2)/2)*HC93*HF93*VLOOKUP('Données projet'!$B$18,Paramètres!$A$1:$I$89,3,0)*0.475*44/12</f>
        <v>2.1508529800016861E-3</v>
      </c>
      <c r="HJ93" s="24">
        <f t="shared" si="84"/>
        <v>157.93445505831147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58.727857142857133</v>
      </c>
      <c r="N94" s="14">
        <f>IF('Données projet'!$A$36&gt;35,N93+M94-V93,IF(A94&lt;'Données projet'!$A$36,$K$205^A94,IF(A94='Données projet'!$A$36,'Données projet'!$B$36,N93+M94-V93)))</f>
        <v>1781.0828571428567</v>
      </c>
      <c r="O94" s="14">
        <f>N94*VLOOKUP('Données projet'!$B$9,Paramètres!$A$1:$I$89,3,0)*VLOOKUP('Données projet'!$B$9,Paramètres!$A$1:$I$89,5,0)</f>
        <v>1611.5237691428567</v>
      </c>
      <c r="P94" s="14">
        <f t="shared" si="87"/>
        <v>314.38833717539097</v>
      </c>
      <c r="Q94" s="22">
        <f t="shared" si="54"/>
        <v>3354.2969185042807</v>
      </c>
      <c r="R94" s="62">
        <f t="shared" si="55"/>
        <v>3647.6302518376142</v>
      </c>
      <c r="S94" s="62">
        <f ca="1">AVERAGE(OFFSET($R$3,0,0,'Données projet'!$E$9+1,1))-AVERAGE(OFFSET($H$3,0,0,'Données projet'!$E$9+1,1))</f>
        <v>2472.5049373954762</v>
      </c>
      <c r="T94" s="62">
        <f t="shared" si="88"/>
        <v>286.98388307318311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124.48118841368435</v>
      </c>
      <c r="AA94" s="23">
        <f>EXP(-LN(2)/25)*AA93+(1-EXP(-LN(2)/25))/(LN(2)/25)*Calculateur!V94*Calculateur!X94*VLOOKUP('Données projet'!$B$9,Paramètres!$A$1:$I$89,3,0)*0.475*44/12</f>
        <v>17.524184803626696</v>
      </c>
      <c r="AB94" s="23">
        <f>EXP(-LN(2)/2)*AB93+(1-EXP(-LN(2)/2))/(LN(2)/2)*V94*Y94*VLOOKUP('Données projet'!$B$9,Paramètres!$A$1:$I$89,3,0)*0.475*44/12</f>
        <v>2.1218975057987035</v>
      </c>
      <c r="AC94" s="24">
        <f t="shared" si="57"/>
        <v>144.12727072310975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58.727857142857133</v>
      </c>
      <c r="AI94" s="14">
        <f>IF('Données projet'!$A$62&gt;35,AI93+AH94-AQ93,IF(A94&lt;'Données projet'!$A$62,$AF$205^A94,IF(A94='Données projet'!$A$62,'Données projet'!$B$62,AI93+AH94-AQ93)))</f>
        <v>1781.0828571428567</v>
      </c>
      <c r="AJ94" s="14">
        <f>AI94*VLOOKUP('Données projet'!$B$10,Paramètres!$A$1:$I$89,3,0)*VLOOKUP('Données projet'!$B$10,Paramètres!$A$1:$I$89,5,0)</f>
        <v>1806.0180171428567</v>
      </c>
      <c r="AK94" s="14">
        <f t="shared" si="89"/>
        <v>347.68959450860706</v>
      </c>
      <c r="AL94" s="22">
        <f t="shared" si="58"/>
        <v>3751.0407569596323</v>
      </c>
      <c r="AM94" s="62">
        <f t="shared" si="59"/>
        <v>4044.3740902929658</v>
      </c>
      <c r="AN94" s="62">
        <f ca="1">AVERAGE(OFFSET($AM$3,0,0,'Données projet'!$E$10+1,1))-AVERAGE(OFFSET($H$3,0,0,'Données projet'!$E$10+1,1))</f>
        <v>2761.1400657295467</v>
      </c>
      <c r="AO94" s="62">
        <f t="shared" si="90"/>
        <v>316.41877504316409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139.50478011878417</v>
      </c>
      <c r="AV94" s="23">
        <f>EXP(-LN(2)/25)*AV93+(1-EXP(-LN(2)/25))/(LN(2)/25)*Calculateur!AQ94*Calculateur!AS94*VLOOKUP('Données projet'!$B$10,Paramètres!$A$1:$I$89,3,0)*0.475*44/12</f>
        <v>19.639172624754053</v>
      </c>
      <c r="AW94" s="23">
        <f>EXP(-LN(2)/2)*AW93+(1-EXP(-LN(2)/2))/(LN(2)/2)*AQ94*AT94*VLOOKUP('Données projet'!$B$10,Paramètres!$A$1:$I$89,3,0)*0.475*44/12</f>
        <v>2.3779885840847546</v>
      </c>
      <c r="AX94" s="23">
        <f t="shared" si="60"/>
        <v>161.52194132762298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58.727857142857133</v>
      </c>
      <c r="BD94" s="13">
        <f>IF('Données projet'!$A$88&gt;35,BD93+BC94-BL93,IF(A94&lt;'Données projet'!$A$88,$BA$205^A94,IF(A94='Données projet'!$A$88,'Données projet'!$B$88,BD93+BC94-BL93)))</f>
        <v>1781.0828571428567</v>
      </c>
      <c r="BE94" s="14">
        <f>BD94*VLOOKUP('Données projet'!$B$11,Paramètres!$A$1:$I$89,3,0)*VLOOKUP('Données projet'!$B$11,Paramètres!$A$1:$I$89,5,0)</f>
        <v>1861.5878022857139</v>
      </c>
      <c r="BF94" s="14">
        <f t="shared" si="91"/>
        <v>357.12573503292441</v>
      </c>
      <c r="BG94" s="22">
        <f t="shared" si="61"/>
        <v>3864.2594108299613</v>
      </c>
      <c r="BH94" s="62">
        <f t="shared" si="62"/>
        <v>4157.5927441632948</v>
      </c>
      <c r="BI94" s="62">
        <f ca="1">AVERAGE(OFFSET($BH$3,0,0,'Données projet'!$E$11+1,1))-AVERAGE(OFFSET($H$3,0,0,'Données projet'!$E$11+1,1))</f>
        <v>2843.5086223152098</v>
      </c>
      <c r="BJ94" s="62">
        <f t="shared" si="92"/>
        <v>324.81562437645522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143.79723489166983</v>
      </c>
      <c r="BQ94" s="23">
        <f>EXP(-LN(2)/25)*BQ93+(1-EXP(-LN(2)/25))/(LN(2)/25)*Calculateur!BL94*Calculateur!BN94*VLOOKUP('Données projet'!$B$11,Paramètres!$A$1:$I$89,3,0)*0.475*44/12</f>
        <v>20.243454859361865</v>
      </c>
      <c r="BR94" s="23">
        <f>EXP(-LN(2)/2)*BR93+(1-EXP(-LN(2)/2))/(LN(2)/2)*BL94*BO94*VLOOKUP('Données projet'!$B$11,Paramètres!$A$1:$I$89,3,0)*0.475*44/12</f>
        <v>2.451157463595055</v>
      </c>
      <c r="BS94" s="24">
        <f t="shared" si="63"/>
        <v>166.49184721462674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58.727857142857133</v>
      </c>
      <c r="BY94" s="13">
        <f>IF('Données projet'!$A$114&gt;35,BY93+BX94-CG93,IF(A94&lt;'Données projet'!$A$114,$BV$205^A94,IF(A94='Données projet'!$A$114,'Données projet'!$B$114,BY93+BX94-CG93)))</f>
        <v>1781.0828571428567</v>
      </c>
      <c r="BZ94" s="14">
        <f>BY94*VLOOKUP('Données projet'!$B$12,Paramètres!$A$1:$I$89,3,0)*VLOOKUP('Données projet'!$B$12,Paramètres!$A$1:$I$89,5,0)</f>
        <v>1778.2331245714283</v>
      </c>
      <c r="CA94" s="14">
        <f t="shared" si="93"/>
        <v>342.95889924316157</v>
      </c>
      <c r="CB94" s="22">
        <f t="shared" si="64"/>
        <v>3694.4094414770771</v>
      </c>
      <c r="CC94" s="62">
        <f t="shared" si="65"/>
        <v>3987.7427748104105</v>
      </c>
      <c r="CD94" s="62">
        <f ca="1">AVERAGE(OFFSET($CC$3,0,0,'Données projet'!$E$12+1,1))-AVERAGE(OFFSET($H$3,0,0,'Données projet'!$E$12+1,1))</f>
        <v>2719.939926994799</v>
      </c>
      <c r="CE94" s="62">
        <f t="shared" si="94"/>
        <v>312.21824046329749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137.35855273234128</v>
      </c>
      <c r="CL94" s="23">
        <f>EXP(-LN(2)/25)*CL93+(1-EXP(-LN(2)/25))/(LN(2)/25)*Calculateur!CG94*Calculateur!CI94*VLOOKUP('Données projet'!$B$12,Paramètres!$A$1:$I$89,3,0)*0.475*44/12</f>
        <v>19.337031507450142</v>
      </c>
      <c r="CM94" s="23">
        <f>EXP(-LN(2)/2)*CM93+(1-EXP(-LN(2)/2))/(LN(2)/2)*CG94*CJ94*VLOOKUP('Données projet'!$B$12,Paramètres!$A$1:$I$89,3,0)*0.475*44/12</f>
        <v>2.341404144329605</v>
      </c>
      <c r="CN94" s="24">
        <f t="shared" si="66"/>
        <v>159.03698838412103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1.1368683772161603E-12</v>
      </c>
      <c r="CU94" s="18">
        <f>CT94*VLOOKUP('Données projet'!$B$13,Paramètres!$A$1:$I$89,3,0)*VLOOKUP('Données projet'!$B$13,Paramètres!$A$1:$I$89,5,0)</f>
        <v>9.9316821433603771E-13</v>
      </c>
      <c r="CV94" s="14">
        <f t="shared" si="95"/>
        <v>1.1421454694498936E-11</v>
      </c>
      <c r="CW94" s="22">
        <f t="shared" si="67"/>
        <v>2.1622134899554243E-11</v>
      </c>
      <c r="CX94" s="62">
        <f t="shared" si="68"/>
        <v>293.33333333335491</v>
      </c>
      <c r="CY94" s="62">
        <f ca="1">AVERAGE(OFFSET($CX$3,0,0,'Données projet'!$E$13+1,1))-AVERAGE(OFFSET($H$3,0,0,'Données projet'!$E$13+1,1))</f>
        <v>1036.0130072090849</v>
      </c>
      <c r="CZ94" s="62">
        <f t="shared" si="96"/>
        <v>346.56593355696174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538.5900598315643</v>
      </c>
      <c r="DG94" s="23">
        <f>EXP(-LN(2)/25)*DG93+(1-EXP(-LN(2)/25))/(LN(2)/25)*Calculateur!DB94*Calculateur!DD94*VLOOKUP('Données projet'!$B$13,Paramètres!$A$1:$I$89,3,0)*0.475*44/12</f>
        <v>31.19664857873774</v>
      </c>
      <c r="DH94" s="23">
        <f>EXP(-LN(2)/2)*DH93+(1-EXP(-LN(2)/2))/(LN(2)/2)*DB94*DE94*VLOOKUP('Données projet'!$B$13,Paramètres!$A$1:$I$89,3,0)*0.475*44/12</f>
        <v>1.9970245743641428</v>
      </c>
      <c r="DI94" s="24">
        <f t="shared" si="69"/>
        <v>571.78373298466613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6.8212102632969618E-13</v>
      </c>
      <c r="DP94" s="18">
        <f>DO94*VLOOKUP('Données projet'!$B$14,Paramètres!$A$1:$I$89,3,0)*VLOOKUP('Données projet'!$B$14,Paramètres!$A$1:$I$89,5,0)</f>
        <v>3.8130565371830017E-13</v>
      </c>
      <c r="DQ94" s="14">
        <f t="shared" si="97"/>
        <v>4.9019074112354236E-12</v>
      </c>
      <c r="DR94" s="22">
        <f t="shared" si="70"/>
        <v>9.2015960881277352E-12</v>
      </c>
      <c r="DS94" s="62">
        <f t="shared" si="71"/>
        <v>293.33333333334252</v>
      </c>
      <c r="DT94" s="62">
        <f ca="1">AVERAGE(OFFSET($DS$3,0,0,'Données projet'!$E$14+1,1))-AVERAGE(OFFSET($H$3,0,0,'Données projet'!$E$14+1,1))</f>
        <v>446.48069057792151</v>
      </c>
      <c r="DU94" s="62">
        <f t="shared" si="98"/>
        <v>561.75656782935948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99.942019674156114</v>
      </c>
      <c r="EB94" s="23">
        <f>EXP(-LN(2)/25)*EB93+(1-EXP(-LN(2)/25))/(LN(2)/25)*Calculateur!DW94*Calculateur!DY94*VLOOKUP('Données projet'!$B$14,Paramètres!$A$1:$I$89,3,0)*0.475*44/12</f>
        <v>34.307839191099113</v>
      </c>
      <c r="EC94" s="23">
        <f>EXP(-LN(2)/2)*EC93+(1-EXP(-LN(2)/2))/(LN(2)/2)*DW94*DZ94*VLOOKUP('Données projet'!$B$14,Paramètres!$A$1:$I$89,3,0)*0.475*44/12</f>
        <v>2.895606841636787E-3</v>
      </c>
      <c r="ED94" s="24">
        <f t="shared" si="72"/>
        <v>134.25275447209685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1.7053025658242404E-13</v>
      </c>
      <c r="EK94" s="18">
        <f>EJ94*VLOOKUP('Données projet'!$B$15,Paramètres!$A$1:$I$89,3,0)*VLOOKUP('Données projet'!$B$15,Paramètres!$A$1:$I$89,5,0)</f>
        <v>1.6493686416652052E-13</v>
      </c>
      <c r="EL94" s="14">
        <f t="shared" si="99"/>
        <v>2.3376205369651282E-12</v>
      </c>
      <c r="EM94" s="22">
        <f t="shared" si="73"/>
        <v>4.3586208069709543E-12</v>
      </c>
      <c r="EN94" s="62">
        <f t="shared" si="74"/>
        <v>293.33333333333769</v>
      </c>
      <c r="EO94" s="62">
        <f ca="1">AVERAGE(OFFSET($EN$3,0,0,'Données projet'!$E$15+1,1))-AVERAGE(OFFSET($H$3,0,0,'Données projet'!$E$15+1,1))</f>
        <v>301.18531163828169</v>
      </c>
      <c r="EP94" s="62">
        <f t="shared" si="100"/>
        <v>192.30530273268101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129.06365972904712</v>
      </c>
      <c r="EW94" s="23">
        <f>EXP(-LN(2)/25)*EW93+(1-EXP(-LN(2)/25))/(LN(2)/25)*Calculateur!ER94*Calculateur!ET94*VLOOKUP('Données projet'!$B$15,Paramètres!$A$1:$I$89,3,0)*0.475*44/12</f>
        <v>9.9843475302421254</v>
      </c>
      <c r="EX94" s="23">
        <f>EXP(-LN(2)/2)*EX93+(1-EXP(-LN(2)/2))/(LN(2)/2)*ER94*EU94*VLOOKUP('Données projet'!$B$15,Paramètres!$A$1:$I$89,3,0)*0.475*44/12</f>
        <v>1.3665902768791058E-3</v>
      </c>
      <c r="EY94" s="24">
        <f t="shared" si="75"/>
        <v>139.04937384956614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1.7053025658242404E-13</v>
      </c>
      <c r="FF94" s="18">
        <f>FE94*VLOOKUP('Données projet'!$B$16,Paramètres!$A$1:$I$89,3,0)*VLOOKUP('Données projet'!$B$16,Paramètres!$A$1:$I$89,5,0)</f>
        <v>1.3301360013429075E-13</v>
      </c>
      <c r="FG94" s="14">
        <f t="shared" si="101"/>
        <v>1.9329766731057041E-12</v>
      </c>
      <c r="FH94" s="22">
        <f t="shared" si="76"/>
        <v>3.5982663925596575E-12</v>
      </c>
      <c r="FI94" s="62">
        <f t="shared" si="77"/>
        <v>293.3333333333369</v>
      </c>
      <c r="FJ94" s="62">
        <f ca="1">AVERAGE(OFFSET($FI$3,0,0,'Données projet'!$E$16+1,1))-AVERAGE(OFFSET($H$3,0,0,'Données projet'!$E$16+1,1))</f>
        <v>249.2899297828755</v>
      </c>
      <c r="FK94" s="62">
        <f t="shared" si="102"/>
        <v>162.88011837476813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104.08359655568314</v>
      </c>
      <c r="FR94" s="23">
        <f>EXP(-LN(2)/25)*FR93+(1-EXP(-LN(2)/25))/(LN(2)/25)*Calculateur!FM94*Calculateur!FO94*VLOOKUP('Données projet'!$B$16,Paramètres!$A$1:$I$89,3,0)*0.475*44/12</f>
        <v>8.0518931695500946</v>
      </c>
      <c r="FS94" s="23">
        <f>EXP(-LN(2)/2)*FS93+(1-EXP(-LN(2)/2))/(LN(2)/2)*FM94*FP94*VLOOKUP('Données projet'!$B$16,Paramètres!$A$1:$I$89,3,0)*0.475*44/12</f>
        <v>1.1020889329670185E-3</v>
      </c>
      <c r="FT94" s="24">
        <f t="shared" si="78"/>
        <v>112.13659181416621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1.7053025658242404E-13</v>
      </c>
      <c r="GA94" s="18">
        <f>FZ94*VLOOKUP('Données projet'!$B$17,Paramètres!$A$1:$I$89,3,0)*VLOOKUP('Données projet'!$B$17,Paramètres!$A$1:$I$89,5,0)</f>
        <v>1.1439169611549005E-13</v>
      </c>
      <c r="GB94" s="14">
        <f t="shared" si="103"/>
        <v>1.6918016515029816E-12</v>
      </c>
      <c r="GC94" s="22">
        <f t="shared" si="79"/>
        <v>3.1457867471021712E-12</v>
      </c>
      <c r="GD94" s="62">
        <f t="shared" si="80"/>
        <v>293.33333333333644</v>
      </c>
      <c r="GE94" s="62">
        <f ca="1">AVERAGE(OFFSET($GD$3,0,0,'Données projet'!$E$17+1,1))-AVERAGE(OFFSET($H$3,0,0,'Données projet'!$E$17+1,1))</f>
        <v>218.89895999738746</v>
      </c>
      <c r="GF94" s="62">
        <f t="shared" si="104"/>
        <v>145.64042897395763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110.32861234902414</v>
      </c>
      <c r="GM94" s="23">
        <f>EXP(-LN(2)/25)*GM93+(1-EXP(-LN(2)/25))/(LN(2)/25)*Calculateur!GH94*Calculateur!GJ94*VLOOKUP('Données projet'!$B$17,Paramètres!$A$1:$I$89,3,0)*0.475*44/12</f>
        <v>8.5350067597231032</v>
      </c>
      <c r="GN94" s="23">
        <f>EXP(-LN(2)/2)*GN93+(1-EXP(-LN(2)/2))/(LN(2)/2)*GH94*GK94*VLOOKUP('Données projet'!$B$17,Paramètres!$A$1:$I$89,3,0)*0.475*44/12</f>
        <v>9.4779648235163801E-4</v>
      </c>
      <c r="GO94" s="23">
        <f t="shared" si="81"/>
        <v>118.86456690522959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1.7053025658242404E-13</v>
      </c>
      <c r="GV94" s="18">
        <f>GU94*VLOOKUP('Données projet'!$B$18,Paramètres!$A$1:$I$89,3,0)*VLOOKUP('Données projet'!$B$18,Paramètres!$A$1:$I$89,5,0)</f>
        <v>1.8355876818532125E-13</v>
      </c>
      <c r="GW94" s="14">
        <f t="shared" si="105"/>
        <v>2.5693529898865504E-12</v>
      </c>
      <c r="GX94" s="22">
        <f t="shared" si="82"/>
        <v>4.7946546453085093E-12</v>
      </c>
      <c r="GY94" s="62">
        <f t="shared" si="83"/>
        <v>293.33333333333809</v>
      </c>
      <c r="GZ94" s="62">
        <f ca="1">AVERAGE(OFFSET($GY$3,0,0,'Données projet'!$E$18+1,1))-AVERAGE(OFFSET($H$3,0,0,'Données projet'!$E$18+1,1))</f>
        <v>331.3579800635751</v>
      </c>
      <c r="HA94" s="62">
        <f t="shared" si="106"/>
        <v>209.40702003535273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143.6353632468427</v>
      </c>
      <c r="HH94" s="23">
        <f>EXP(-LN(2)/25)*HH93+(1-EXP(-LN(2)/25))/(LN(2)/25)*Calculateur!HC94*Calculateur!HE94*VLOOKUP('Données projet'!$B$18,Paramètres!$A$1:$I$89,3,0)*0.475*44/12</f>
        <v>11.111612573979137</v>
      </c>
      <c r="HI94" s="23">
        <f>EXP(-LN(2)/2)*HI93+(1-EXP(-LN(2)/2))/(LN(2)/2)*HC94*HF94*VLOOKUP('Données projet'!$B$18,Paramètres!$A$1:$I$89,3,0)*0.475*44/12</f>
        <v>1.520882727494486E-3</v>
      </c>
      <c r="HJ94" s="24">
        <f t="shared" si="84"/>
        <v>154.74849670354934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58.727857142857133</v>
      </c>
      <c r="N95" s="14">
        <f>IF('Données projet'!$A$36&gt;35,N94+M95-V94,IF(A95&lt;'Données projet'!$A$36,$K$205^A95,IF(A95='Données projet'!$A$36,'Données projet'!$B$36,N94+M95-V94)))</f>
        <v>1839.8107142857139</v>
      </c>
      <c r="O95" s="14">
        <f>N95*VLOOKUP('Données projet'!$B$9,Paramètres!$A$1:$I$89,3,0)*VLOOKUP('Données projet'!$B$9,Paramètres!$A$1:$I$89,5,0)</f>
        <v>1664.6607342857137</v>
      </c>
      <c r="P95" s="14">
        <f t="shared" si="87"/>
        <v>323.53069064894981</v>
      </c>
      <c r="Q95" s="22">
        <f t="shared" si="54"/>
        <v>3462.7667317612054</v>
      </c>
      <c r="R95" s="62">
        <f t="shared" si="55"/>
        <v>3756.1000650945389</v>
      </c>
      <c r="S95" s="62">
        <f ca="1">AVERAGE(OFFSET($R$3,0,0,'Données projet'!$E$9+1,1))-AVERAGE(OFFSET($H$3,0,0,'Données projet'!$E$9+1,1))</f>
        <v>2472.5049373954762</v>
      </c>
      <c r="T95" s="62">
        <f t="shared" si="88"/>
        <v>286.98388307318311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122.04018823491985</v>
      </c>
      <c r="AA95" s="23">
        <f>EXP(-LN(2)/25)*AA94+(1-EXP(-LN(2)/25))/(LN(2)/25)*Calculateur!V95*Calculateur!X95*VLOOKUP('Données projet'!$B$9,Paramètres!$A$1:$I$89,3,0)*0.475*44/12</f>
        <v>17.044985048614699</v>
      </c>
      <c r="AB95" s="23">
        <f>EXP(-LN(2)/2)*AB94+(1-EXP(-LN(2)/2))/(LN(2)/2)*V95*Y95*VLOOKUP('Données projet'!$B$9,Paramètres!$A$1:$I$89,3,0)*0.475*44/12</f>
        <v>1.5004081153330848</v>
      </c>
      <c r="AC95" s="24">
        <f t="shared" si="57"/>
        <v>140.58558139886762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58.727857142857133</v>
      </c>
      <c r="AI95" s="14">
        <f>IF('Données projet'!$A$62&gt;35,AI94+AH95-AQ94,IF(A95&lt;'Données projet'!$A$62,$AF$205^A95,IF(A95='Données projet'!$A$62,'Données projet'!$B$62,AI94+AH95-AQ94)))</f>
        <v>1839.8107142857139</v>
      </c>
      <c r="AJ95" s="14">
        <f>AI95*VLOOKUP('Données projet'!$B$10,Paramètres!$A$1:$I$89,3,0)*VLOOKUP('Données projet'!$B$10,Paramètres!$A$1:$I$89,5,0)</f>
        <v>1865.5680642857137</v>
      </c>
      <c r="AK95" s="14">
        <f t="shared" si="89"/>
        <v>357.8003422565514</v>
      </c>
      <c r="AL95" s="22">
        <f t="shared" si="58"/>
        <v>3872.3666413944447</v>
      </c>
      <c r="AM95" s="62">
        <f t="shared" si="59"/>
        <v>4165.6999747277778</v>
      </c>
      <c r="AN95" s="62">
        <f ca="1">AVERAGE(OFFSET($AM$3,0,0,'Données projet'!$E$10+1,1))-AVERAGE(OFFSET($H$3,0,0,'Données projet'!$E$10+1,1))</f>
        <v>2761.1400657295467</v>
      </c>
      <c r="AO95" s="62">
        <f t="shared" si="90"/>
        <v>316.41877504316409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136.76917647016879</v>
      </c>
      <c r="AV95" s="23">
        <f>EXP(-LN(2)/25)*AV94+(1-EXP(-LN(2)/25))/(LN(2)/25)*Calculateur!AQ95*Calculateur!AS95*VLOOKUP('Données projet'!$B$10,Paramètres!$A$1:$I$89,3,0)*0.475*44/12</f>
        <v>19.10213841655095</v>
      </c>
      <c r="AW95" s="23">
        <f>EXP(-LN(2)/2)*AW94+(1-EXP(-LN(2)/2))/(LN(2)/2)*AQ95*AT95*VLOOKUP('Données projet'!$B$10,Paramètres!$A$1:$I$89,3,0)*0.475*44/12</f>
        <v>1.6814918533905265</v>
      </c>
      <c r="AX95" s="23">
        <f t="shared" si="60"/>
        <v>157.55280674011027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58.727857142857133</v>
      </c>
      <c r="BD95" s="13">
        <f>IF('Données projet'!$A$88&gt;35,BD94+BC95-BL94,IF(A95&lt;'Données projet'!$A$88,$BA$205^A95,IF(A95='Données projet'!$A$88,'Données projet'!$B$88,BD94+BC95-BL94)))</f>
        <v>1839.8107142857139</v>
      </c>
      <c r="BE95" s="14">
        <f>BD95*VLOOKUP('Données projet'!$B$11,Paramètres!$A$1:$I$89,3,0)*VLOOKUP('Données projet'!$B$11,Paramètres!$A$1:$I$89,5,0)</f>
        <v>1922.9701585714281</v>
      </c>
      <c r="BF95" s="14">
        <f t="shared" si="91"/>
        <v>367.51088396532282</v>
      </c>
      <c r="BG95" s="22">
        <f t="shared" si="61"/>
        <v>3989.254482418175</v>
      </c>
      <c r="BH95" s="62">
        <f t="shared" si="62"/>
        <v>4282.5878157515081</v>
      </c>
      <c r="BI95" s="62">
        <f ca="1">AVERAGE(OFFSET($BH$3,0,0,'Données projet'!$E$11+1,1))-AVERAGE(OFFSET($H$3,0,0,'Données projet'!$E$11+1,1))</f>
        <v>2843.5086223152098</v>
      </c>
      <c r="BJ95" s="62">
        <f t="shared" si="92"/>
        <v>324.81562437645522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140.97745882309707</v>
      </c>
      <c r="BQ95" s="23">
        <f>EXP(-LN(2)/25)*BQ94+(1-EXP(-LN(2)/25))/(LN(2)/25)*Calculateur!BL95*Calculateur!BN95*VLOOKUP('Données projet'!$B$11,Paramètres!$A$1:$I$89,3,0)*0.475*44/12</f>
        <v>19.689896521675593</v>
      </c>
      <c r="BR95" s="23">
        <f>EXP(-LN(2)/2)*BR94+(1-EXP(-LN(2)/2))/(LN(2)/2)*BL95*BO95*VLOOKUP('Données projet'!$B$11,Paramètres!$A$1:$I$89,3,0)*0.475*44/12</f>
        <v>1.7332300642640814</v>
      </c>
      <c r="BS95" s="24">
        <f t="shared" si="63"/>
        <v>162.40058540903675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58.727857142857133</v>
      </c>
      <c r="BY95" s="13">
        <f>IF('Données projet'!$A$114&gt;35,BY94+BX95-CG94,IF(A95&lt;'Données projet'!$A$114,$BV$205^A95,IF(A95='Données projet'!$A$114,'Données projet'!$B$114,BY94+BX95-CG94)))</f>
        <v>1839.8107142857139</v>
      </c>
      <c r="BZ95" s="14">
        <f>BY95*VLOOKUP('Données projet'!$B$12,Paramètres!$A$1:$I$89,3,0)*VLOOKUP('Données projet'!$B$12,Paramètres!$A$1:$I$89,5,0)</f>
        <v>1836.8670171428569</v>
      </c>
      <c r="CA95" s="14">
        <f t="shared" si="93"/>
        <v>352.93207926616748</v>
      </c>
      <c r="CB95" s="22">
        <f t="shared" si="64"/>
        <v>3813.9000929123845</v>
      </c>
      <c r="CC95" s="62">
        <f t="shared" si="65"/>
        <v>4107.233426245718</v>
      </c>
      <c r="CD95" s="62">
        <f ca="1">AVERAGE(OFFSET($CC$3,0,0,'Données projet'!$E$12+1,1))-AVERAGE(OFFSET($H$3,0,0,'Données projet'!$E$12+1,1))</f>
        <v>2719.939926994799</v>
      </c>
      <c r="CE95" s="62">
        <f t="shared" si="94"/>
        <v>312.21824046329749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134.66503529370459</v>
      </c>
      <c r="CL95" s="23">
        <f>EXP(-LN(2)/25)*CL94+(1-EXP(-LN(2)/25))/(LN(2)/25)*Calculateur!CG95*Calculateur!CI95*VLOOKUP('Données projet'!$B$12,Paramètres!$A$1:$I$89,3,0)*0.475*44/12</f>
        <v>18.808259363988626</v>
      </c>
      <c r="CM95" s="23">
        <f>EXP(-LN(2)/2)*CM94+(1-EXP(-LN(2)/2))/(LN(2)/2)*CG95*CJ95*VLOOKUP('Données projet'!$B$12,Paramètres!$A$1:$I$89,3,0)*0.475*44/12</f>
        <v>1.6556227479537495</v>
      </c>
      <c r="CN95" s="24">
        <f t="shared" si="66"/>
        <v>155.12891740564694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1.1368683772161603E-12</v>
      </c>
      <c r="CU95" s="18">
        <f>CT95*VLOOKUP('Données projet'!$B$13,Paramètres!$A$1:$I$89,3,0)*VLOOKUP('Données projet'!$B$13,Paramètres!$A$1:$I$89,5,0)</f>
        <v>9.9316821433603771E-13</v>
      </c>
      <c r="CV95" s="14">
        <f t="shared" si="95"/>
        <v>1.1421454694498936E-11</v>
      </c>
      <c r="CW95" s="22">
        <f t="shared" si="67"/>
        <v>2.1622134899554243E-11</v>
      </c>
      <c r="CX95" s="62">
        <f t="shared" si="68"/>
        <v>293.33333333335491</v>
      </c>
      <c r="CY95" s="62">
        <f ca="1">AVERAGE(OFFSET($CX$3,0,0,'Données projet'!$E$13+1,1))-AVERAGE(OFFSET($H$3,0,0,'Données projet'!$E$13+1,1))</f>
        <v>1036.0130072090849</v>
      </c>
      <c r="CZ95" s="62">
        <f t="shared" si="96"/>
        <v>346.56593355696174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528.02863726576641</v>
      </c>
      <c r="DG95" s="23">
        <f>EXP(-LN(2)/25)*DG94+(1-EXP(-LN(2)/25))/(LN(2)/25)*Calculateur!DB95*Calculateur!DD95*VLOOKUP('Données projet'!$B$13,Paramètres!$A$1:$I$89,3,0)*0.475*44/12</f>
        <v>30.34357458279171</v>
      </c>
      <c r="DH95" s="23">
        <f>EXP(-LN(2)/2)*DH94+(1-EXP(-LN(2)/2))/(LN(2)/2)*DB95*DE95*VLOOKUP('Données projet'!$B$13,Paramètres!$A$1:$I$89,3,0)*0.475*44/12</f>
        <v>1.4121096187290643</v>
      </c>
      <c r="DI95" s="24">
        <f t="shared" si="69"/>
        <v>559.78432146728721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6.8212102632969618E-13</v>
      </c>
      <c r="DP95" s="18">
        <f>DO95*VLOOKUP('Données projet'!$B$14,Paramètres!$A$1:$I$89,3,0)*VLOOKUP('Données projet'!$B$14,Paramètres!$A$1:$I$89,5,0)</f>
        <v>3.8130565371830017E-13</v>
      </c>
      <c r="DQ95" s="14">
        <f t="shared" si="97"/>
        <v>4.9019074112354236E-12</v>
      </c>
      <c r="DR95" s="22">
        <f t="shared" si="70"/>
        <v>9.2015960881277352E-12</v>
      </c>
      <c r="DS95" s="62">
        <f t="shared" si="71"/>
        <v>293.33333333334252</v>
      </c>
      <c r="DT95" s="62">
        <f ca="1">AVERAGE(OFFSET($DS$3,0,0,'Données projet'!$E$14+1,1))-AVERAGE(OFFSET($H$3,0,0,'Données projet'!$E$14+1,1))</f>
        <v>446.48069057792151</v>
      </c>
      <c r="DU95" s="62">
        <f t="shared" si="98"/>
        <v>561.75656782935948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97.982217626958757</v>
      </c>
      <c r="EB95" s="23">
        <f>EXP(-LN(2)/25)*EB94+(1-EXP(-LN(2)/25))/(LN(2)/25)*Calculateur!DW95*Calculateur!DY95*VLOOKUP('Données projet'!$B$14,Paramètres!$A$1:$I$89,3,0)*0.475*44/12</f>
        <v>33.369689524247654</v>
      </c>
      <c r="EC95" s="23">
        <f>EXP(-LN(2)/2)*EC94+(1-EXP(-LN(2)/2))/(LN(2)/2)*DW95*DZ95*VLOOKUP('Données projet'!$B$14,Paramètres!$A$1:$I$89,3,0)*0.475*44/12</f>
        <v>2.0475032333715335E-3</v>
      </c>
      <c r="ED95" s="24">
        <f t="shared" si="72"/>
        <v>131.35395465443978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1.7053025658242404E-13</v>
      </c>
      <c r="EK95" s="18">
        <f>EJ95*VLOOKUP('Données projet'!$B$15,Paramètres!$A$1:$I$89,3,0)*VLOOKUP('Données projet'!$B$15,Paramètres!$A$1:$I$89,5,0)</f>
        <v>1.6493686416652052E-13</v>
      </c>
      <c r="EL95" s="14">
        <f t="shared" si="99"/>
        <v>2.3376205369651282E-12</v>
      </c>
      <c r="EM95" s="22">
        <f t="shared" si="73"/>
        <v>4.3586208069709543E-12</v>
      </c>
      <c r="EN95" s="62">
        <f t="shared" si="74"/>
        <v>293.33333333333769</v>
      </c>
      <c r="EO95" s="62">
        <f ca="1">AVERAGE(OFFSET($EN$3,0,0,'Données projet'!$E$15+1,1))-AVERAGE(OFFSET($H$3,0,0,'Données projet'!$E$15+1,1))</f>
        <v>301.18531163828169</v>
      </c>
      <c r="EP95" s="62">
        <f t="shared" si="100"/>
        <v>192.30530273268101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126.53280008281988</v>
      </c>
      <c r="EW95" s="23">
        <f>EXP(-LN(2)/25)*EW94+(1-EXP(-LN(2)/25))/(LN(2)/25)*Calculateur!ER95*Calculateur!ET95*VLOOKUP('Données projet'!$B$15,Paramètres!$A$1:$I$89,3,0)*0.475*44/12</f>
        <v>9.7113250219736376</v>
      </c>
      <c r="EX95" s="23">
        <f>EXP(-LN(2)/2)*EX94+(1-EXP(-LN(2)/2))/(LN(2)/2)*ER95*EU95*VLOOKUP('Données projet'!$B$15,Paramètres!$A$1:$I$89,3,0)*0.475*44/12</f>
        <v>9.6632525188481734E-4</v>
      </c>
      <c r="EY95" s="24">
        <f t="shared" si="75"/>
        <v>136.24509143004539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1.7053025658242404E-13</v>
      </c>
      <c r="FF95" s="18">
        <f>FE95*VLOOKUP('Données projet'!$B$16,Paramètres!$A$1:$I$89,3,0)*VLOOKUP('Données projet'!$B$16,Paramètres!$A$1:$I$89,5,0)</f>
        <v>1.3301360013429075E-13</v>
      </c>
      <c r="FG95" s="14">
        <f t="shared" si="101"/>
        <v>1.9329766731057041E-12</v>
      </c>
      <c r="FH95" s="22">
        <f t="shared" si="76"/>
        <v>3.5982663925596575E-12</v>
      </c>
      <c r="FI95" s="62">
        <f t="shared" si="77"/>
        <v>293.3333333333369</v>
      </c>
      <c r="FJ95" s="62">
        <f ca="1">AVERAGE(OFFSET($FI$3,0,0,'Données projet'!$E$16+1,1))-AVERAGE(OFFSET($H$3,0,0,'Données projet'!$E$16+1,1))</f>
        <v>249.2899297828755</v>
      </c>
      <c r="FK95" s="62">
        <f t="shared" si="102"/>
        <v>162.88011837476813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102.0425807119515</v>
      </c>
      <c r="FR95" s="23">
        <f>EXP(-LN(2)/25)*FR94+(1-EXP(-LN(2)/25))/(LN(2)/25)*Calculateur!FM95*Calculateur!FO95*VLOOKUP('Données projet'!$B$16,Paramètres!$A$1:$I$89,3,0)*0.475*44/12</f>
        <v>7.8317137273980881</v>
      </c>
      <c r="FS95" s="23">
        <f>EXP(-LN(2)/2)*FS94+(1-EXP(-LN(2)/2))/(LN(2)/2)*FM95*FP95*VLOOKUP('Données projet'!$B$16,Paramètres!$A$1:$I$89,3,0)*0.475*44/12</f>
        <v>7.7929455797162521E-4</v>
      </c>
      <c r="FT95" s="24">
        <f t="shared" si="78"/>
        <v>109.87507373390756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1.7053025658242404E-13</v>
      </c>
      <c r="GA95" s="18">
        <f>FZ95*VLOOKUP('Données projet'!$B$17,Paramètres!$A$1:$I$89,3,0)*VLOOKUP('Données projet'!$B$17,Paramètres!$A$1:$I$89,5,0)</f>
        <v>1.1439169611549005E-13</v>
      </c>
      <c r="GB95" s="14">
        <f t="shared" si="103"/>
        <v>1.6918016515029816E-12</v>
      </c>
      <c r="GC95" s="22">
        <f t="shared" si="79"/>
        <v>3.1457867471021712E-12</v>
      </c>
      <c r="GD95" s="62">
        <f t="shared" si="80"/>
        <v>293.33333333333644</v>
      </c>
      <c r="GE95" s="62">
        <f ca="1">AVERAGE(OFFSET($GD$3,0,0,'Données projet'!$E$17+1,1))-AVERAGE(OFFSET($H$3,0,0,'Données projet'!$E$17+1,1))</f>
        <v>218.89895999738746</v>
      </c>
      <c r="GF95" s="62">
        <f t="shared" si="104"/>
        <v>145.64042897395763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108.16513555466859</v>
      </c>
      <c r="GM95" s="23">
        <f>EXP(-LN(2)/25)*GM94+(1-EXP(-LN(2)/25))/(LN(2)/25)*Calculateur!GH95*Calculateur!GJ95*VLOOKUP('Données projet'!$B$17,Paramètres!$A$1:$I$89,3,0)*0.475*44/12</f>
        <v>8.3016165510419757</v>
      </c>
      <c r="GN95" s="23">
        <f>EXP(-LN(2)/2)*GN94+(1-EXP(-LN(2)/2))/(LN(2)/2)*GH95*GK95*VLOOKUP('Données projet'!$B$17,Paramètres!$A$1:$I$89,3,0)*0.475*44/12</f>
        <v>6.7019331985559917E-4</v>
      </c>
      <c r="GO95" s="23">
        <f t="shared" si="81"/>
        <v>116.46742229903042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1.7053025658242404E-13</v>
      </c>
      <c r="GV95" s="18">
        <f>GU95*VLOOKUP('Données projet'!$B$18,Paramètres!$A$1:$I$89,3,0)*VLOOKUP('Données projet'!$B$18,Paramètres!$A$1:$I$89,5,0)</f>
        <v>1.8355876818532125E-13</v>
      </c>
      <c r="GW95" s="14">
        <f t="shared" si="105"/>
        <v>2.5693529898865504E-12</v>
      </c>
      <c r="GX95" s="22">
        <f t="shared" si="82"/>
        <v>4.7946546453085093E-12</v>
      </c>
      <c r="GY95" s="62">
        <f t="shared" si="83"/>
        <v>293.33333333333809</v>
      </c>
      <c r="GZ95" s="62">
        <f ca="1">AVERAGE(OFFSET($GY$3,0,0,'Données projet'!$E$18+1,1))-AVERAGE(OFFSET($H$3,0,0,'Données projet'!$E$18+1,1))</f>
        <v>331.3579800635751</v>
      </c>
      <c r="HA95" s="62">
        <f t="shared" si="106"/>
        <v>209.40702003535273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140.81876138249302</v>
      </c>
      <c r="HH95" s="23">
        <f>EXP(-LN(2)/25)*HH94+(1-EXP(-LN(2)/25))/(LN(2)/25)*Calculateur!HC95*Calculateur!HE95*VLOOKUP('Données projet'!$B$18,Paramètres!$A$1:$I$89,3,0)*0.475*44/12</f>
        <v>10.807764943809369</v>
      </c>
      <c r="HI95" s="23">
        <f>EXP(-LN(2)/2)*HI94+(1-EXP(-LN(2)/2))/(LN(2)/2)*HC95*HF95*VLOOKUP('Données projet'!$B$18,Paramètres!$A$1:$I$89,3,0)*0.475*44/12</f>
        <v>1.0754264900008431E-3</v>
      </c>
      <c r="HJ95" s="24">
        <f t="shared" si="84"/>
        <v>151.62760175279237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58.727857142857133</v>
      </c>
      <c r="N96" s="14">
        <f>IF('Données projet'!$A$36&gt;35,N95+M96-V95,IF(A96&lt;'Données projet'!$A$36,$K$205^A96,IF(A96='Données projet'!$A$36,'Données projet'!$B$36,N95+M96-V95)))</f>
        <v>1898.538571428571</v>
      </c>
      <c r="O96" s="14">
        <f>N96*VLOOKUP('Données projet'!$B$9,Paramètres!$A$1:$I$89,3,0)*VLOOKUP('Données projet'!$B$9,Paramètres!$A$1:$I$89,5,0)</f>
        <v>1717.7976994285709</v>
      </c>
      <c r="P96" s="14">
        <f t="shared" si="87"/>
        <v>332.63913212649709</v>
      </c>
      <c r="Q96" s="22">
        <f t="shared" si="54"/>
        <v>3571.1774816250768</v>
      </c>
      <c r="R96" s="62">
        <f t="shared" si="55"/>
        <v>3864.5108149584103</v>
      </c>
      <c r="S96" s="62">
        <f ca="1">AVERAGE(OFFSET($R$3,0,0,'Données projet'!$E$9+1,1))-AVERAGE(OFFSET($H$3,0,0,'Données projet'!$E$9+1,1))</f>
        <v>2472.5049373954762</v>
      </c>
      <c r="T96" s="62">
        <f t="shared" si="88"/>
        <v>286.98388307318311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119.64705458079784</v>
      </c>
      <c r="AA96" s="23">
        <f>EXP(-LN(2)/25)*AA95+(1-EXP(-LN(2)/25))/(LN(2)/25)*Calculateur!V96*Calculateur!X96*VLOOKUP('Données projet'!$B$9,Paramètres!$A$1:$I$89,3,0)*0.475*44/12</f>
        <v>16.578889036103522</v>
      </c>
      <c r="AB96" s="23">
        <f>EXP(-LN(2)/2)*AB95+(1-EXP(-LN(2)/2))/(LN(2)/2)*V96*Y96*VLOOKUP('Données projet'!$B$9,Paramètres!$A$1:$I$89,3,0)*0.475*44/12</f>
        <v>1.0609487528993518</v>
      </c>
      <c r="AC96" s="24">
        <f t="shared" si="57"/>
        <v>137.28689236980071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58.727857142857133</v>
      </c>
      <c r="AI96" s="14">
        <f>IF('Données projet'!$A$62&gt;35,AI95+AH96-AQ95,IF(A96&lt;'Données projet'!$A$62,$AF$205^A96,IF(A96='Données projet'!$A$62,'Données projet'!$B$62,AI95+AH96-AQ95)))</f>
        <v>1898.538571428571</v>
      </c>
      <c r="AJ96" s="14">
        <f>AI96*VLOOKUP('Données projet'!$B$10,Paramètres!$A$1:$I$89,3,0)*VLOOKUP('Données projet'!$B$10,Paramètres!$A$1:$I$89,5,0)</f>
        <v>1925.1181114285712</v>
      </c>
      <c r="AK96" s="14">
        <f t="shared" si="89"/>
        <v>367.87358591560934</v>
      </c>
      <c r="AL96" s="22">
        <f t="shared" si="58"/>
        <v>3993.6272062077805</v>
      </c>
      <c r="AM96" s="62">
        <f t="shared" si="59"/>
        <v>4286.9605395411136</v>
      </c>
      <c r="AN96" s="62">
        <f ca="1">AVERAGE(OFFSET($AM$3,0,0,'Données projet'!$E$10+1,1))-AVERAGE(OFFSET($H$3,0,0,'Données projet'!$E$10+1,1))</f>
        <v>2761.1400657295467</v>
      </c>
      <c r="AO96" s="62">
        <f t="shared" si="90"/>
        <v>316.41877504316409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134.08721634054928</v>
      </c>
      <c r="AV96" s="23">
        <f>EXP(-LN(2)/25)*AV95+(1-EXP(-LN(2)/25))/(LN(2)/25)*Calculateur!AQ96*Calculateur!AS96*VLOOKUP('Données projet'!$B$10,Paramètres!$A$1:$I$89,3,0)*0.475*44/12</f>
        <v>18.579789437012565</v>
      </c>
      <c r="AW96" s="23">
        <f>EXP(-LN(2)/2)*AW95+(1-EXP(-LN(2)/2))/(LN(2)/2)*AQ96*AT96*VLOOKUP('Données projet'!$B$10,Paramètres!$A$1:$I$89,3,0)*0.475*44/12</f>
        <v>1.1889942920423773</v>
      </c>
      <c r="AX96" s="23">
        <f t="shared" si="60"/>
        <v>153.85600006960419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58.727857142857133</v>
      </c>
      <c r="BD96" s="13">
        <f>IF('Données projet'!$A$88&gt;35,BD95+BC96-BL95,IF(A96&lt;'Données projet'!$A$88,$BA$205^A96,IF(A96='Données projet'!$A$88,'Données projet'!$B$88,BD95+BC96-BL95)))</f>
        <v>1898.538571428571</v>
      </c>
      <c r="BE96" s="14">
        <f>BD96*VLOOKUP('Données projet'!$B$11,Paramètres!$A$1:$I$89,3,0)*VLOOKUP('Données projet'!$B$11,Paramètres!$A$1:$I$89,5,0)</f>
        <v>1984.3525148571428</v>
      </c>
      <c r="BF96" s="14">
        <f t="shared" si="91"/>
        <v>377.85751096458944</v>
      </c>
      <c r="BG96" s="22">
        <f t="shared" si="61"/>
        <v>4114.182461639517</v>
      </c>
      <c r="BH96" s="62">
        <f t="shared" si="62"/>
        <v>4407.51579497285</v>
      </c>
      <c r="BI96" s="62">
        <f ca="1">AVERAGE(OFFSET($BH$3,0,0,'Données projet'!$E$11+1,1))-AVERAGE(OFFSET($H$3,0,0,'Données projet'!$E$11+1,1))</f>
        <v>2843.5086223152098</v>
      </c>
      <c r="BJ96" s="62">
        <f t="shared" si="92"/>
        <v>324.81562437645522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138.21297684333544</v>
      </c>
      <c r="BQ96" s="23">
        <f>EXP(-LN(2)/25)*BQ95+(1-EXP(-LN(2)/25))/(LN(2)/25)*Calculateur!BL96*Calculateur!BN96*VLOOKUP('Données projet'!$B$11,Paramètres!$A$1:$I$89,3,0)*0.475*44/12</f>
        <v>19.151475265843718</v>
      </c>
      <c r="BR96" s="23">
        <f>EXP(-LN(2)/2)*BR95+(1-EXP(-LN(2)/2))/(LN(2)/2)*BL96*BO96*VLOOKUP('Données projet'!$B$11,Paramètres!$A$1:$I$89,3,0)*0.475*44/12</f>
        <v>1.2255787317975275</v>
      </c>
      <c r="BS96" s="24">
        <f t="shared" si="63"/>
        <v>158.59003084097668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58.727857142857133</v>
      </c>
      <c r="BY96" s="13">
        <f>IF('Données projet'!$A$114&gt;35,BY95+BX96-CG95,IF(A96&lt;'Données projet'!$A$114,$BV$205^A96,IF(A96='Données projet'!$A$114,'Données projet'!$B$114,BY95+BX96-CG95)))</f>
        <v>1898.538571428571</v>
      </c>
      <c r="BZ96" s="14">
        <f>BY96*VLOOKUP('Données projet'!$B$12,Paramètres!$A$1:$I$89,3,0)*VLOOKUP('Données projet'!$B$12,Paramètres!$A$1:$I$89,5,0)</f>
        <v>1895.5009097142852</v>
      </c>
      <c r="CA96" s="14">
        <f t="shared" si="93"/>
        <v>362.86826548422567</v>
      </c>
      <c r="CB96" s="22">
        <f t="shared" si="64"/>
        <v>3933.326313470739</v>
      </c>
      <c r="CC96" s="62">
        <f t="shared" si="65"/>
        <v>4226.6596468040725</v>
      </c>
      <c r="CD96" s="62">
        <f ca="1">AVERAGE(OFFSET($CC$3,0,0,'Données projet'!$E$12+1,1))-AVERAGE(OFFSET($H$3,0,0,'Données projet'!$E$12+1,1))</f>
        <v>2719.939926994799</v>
      </c>
      <c r="CE96" s="62">
        <f t="shared" si="94"/>
        <v>312.21824046329749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132.02433608915615</v>
      </c>
      <c r="CL96" s="23">
        <f>EXP(-LN(2)/25)*CL95+(1-EXP(-LN(2)/25))/(LN(2)/25)*Calculateur!CG96*Calculateur!CI96*VLOOKUP('Données projet'!$B$12,Paramètres!$A$1:$I$89,3,0)*0.475*44/12</f>
        <v>18.293946522596983</v>
      </c>
      <c r="CM96" s="23">
        <f>EXP(-LN(2)/2)*CM95+(1-EXP(-LN(2)/2))/(LN(2)/2)*CG96*CJ96*VLOOKUP('Données projet'!$B$12,Paramètres!$A$1:$I$89,3,0)*0.475*44/12</f>
        <v>1.1707020721648025</v>
      </c>
      <c r="CN96" s="24">
        <f t="shared" si="66"/>
        <v>151.48898468391795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1.1368683772161603E-12</v>
      </c>
      <c r="CU96" s="18">
        <f>CT96*VLOOKUP('Données projet'!$B$13,Paramètres!$A$1:$I$89,3,0)*VLOOKUP('Données projet'!$B$13,Paramètres!$A$1:$I$89,5,0)</f>
        <v>9.9316821433603771E-13</v>
      </c>
      <c r="CV96" s="14">
        <f t="shared" si="95"/>
        <v>1.1421454694498936E-11</v>
      </c>
      <c r="CW96" s="22">
        <f t="shared" si="67"/>
        <v>2.1622134899554243E-11</v>
      </c>
      <c r="CX96" s="62">
        <f t="shared" si="68"/>
        <v>293.33333333335491</v>
      </c>
      <c r="CY96" s="62">
        <f ca="1">AVERAGE(OFFSET($CX$3,0,0,'Données projet'!$E$13+1,1))-AVERAGE(OFFSET($H$3,0,0,'Données projet'!$E$13+1,1))</f>
        <v>1036.0130072090849</v>
      </c>
      <c r="CZ96" s="62">
        <f t="shared" si="96"/>
        <v>346.56593355696174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517.67431775465207</v>
      </c>
      <c r="DG96" s="23">
        <f>EXP(-LN(2)/25)*DG95+(1-EXP(-LN(2)/25))/(LN(2)/25)*Calculateur!DB96*Calculateur!DD96*VLOOKUP('Données projet'!$B$13,Paramètres!$A$1:$I$89,3,0)*0.475*44/12</f>
        <v>29.513827940126035</v>
      </c>
      <c r="DH96" s="23">
        <f>EXP(-LN(2)/2)*DH95+(1-EXP(-LN(2)/2))/(LN(2)/2)*DB96*DE96*VLOOKUP('Données projet'!$B$13,Paramètres!$A$1:$I$89,3,0)*0.475*44/12</f>
        <v>0.99851228718207152</v>
      </c>
      <c r="DI96" s="24">
        <f t="shared" si="69"/>
        <v>548.18665798196014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6.8212102632969618E-13</v>
      </c>
      <c r="DP96" s="18">
        <f>DO96*VLOOKUP('Données projet'!$B$14,Paramètres!$A$1:$I$89,3,0)*VLOOKUP('Données projet'!$B$14,Paramètres!$A$1:$I$89,5,0)</f>
        <v>3.8130565371830017E-13</v>
      </c>
      <c r="DQ96" s="14">
        <f t="shared" si="97"/>
        <v>4.9019074112354236E-12</v>
      </c>
      <c r="DR96" s="22">
        <f t="shared" si="70"/>
        <v>9.2015960881277352E-12</v>
      </c>
      <c r="DS96" s="62">
        <f t="shared" si="71"/>
        <v>293.33333333334252</v>
      </c>
      <c r="DT96" s="62">
        <f ca="1">AVERAGE(OFFSET($DS$3,0,0,'Données projet'!$E$14+1,1))-AVERAGE(OFFSET($H$3,0,0,'Données projet'!$E$14+1,1))</f>
        <v>446.48069057792151</v>
      </c>
      <c r="DU96" s="62">
        <f t="shared" si="98"/>
        <v>561.75656782935948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96.060846102545725</v>
      </c>
      <c r="EB96" s="23">
        <f>EXP(-LN(2)/25)*EB95+(1-EXP(-LN(2)/25))/(LN(2)/25)*Calculateur!DW96*Calculateur!DY96*VLOOKUP('Données projet'!$B$14,Paramètres!$A$1:$I$89,3,0)*0.475*44/12</f>
        <v>32.457193609371394</v>
      </c>
      <c r="EC96" s="23">
        <f>EXP(-LN(2)/2)*EC95+(1-EXP(-LN(2)/2))/(LN(2)/2)*DW96*DZ96*VLOOKUP('Données projet'!$B$14,Paramètres!$A$1:$I$89,3,0)*0.475*44/12</f>
        <v>1.4478034208183935E-3</v>
      </c>
      <c r="ED96" s="24">
        <f t="shared" si="72"/>
        <v>128.51948751533794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1.7053025658242404E-13</v>
      </c>
      <c r="EK96" s="18">
        <f>EJ96*VLOOKUP('Données projet'!$B$15,Paramètres!$A$1:$I$89,3,0)*VLOOKUP('Données projet'!$B$15,Paramètres!$A$1:$I$89,5,0)</f>
        <v>1.6493686416652052E-13</v>
      </c>
      <c r="EL96" s="14">
        <f t="shared" si="99"/>
        <v>2.3376205369651282E-12</v>
      </c>
      <c r="EM96" s="22">
        <f t="shared" si="73"/>
        <v>4.3586208069709543E-12</v>
      </c>
      <c r="EN96" s="62">
        <f t="shared" si="74"/>
        <v>293.33333333333769</v>
      </c>
      <c r="EO96" s="62">
        <f ca="1">AVERAGE(OFFSET($EN$3,0,0,'Données projet'!$E$15+1,1))-AVERAGE(OFFSET($H$3,0,0,'Données projet'!$E$15+1,1))</f>
        <v>301.18531163828169</v>
      </c>
      <c r="EP96" s="62">
        <f t="shared" si="100"/>
        <v>192.30530273268101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124.0515690505832</v>
      </c>
      <c r="EW96" s="23">
        <f>EXP(-LN(2)/25)*EW95+(1-EXP(-LN(2)/25))/(LN(2)/25)*Calculateur!ER96*Calculateur!ET96*VLOOKUP('Données projet'!$B$15,Paramètres!$A$1:$I$89,3,0)*0.475*44/12</f>
        <v>9.4457683285513809</v>
      </c>
      <c r="EX96" s="23">
        <f>EXP(-LN(2)/2)*EX95+(1-EXP(-LN(2)/2))/(LN(2)/2)*ER96*EU96*VLOOKUP('Données projet'!$B$15,Paramètres!$A$1:$I$89,3,0)*0.475*44/12</f>
        <v>6.83295138439553E-4</v>
      </c>
      <c r="EY96" s="24">
        <f t="shared" si="75"/>
        <v>133.49802067427302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1.7053025658242404E-13</v>
      </c>
      <c r="FF96" s="18">
        <f>FE96*VLOOKUP('Données projet'!$B$16,Paramètres!$A$1:$I$89,3,0)*VLOOKUP('Données projet'!$B$16,Paramètres!$A$1:$I$89,5,0)</f>
        <v>1.3301360013429075E-13</v>
      </c>
      <c r="FG96" s="14">
        <f t="shared" si="101"/>
        <v>1.9329766731057041E-12</v>
      </c>
      <c r="FH96" s="22">
        <f t="shared" si="76"/>
        <v>3.5982663925596575E-12</v>
      </c>
      <c r="FI96" s="62">
        <f t="shared" si="77"/>
        <v>293.3333333333369</v>
      </c>
      <c r="FJ96" s="62">
        <f ca="1">AVERAGE(OFFSET($FI$3,0,0,'Données projet'!$E$16+1,1))-AVERAGE(OFFSET($H$3,0,0,'Données projet'!$E$16+1,1))</f>
        <v>249.2899297828755</v>
      </c>
      <c r="FK96" s="62">
        <f t="shared" si="102"/>
        <v>162.88011837476813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100.04158794401869</v>
      </c>
      <c r="FR96" s="23">
        <f>EXP(-LN(2)/25)*FR95+(1-EXP(-LN(2)/25))/(LN(2)/25)*Calculateur!FM96*Calculateur!FO96*VLOOKUP('Données projet'!$B$16,Paramètres!$A$1:$I$89,3,0)*0.475*44/12</f>
        <v>7.6175551036704618</v>
      </c>
      <c r="FS96" s="23">
        <f>EXP(-LN(2)/2)*FS95+(1-EXP(-LN(2)/2))/(LN(2)/2)*FM96*FP96*VLOOKUP('Données projet'!$B$16,Paramètres!$A$1:$I$89,3,0)*0.475*44/12</f>
        <v>5.5104446648350926E-4</v>
      </c>
      <c r="FT96" s="24">
        <f t="shared" si="78"/>
        <v>107.65969409215563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1.7053025658242404E-13</v>
      </c>
      <c r="GA96" s="18">
        <f>FZ96*VLOOKUP('Données projet'!$B$17,Paramètres!$A$1:$I$89,3,0)*VLOOKUP('Données projet'!$B$17,Paramètres!$A$1:$I$89,5,0)</f>
        <v>1.1439169611549005E-13</v>
      </c>
      <c r="GB96" s="14">
        <f t="shared" si="103"/>
        <v>1.6918016515029816E-12</v>
      </c>
      <c r="GC96" s="22">
        <f t="shared" si="79"/>
        <v>3.1457867471021712E-12</v>
      </c>
      <c r="GD96" s="62">
        <f t="shared" si="80"/>
        <v>293.33333333333644</v>
      </c>
      <c r="GE96" s="62">
        <f ca="1">AVERAGE(OFFSET($GD$3,0,0,'Données projet'!$E$17+1,1))-AVERAGE(OFFSET($H$3,0,0,'Données projet'!$E$17+1,1))</f>
        <v>218.89895999738746</v>
      </c>
      <c r="GF96" s="62">
        <f t="shared" si="104"/>
        <v>145.64042897395763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106.04408322065981</v>
      </c>
      <c r="GM96" s="23">
        <f>EXP(-LN(2)/25)*GM95+(1-EXP(-LN(2)/25))/(LN(2)/25)*Calculateur!GH96*Calculateur!GJ96*VLOOKUP('Données projet'!$B$17,Paramètres!$A$1:$I$89,3,0)*0.475*44/12</f>
        <v>8.0746084098906916</v>
      </c>
      <c r="GN96" s="23">
        <f>EXP(-LN(2)/2)*GN95+(1-EXP(-LN(2)/2))/(LN(2)/2)*GH96*GK96*VLOOKUP('Données projet'!$B$17,Paramètres!$A$1:$I$89,3,0)*0.475*44/12</f>
        <v>4.7389824117581906E-4</v>
      </c>
      <c r="GO96" s="23">
        <f t="shared" si="81"/>
        <v>114.11916552879168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1.7053025658242404E-13</v>
      </c>
      <c r="GV96" s="18">
        <f>GU96*VLOOKUP('Données projet'!$B$18,Paramètres!$A$1:$I$89,3,0)*VLOOKUP('Données projet'!$B$18,Paramètres!$A$1:$I$89,5,0)</f>
        <v>1.8355876818532125E-13</v>
      </c>
      <c r="GW96" s="14">
        <f t="shared" si="105"/>
        <v>2.5693529898865504E-12</v>
      </c>
      <c r="GX96" s="22">
        <f t="shared" si="82"/>
        <v>4.7946546453085093E-12</v>
      </c>
      <c r="GY96" s="62">
        <f t="shared" si="83"/>
        <v>293.33333333333809</v>
      </c>
      <c r="GZ96" s="62">
        <f ca="1">AVERAGE(OFFSET($GY$3,0,0,'Données projet'!$E$18+1,1))-AVERAGE(OFFSET($H$3,0,0,'Données projet'!$E$18+1,1))</f>
        <v>331.3579800635751</v>
      </c>
      <c r="HA96" s="62">
        <f t="shared" si="106"/>
        <v>209.40702003535273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138.05739136274576</v>
      </c>
      <c r="HH96" s="23">
        <f>EXP(-LN(2)/25)*HH95+(1-EXP(-LN(2)/25))/(LN(2)/25)*Calculateur!HC96*Calculateur!HE96*VLOOKUP('Données projet'!$B$18,Paramètres!$A$1:$I$89,3,0)*0.475*44/12</f>
        <v>10.512226043065246</v>
      </c>
      <c r="HI96" s="23">
        <f>EXP(-LN(2)/2)*HI95+(1-EXP(-LN(2)/2))/(LN(2)/2)*HC96*HF96*VLOOKUP('Données projet'!$B$18,Paramètres!$A$1:$I$89,3,0)*0.475*44/12</f>
        <v>7.6044136374724298E-4</v>
      </c>
      <c r="HJ96" s="24">
        <f t="shared" si="84"/>
        <v>148.57037784717477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58.727857142857133</v>
      </c>
      <c r="N97" s="14">
        <f>IF('Données projet'!$A$36&gt;35,N96+M97-V96,IF(A97&lt;'Données projet'!$A$36,$K$205^A97,IF(A97='Données projet'!$A$36,'Données projet'!$B$36,N96+M97-V96)))</f>
        <v>1957.2664285714282</v>
      </c>
      <c r="O97" s="14">
        <f>N97*VLOOKUP('Données projet'!$B$9,Paramètres!$A$1:$I$89,3,0)*VLOOKUP('Données projet'!$B$9,Paramètres!$A$1:$I$89,5,0)</f>
        <v>1770.9346645714281</v>
      </c>
      <c r="P97" s="14">
        <f t="shared" si="87"/>
        <v>341.71483099113959</v>
      </c>
      <c r="Q97" s="22">
        <f t="shared" si="54"/>
        <v>3679.5312047714719</v>
      </c>
      <c r="R97" s="62">
        <f t="shared" si="55"/>
        <v>3972.8645381048054</v>
      </c>
      <c r="S97" s="62">
        <f ca="1">AVERAGE(OFFSET($R$3,0,0,'Données projet'!$E$9+1,1))-AVERAGE(OFFSET($H$3,0,0,'Données projet'!$E$9+1,1))</f>
        <v>2472.5049373954762</v>
      </c>
      <c r="T97" s="62">
        <f t="shared" si="88"/>
        <v>286.98388307318311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117.30084881796576</v>
      </c>
      <c r="AA97" s="23">
        <f>EXP(-LN(2)/25)*AA96+(1-EXP(-LN(2)/25))/(LN(2)/25)*Calculateur!V97*Calculateur!X97*VLOOKUP('Données projet'!$B$9,Paramètres!$A$1:$I$89,3,0)*0.475*44/12</f>
        <v>16.125538443565389</v>
      </c>
      <c r="AB97" s="23">
        <f>EXP(-LN(2)/2)*AB96+(1-EXP(-LN(2)/2))/(LN(2)/2)*V97*Y97*VLOOKUP('Données projet'!$B$9,Paramètres!$A$1:$I$89,3,0)*0.475*44/12</f>
        <v>0.75020405766654241</v>
      </c>
      <c r="AC97" s="24">
        <f t="shared" si="57"/>
        <v>134.17659131919768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58.727857142857133</v>
      </c>
      <c r="AI97" s="14">
        <f>IF('Données projet'!$A$62&gt;35,AI96+AH97-AQ96,IF(A97&lt;'Données projet'!$A$62,$AF$205^A97,IF(A97='Données projet'!$A$62,'Données projet'!$B$62,AI96+AH97-AQ96)))</f>
        <v>1957.2664285714282</v>
      </c>
      <c r="AJ97" s="14">
        <f>AI97*VLOOKUP('Données projet'!$B$10,Paramètres!$A$1:$I$89,3,0)*VLOOKUP('Données projet'!$B$10,Paramètres!$A$1:$I$89,5,0)</f>
        <v>1984.6681585714284</v>
      </c>
      <c r="AK97" s="14">
        <f t="shared" si="89"/>
        <v>377.91061873457608</v>
      </c>
      <c r="AL97" s="22">
        <f t="shared" si="58"/>
        <v>4114.824703807958</v>
      </c>
      <c r="AM97" s="62">
        <f t="shared" si="59"/>
        <v>4408.1580371412911</v>
      </c>
      <c r="AN97" s="62">
        <f ca="1">AVERAGE(OFFSET($AM$3,0,0,'Données projet'!$E$10+1,1))-AVERAGE(OFFSET($H$3,0,0,'Données projet'!$E$10+1,1))</f>
        <v>2761.1400657295467</v>
      </c>
      <c r="AO97" s="62">
        <f t="shared" si="90"/>
        <v>316.41877504316409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131.45784781323746</v>
      </c>
      <c r="AV97" s="23">
        <f>EXP(-LN(2)/25)*AV96+(1-EXP(-LN(2)/25))/(LN(2)/25)*Calculateur!AQ97*Calculateur!AS97*VLOOKUP('Données projet'!$B$10,Paramètres!$A$1:$I$89,3,0)*0.475*44/12</f>
        <v>18.071724117788794</v>
      </c>
      <c r="AW97" s="23">
        <f>EXP(-LN(2)/2)*AW96+(1-EXP(-LN(2)/2))/(LN(2)/2)*AQ97*AT97*VLOOKUP('Données projet'!$B$10,Paramètres!$A$1:$I$89,3,0)*0.475*44/12</f>
        <v>0.84074592669526327</v>
      </c>
      <c r="AX97" s="23">
        <f t="shared" si="60"/>
        <v>150.37031785772152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58.727857142857133</v>
      </c>
      <c r="BD97" s="13">
        <f>IF('Données projet'!$A$88&gt;35,BD96+BC97-BL96,IF(A97&lt;'Données projet'!$A$88,$BA$205^A97,IF(A97='Données projet'!$A$88,'Données projet'!$B$88,BD96+BC97-BL96)))</f>
        <v>1957.2664285714282</v>
      </c>
      <c r="BE97" s="14">
        <f>BD97*VLOOKUP('Données projet'!$B$11,Paramètres!$A$1:$I$89,3,0)*VLOOKUP('Données projet'!$B$11,Paramètres!$A$1:$I$89,5,0)</f>
        <v>2045.7348711428569</v>
      </c>
      <c r="BF97" s="14">
        <f t="shared" si="91"/>
        <v>388.16694437771531</v>
      </c>
      <c r="BG97" s="22">
        <f t="shared" si="61"/>
        <v>4239.0456620316627</v>
      </c>
      <c r="BH97" s="62">
        <f t="shared" si="62"/>
        <v>4532.3789953649957</v>
      </c>
      <c r="BI97" s="62">
        <f ca="1">AVERAGE(OFFSET($BH$3,0,0,'Données projet'!$E$11+1,1))-AVERAGE(OFFSET($H$3,0,0,'Données projet'!$E$11+1,1))</f>
        <v>2843.5086223152098</v>
      </c>
      <c r="BJ97" s="62">
        <f t="shared" si="92"/>
        <v>324.81562437645522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135.50270466902941</v>
      </c>
      <c r="BQ97" s="23">
        <f>EXP(-LN(2)/25)*BQ96+(1-EXP(-LN(2)/25))/(LN(2)/25)*Calculateur!BL97*Calculateur!BN97*VLOOKUP('Données projet'!$B$11,Paramètres!$A$1:$I$89,3,0)*0.475*44/12</f>
        <v>18.627777167566908</v>
      </c>
      <c r="BR97" s="23">
        <f>EXP(-LN(2)/2)*BR96+(1-EXP(-LN(2)/2))/(LN(2)/2)*BL97*BO97*VLOOKUP('Données projet'!$B$11,Paramètres!$A$1:$I$89,3,0)*0.475*44/12</f>
        <v>0.86661503213204072</v>
      </c>
      <c r="BS97" s="24">
        <f t="shared" si="63"/>
        <v>154.99709686872836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58.727857142857133</v>
      </c>
      <c r="BY97" s="13">
        <f>IF('Données projet'!$A$114&gt;35,BY96+BX97-CG96,IF(A97&lt;'Données projet'!$A$114,$BV$205^A97,IF(A97='Données projet'!$A$114,'Données projet'!$B$114,BY96+BX97-CG96)))</f>
        <v>1957.2664285714282</v>
      </c>
      <c r="BZ97" s="14">
        <f>BY97*VLOOKUP('Données projet'!$B$12,Paramètres!$A$1:$I$89,3,0)*VLOOKUP('Données projet'!$B$12,Paramètres!$A$1:$I$89,5,0)</f>
        <v>1954.1348022857139</v>
      </c>
      <c r="CA97" s="14">
        <f t="shared" si="93"/>
        <v>372.76873355007461</v>
      </c>
      <c r="CB97" s="22">
        <f t="shared" si="64"/>
        <v>4052.6903249139982</v>
      </c>
      <c r="CC97" s="62">
        <f t="shared" si="65"/>
        <v>4346.0236582473317</v>
      </c>
      <c r="CD97" s="62">
        <f ca="1">AVERAGE(OFFSET($CC$3,0,0,'Données projet'!$E$12+1,1))-AVERAGE(OFFSET($H$3,0,0,'Données projet'!$E$12+1,1))</f>
        <v>2719.939926994799</v>
      </c>
      <c r="CE97" s="62">
        <f t="shared" si="94"/>
        <v>312.21824046329749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129.43541938534145</v>
      </c>
      <c r="CL97" s="23">
        <f>EXP(-LN(2)/25)*CL96+(1-EXP(-LN(2)/25))/(LN(2)/25)*Calculateur!CG97*Calculateur!CI97*VLOOKUP('Données projet'!$B$12,Paramètres!$A$1:$I$89,3,0)*0.475*44/12</f>
        <v>17.793697592899733</v>
      </c>
      <c r="CM97" s="23">
        <f>EXP(-LN(2)/2)*CM96+(1-EXP(-LN(2)/2))/(LN(2)/2)*CG97*CJ97*VLOOKUP('Données projet'!$B$12,Paramètres!$A$1:$I$89,3,0)*0.475*44/12</f>
        <v>0.82781137397687476</v>
      </c>
      <c r="CN97" s="24">
        <f t="shared" si="66"/>
        <v>148.05692835221805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1.1368683772161603E-12</v>
      </c>
      <c r="CU97" s="18">
        <f>CT97*VLOOKUP('Données projet'!$B$13,Paramètres!$A$1:$I$89,3,0)*VLOOKUP('Données projet'!$B$13,Paramètres!$A$1:$I$89,5,0)</f>
        <v>9.9316821433603771E-13</v>
      </c>
      <c r="CV97" s="14">
        <f t="shared" si="95"/>
        <v>1.1421454694498936E-11</v>
      </c>
      <c r="CW97" s="22">
        <f t="shared" si="67"/>
        <v>2.1622134899554243E-11</v>
      </c>
      <c r="CX97" s="62">
        <f t="shared" si="68"/>
        <v>293.33333333335491</v>
      </c>
      <c r="CY97" s="62">
        <f ca="1">AVERAGE(OFFSET($CX$3,0,0,'Données projet'!$E$13+1,1))-AVERAGE(OFFSET($H$3,0,0,'Données projet'!$E$13+1,1))</f>
        <v>1036.0130072090849</v>
      </c>
      <c r="CZ97" s="62">
        <f t="shared" si="96"/>
        <v>346.56593355696174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507.52304013363943</v>
      </c>
      <c r="DG97" s="23">
        <f>EXP(-LN(2)/25)*DG96+(1-EXP(-LN(2)/25))/(LN(2)/25)*Calculateur!DB97*Calculateur!DD97*VLOOKUP('Données projet'!$B$13,Paramètres!$A$1:$I$89,3,0)*0.475*44/12</f>
        <v>28.706770763038531</v>
      </c>
      <c r="DH97" s="23">
        <f>EXP(-LN(2)/2)*DH96+(1-EXP(-LN(2)/2))/(LN(2)/2)*DB97*DE97*VLOOKUP('Données projet'!$B$13,Paramètres!$A$1:$I$89,3,0)*0.475*44/12</f>
        <v>0.70605480936453224</v>
      </c>
      <c r="DI97" s="24">
        <f t="shared" si="69"/>
        <v>536.93586570604248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6.8212102632969618E-13</v>
      </c>
      <c r="DP97" s="18">
        <f>DO97*VLOOKUP('Données projet'!$B$14,Paramètres!$A$1:$I$89,3,0)*VLOOKUP('Données projet'!$B$14,Paramètres!$A$1:$I$89,5,0)</f>
        <v>3.8130565371830017E-13</v>
      </c>
      <c r="DQ97" s="14">
        <f t="shared" si="97"/>
        <v>4.9019074112354236E-12</v>
      </c>
      <c r="DR97" s="22">
        <f t="shared" si="70"/>
        <v>9.2015960881277352E-12</v>
      </c>
      <c r="DS97" s="62">
        <f t="shared" si="71"/>
        <v>293.33333333334252</v>
      </c>
      <c r="DT97" s="62">
        <f ca="1">AVERAGE(OFFSET($DS$3,0,0,'Données projet'!$E$14+1,1))-AVERAGE(OFFSET($H$3,0,0,'Données projet'!$E$14+1,1))</f>
        <v>446.48069057792151</v>
      </c>
      <c r="DU97" s="62">
        <f t="shared" si="98"/>
        <v>561.75656782935948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94.177151501805511</v>
      </c>
      <c r="EB97" s="23">
        <f>EXP(-LN(2)/25)*EB96+(1-EXP(-LN(2)/25))/(LN(2)/25)*Calculateur!DW97*Calculateur!DY97*VLOOKUP('Données projet'!$B$14,Paramètres!$A$1:$I$89,3,0)*0.475*44/12</f>
        <v>31.569649943273504</v>
      </c>
      <c r="EC97" s="23">
        <f>EXP(-LN(2)/2)*EC96+(1-EXP(-LN(2)/2))/(LN(2)/2)*DW97*DZ97*VLOOKUP('Données projet'!$B$14,Paramètres!$A$1:$I$89,3,0)*0.475*44/12</f>
        <v>1.0237516166857667E-3</v>
      </c>
      <c r="ED97" s="24">
        <f t="shared" si="72"/>
        <v>125.7478251966957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1.7053025658242404E-13</v>
      </c>
      <c r="EK97" s="18">
        <f>EJ97*VLOOKUP('Données projet'!$B$15,Paramètres!$A$1:$I$89,3,0)*VLOOKUP('Données projet'!$B$15,Paramètres!$A$1:$I$89,5,0)</f>
        <v>1.6493686416652052E-13</v>
      </c>
      <c r="EL97" s="14">
        <f t="shared" si="99"/>
        <v>2.3376205369651282E-12</v>
      </c>
      <c r="EM97" s="22">
        <f t="shared" si="73"/>
        <v>4.3586208069709543E-12</v>
      </c>
      <c r="EN97" s="62">
        <f t="shared" si="74"/>
        <v>293.33333333333769</v>
      </c>
      <c r="EO97" s="62">
        <f ca="1">AVERAGE(OFFSET($EN$3,0,0,'Données projet'!$E$15+1,1))-AVERAGE(OFFSET($H$3,0,0,'Données projet'!$E$15+1,1))</f>
        <v>301.18531163828169</v>
      </c>
      <c r="EP97" s="62">
        <f t="shared" si="100"/>
        <v>192.30530273268101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121.61899344548718</v>
      </c>
      <c r="EW97" s="23">
        <f>EXP(-LN(2)/25)*EW96+(1-EXP(-LN(2)/25))/(LN(2)/25)*Calculateur!ER97*Calculateur!ET97*VLOOKUP('Données projet'!$B$15,Paramètres!$A$1:$I$89,3,0)*0.475*44/12</f>
        <v>9.1874732968757762</v>
      </c>
      <c r="EX97" s="23">
        <f>EXP(-LN(2)/2)*EX96+(1-EXP(-LN(2)/2))/(LN(2)/2)*ER97*EU97*VLOOKUP('Données projet'!$B$15,Paramètres!$A$1:$I$89,3,0)*0.475*44/12</f>
        <v>4.8316262594240872E-4</v>
      </c>
      <c r="EY97" s="24">
        <f t="shared" si="75"/>
        <v>130.8069499049889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1.7053025658242404E-13</v>
      </c>
      <c r="FF97" s="18">
        <f>FE97*VLOOKUP('Données projet'!$B$16,Paramètres!$A$1:$I$89,3,0)*VLOOKUP('Données projet'!$B$16,Paramètres!$A$1:$I$89,5,0)</f>
        <v>1.3301360013429075E-13</v>
      </c>
      <c r="FG97" s="14">
        <f t="shared" si="101"/>
        <v>1.9329766731057041E-12</v>
      </c>
      <c r="FH97" s="22">
        <f t="shared" si="76"/>
        <v>3.5982663925596575E-12</v>
      </c>
      <c r="FI97" s="62">
        <f t="shared" si="77"/>
        <v>293.3333333333369</v>
      </c>
      <c r="FJ97" s="62">
        <f ca="1">AVERAGE(OFFSET($FI$3,0,0,'Données projet'!$E$16+1,1))-AVERAGE(OFFSET($H$3,0,0,'Données projet'!$E$16+1,1))</f>
        <v>249.2899297828755</v>
      </c>
      <c r="FK97" s="62">
        <f t="shared" si="102"/>
        <v>162.88011837476813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98.079833423779974</v>
      </c>
      <c r="FR97" s="23">
        <f>EXP(-LN(2)/25)*FR96+(1-EXP(-LN(2)/25))/(LN(2)/25)*Calculateur!FM97*Calculateur!FO97*VLOOKUP('Données projet'!$B$16,Paramètres!$A$1:$I$89,3,0)*0.475*44/12</f>
        <v>7.4092526587707805</v>
      </c>
      <c r="FS97" s="23">
        <f>EXP(-LN(2)/2)*FS96+(1-EXP(-LN(2)/2))/(LN(2)/2)*FM97*FP97*VLOOKUP('Données projet'!$B$16,Paramètres!$A$1:$I$89,3,0)*0.475*44/12</f>
        <v>3.8964727898581261E-4</v>
      </c>
      <c r="FT97" s="24">
        <f t="shared" si="78"/>
        <v>105.48947572982973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1.7053025658242404E-13</v>
      </c>
      <c r="GA97" s="18">
        <f>FZ97*VLOOKUP('Données projet'!$B$17,Paramètres!$A$1:$I$89,3,0)*VLOOKUP('Données projet'!$B$17,Paramètres!$A$1:$I$89,5,0)</f>
        <v>1.1439169611549005E-13</v>
      </c>
      <c r="GB97" s="14">
        <f t="shared" si="103"/>
        <v>1.6918016515029816E-12</v>
      </c>
      <c r="GC97" s="22">
        <f t="shared" si="79"/>
        <v>3.1457867471021712E-12</v>
      </c>
      <c r="GD97" s="62">
        <f t="shared" si="80"/>
        <v>293.33333333333644</v>
      </c>
      <c r="GE97" s="62">
        <f ca="1">AVERAGE(OFFSET($GD$3,0,0,'Données projet'!$E$17+1,1))-AVERAGE(OFFSET($H$3,0,0,'Données projet'!$E$17+1,1))</f>
        <v>218.89895999738746</v>
      </c>
      <c r="GF97" s="62">
        <f t="shared" si="104"/>
        <v>145.64042897395763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103.96462342920677</v>
      </c>
      <c r="GM97" s="23">
        <f>EXP(-LN(2)/25)*GM96+(1-EXP(-LN(2)/25))/(LN(2)/25)*Calculateur!GH97*Calculateur!GJ97*VLOOKUP('Données projet'!$B$17,Paramètres!$A$1:$I$89,3,0)*0.475*44/12</f>
        <v>7.853807818297029</v>
      </c>
      <c r="GN97" s="23">
        <f>EXP(-LN(2)/2)*GN96+(1-EXP(-LN(2)/2))/(LN(2)/2)*GH97*GK97*VLOOKUP('Données projet'!$B$17,Paramètres!$A$1:$I$89,3,0)*0.475*44/12</f>
        <v>3.3509665992779964E-4</v>
      </c>
      <c r="GO97" s="23">
        <f t="shared" si="81"/>
        <v>111.81876634416372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1.7053025658242404E-13</v>
      </c>
      <c r="GV97" s="18">
        <f>GU97*VLOOKUP('Données projet'!$B$18,Paramètres!$A$1:$I$89,3,0)*VLOOKUP('Données projet'!$B$18,Paramètres!$A$1:$I$89,5,0)</f>
        <v>1.8355876818532125E-13</v>
      </c>
      <c r="GW97" s="14">
        <f t="shared" si="105"/>
        <v>2.5693529898865504E-12</v>
      </c>
      <c r="GX97" s="22">
        <f t="shared" si="82"/>
        <v>4.7946546453085093E-12</v>
      </c>
      <c r="GY97" s="62">
        <f t="shared" si="83"/>
        <v>293.33333333333809</v>
      </c>
      <c r="GZ97" s="62">
        <f ca="1">AVERAGE(OFFSET($GY$3,0,0,'Données projet'!$E$18+1,1))-AVERAGE(OFFSET($H$3,0,0,'Données projet'!$E$18+1,1))</f>
        <v>331.3579800635751</v>
      </c>
      <c r="HA97" s="62">
        <f t="shared" si="106"/>
        <v>209.40702003535273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135.35017012481632</v>
      </c>
      <c r="HH97" s="23">
        <f>EXP(-LN(2)/25)*HH96+(1-EXP(-LN(2)/25))/(LN(2)/25)*Calculateur!HC97*Calculateur!HE97*VLOOKUP('Données projet'!$B$18,Paramètres!$A$1:$I$89,3,0)*0.475*44/12</f>
        <v>10.224768669103685</v>
      </c>
      <c r="HI97" s="23">
        <f>EXP(-LN(2)/2)*HI96+(1-EXP(-LN(2)/2))/(LN(2)/2)*HC97*HF97*VLOOKUP('Données projet'!$B$18,Paramètres!$A$1:$I$89,3,0)*0.475*44/12</f>
        <v>5.3771324500042153E-4</v>
      </c>
      <c r="HJ97" s="24">
        <f t="shared" si="84"/>
        <v>145.57547650716501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58.727857142857133</v>
      </c>
      <c r="N98" s="14">
        <f>IF('Données projet'!$A$36&gt;35,N97+M98-V97,IF(A98&lt;'Données projet'!$A$36,$K$205^A98,IF(A98='Données projet'!$A$36,'Données projet'!$B$36,N97+M98-V97)))</f>
        <v>2015.9942857142853</v>
      </c>
      <c r="O98" s="14">
        <f>N98*VLOOKUP('Données projet'!$B$9,Paramètres!$A$1:$I$89,3,0)*VLOOKUP('Données projet'!$B$9,Paramètres!$A$1:$I$89,5,0)</f>
        <v>1824.0716297142851</v>
      </c>
      <c r="P98" s="14">
        <f t="shared" si="87"/>
        <v>350.75888246284603</v>
      </c>
      <c r="Q98" s="22">
        <f t="shared" si="54"/>
        <v>3787.8298087085027</v>
      </c>
      <c r="R98" s="62">
        <f t="shared" si="55"/>
        <v>4081.1631420418362</v>
      </c>
      <c r="S98" s="62">
        <f ca="1">AVERAGE(OFFSET($R$3,0,0,'Données projet'!$E$9+1,1))-AVERAGE(OFFSET($H$3,0,0,'Données projet'!$E$9+1,1))</f>
        <v>2472.5049373954762</v>
      </c>
      <c r="T98" s="62">
        <f t="shared" si="88"/>
        <v>286.98388307318311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115.0006507190986</v>
      </c>
      <c r="AA98" s="23">
        <f>EXP(-LN(2)/25)*AA97+(1-EXP(-LN(2)/25))/(LN(2)/25)*Calculateur!V98*Calculateur!X98*VLOOKUP('Données projet'!$B$9,Paramètres!$A$1:$I$89,3,0)*0.475*44/12</f>
        <v>15.684584746820883</v>
      </c>
      <c r="AB98" s="23">
        <f>EXP(-LN(2)/2)*AB97+(1-EXP(-LN(2)/2))/(LN(2)/2)*V98*Y98*VLOOKUP('Données projet'!$B$9,Paramètres!$A$1:$I$89,3,0)*0.475*44/12</f>
        <v>0.53047437644967588</v>
      </c>
      <c r="AC98" s="24">
        <f t="shared" si="57"/>
        <v>131.21570984236917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58.727857142857133</v>
      </c>
      <c r="AI98" s="14">
        <f>IF('Données projet'!$A$62&gt;35,AI97+AH98-AQ97,IF(A98&lt;'Données projet'!$A$62,$AF$205^A98,IF(A98='Données projet'!$A$62,'Données projet'!$B$62,AI97+AH98-AQ97)))</f>
        <v>2015.9942857142853</v>
      </c>
      <c r="AJ98" s="14">
        <f>AI98*VLOOKUP('Données projet'!$B$10,Paramètres!$A$1:$I$89,3,0)*VLOOKUP('Données projet'!$B$10,Paramètres!$A$1:$I$89,5,0)</f>
        <v>2044.2182057142857</v>
      </c>
      <c r="AK98" s="14">
        <f t="shared" si="89"/>
        <v>387.91265194345527</v>
      </c>
      <c r="AL98" s="22">
        <f t="shared" si="58"/>
        <v>4235.961243753899</v>
      </c>
      <c r="AM98" s="62">
        <f t="shared" si="59"/>
        <v>4529.294577087232</v>
      </c>
      <c r="AN98" s="62">
        <f ca="1">AVERAGE(OFFSET($AM$3,0,0,'Données projet'!$E$10+1,1))-AVERAGE(OFFSET($H$3,0,0,'Données projet'!$E$10+1,1))</f>
        <v>2761.1400657295467</v>
      </c>
      <c r="AO98" s="62">
        <f t="shared" si="90"/>
        <v>316.41877504316409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128.88003959898978</v>
      </c>
      <c r="AV98" s="23">
        <f>EXP(-LN(2)/25)*AV97+(1-EXP(-LN(2)/25))/(LN(2)/25)*Calculateur!AQ98*Calculateur!AS98*VLOOKUP('Données projet'!$B$10,Paramètres!$A$1:$I$89,3,0)*0.475*44/12</f>
        <v>17.577551871437191</v>
      </c>
      <c r="AW98" s="23">
        <f>EXP(-LN(2)/2)*AW97+(1-EXP(-LN(2)/2))/(LN(2)/2)*AQ98*AT98*VLOOKUP('Données projet'!$B$10,Paramètres!$A$1:$I$89,3,0)*0.475*44/12</f>
        <v>0.59449714602118864</v>
      </c>
      <c r="AX98" s="23">
        <f t="shared" si="60"/>
        <v>147.05208861644815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58.727857142857133</v>
      </c>
      <c r="BD98" s="13">
        <f>IF('Données projet'!$A$88&gt;35,BD97+BC98-BL97,IF(A98&lt;'Données projet'!$A$88,$BA$205^A98,IF(A98='Données projet'!$A$88,'Données projet'!$B$88,BD97+BC98-BL97)))</f>
        <v>2015.9942857142853</v>
      </c>
      <c r="BE98" s="14">
        <f>BD98*VLOOKUP('Données projet'!$B$11,Paramètres!$A$1:$I$89,3,0)*VLOOKUP('Données projet'!$B$11,Paramètres!$A$1:$I$89,5,0)</f>
        <v>2107.1172274285714</v>
      </c>
      <c r="BF98" s="14">
        <f t="shared" si="91"/>
        <v>398.44042830694542</v>
      </c>
      <c r="BG98" s="22">
        <f t="shared" si="61"/>
        <v>4363.8462504060244</v>
      </c>
      <c r="BH98" s="62">
        <f t="shared" si="62"/>
        <v>4657.1795837393574</v>
      </c>
      <c r="BI98" s="62">
        <f ca="1">AVERAGE(OFFSET($BH$3,0,0,'Données projet'!$E$11+1,1))-AVERAGE(OFFSET($H$3,0,0,'Données projet'!$E$11+1,1))</f>
        <v>2843.5086223152098</v>
      </c>
      <c r="BJ98" s="62">
        <f t="shared" si="92"/>
        <v>324.81562437645522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132.84557927895872</v>
      </c>
      <c r="BQ98" s="23">
        <f>EXP(-LN(2)/25)*BQ97+(1-EXP(-LN(2)/25))/(LN(2)/25)*Calculateur!BL98*Calculateur!BN98*VLOOKUP('Données projet'!$B$11,Paramètres!$A$1:$I$89,3,0)*0.475*44/12</f>
        <v>18.118399621327566</v>
      </c>
      <c r="BR98" s="23">
        <f>EXP(-LN(2)/2)*BR97+(1-EXP(-LN(2)/2))/(LN(2)/2)*BL98*BO98*VLOOKUP('Données projet'!$B$11,Paramètres!$A$1:$I$89,3,0)*0.475*44/12</f>
        <v>0.61278936589876376</v>
      </c>
      <c r="BS98" s="24">
        <f t="shared" si="63"/>
        <v>151.57676826618507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58.727857142857133</v>
      </c>
      <c r="BY98" s="13">
        <f>IF('Données projet'!$A$114&gt;35,BY97+BX98-CG97,IF(A98&lt;'Données projet'!$A$114,$BV$205^A98,IF(A98='Données projet'!$A$114,'Données projet'!$B$114,BY97+BX98-CG97)))</f>
        <v>2015.9942857142853</v>
      </c>
      <c r="BZ98" s="14">
        <f>BY98*VLOOKUP('Données projet'!$B$12,Paramètres!$A$1:$I$89,3,0)*VLOOKUP('Données projet'!$B$12,Paramètres!$A$1:$I$89,5,0)</f>
        <v>2012.7686948571425</v>
      </c>
      <c r="CA98" s="14">
        <f t="shared" si="93"/>
        <v>382.63467821361513</v>
      </c>
      <c r="CB98" s="22">
        <f t="shared" si="64"/>
        <v>4171.9942080982355</v>
      </c>
      <c r="CC98" s="62">
        <f t="shared" si="65"/>
        <v>4465.3275414315685</v>
      </c>
      <c r="CD98" s="62">
        <f ca="1">AVERAGE(OFFSET($CC$3,0,0,'Données projet'!$E$12+1,1))-AVERAGE(OFFSET($H$3,0,0,'Données projet'!$E$12+1,1))</f>
        <v>2719.939926994799</v>
      </c>
      <c r="CE98" s="62">
        <f t="shared" si="94"/>
        <v>312.21824046329749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126.89726975900528</v>
      </c>
      <c r="CL98" s="23">
        <f>EXP(-LN(2)/25)*CL97+(1-EXP(-LN(2)/25))/(LN(2)/25)*Calculateur!CG98*Calculateur!CI98*VLOOKUP('Données projet'!$B$12,Paramètres!$A$1:$I$89,3,0)*0.475*44/12</f>
        <v>17.307127996492</v>
      </c>
      <c r="CM98" s="23">
        <f>EXP(-LN(2)/2)*CM97+(1-EXP(-LN(2)/2))/(LN(2)/2)*CG98*CJ98*VLOOKUP('Données projet'!$B$12,Paramètres!$A$1:$I$89,3,0)*0.475*44/12</f>
        <v>0.58535103608240124</v>
      </c>
      <c r="CN98" s="24">
        <f t="shared" si="66"/>
        <v>144.78974879157968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1.1368683772161603E-12</v>
      </c>
      <c r="CU98" s="18">
        <f>CT98*VLOOKUP('Données projet'!$B$13,Paramètres!$A$1:$I$89,3,0)*VLOOKUP('Données projet'!$B$13,Paramètres!$A$1:$I$89,5,0)</f>
        <v>9.9316821433603771E-13</v>
      </c>
      <c r="CV98" s="14">
        <f t="shared" si="95"/>
        <v>1.1421454694498936E-11</v>
      </c>
      <c r="CW98" s="22">
        <f t="shared" si="67"/>
        <v>2.1622134899554243E-11</v>
      </c>
      <c r="CX98" s="62">
        <f t="shared" si="68"/>
        <v>293.33333333335491</v>
      </c>
      <c r="CY98" s="62">
        <f ca="1">AVERAGE(OFFSET($CX$3,0,0,'Données projet'!$E$13+1,1))-AVERAGE(OFFSET($H$3,0,0,'Données projet'!$E$13+1,1))</f>
        <v>1036.0130072090849</v>
      </c>
      <c r="CZ98" s="62">
        <f t="shared" si="96"/>
        <v>346.56593355696174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497.5708228751069</v>
      </c>
      <c r="DG98" s="23">
        <f>EXP(-LN(2)/25)*DG97+(1-EXP(-LN(2)/25))/(LN(2)/25)*Calculateur!DB98*Calculateur!DD98*VLOOKUP('Données projet'!$B$13,Paramètres!$A$1:$I$89,3,0)*0.475*44/12</f>
        <v>27.921782606899779</v>
      </c>
      <c r="DH98" s="23">
        <f>EXP(-LN(2)/2)*DH97+(1-EXP(-LN(2)/2))/(LN(2)/2)*DB98*DE98*VLOOKUP('Données projet'!$B$13,Paramètres!$A$1:$I$89,3,0)*0.475*44/12</f>
        <v>0.49925614359103587</v>
      </c>
      <c r="DI98" s="24">
        <f t="shared" si="69"/>
        <v>525.99186162559772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6.8212102632969618E-13</v>
      </c>
      <c r="DP98" s="18">
        <f>DO98*VLOOKUP('Données projet'!$B$14,Paramètres!$A$1:$I$89,3,0)*VLOOKUP('Données projet'!$B$14,Paramètres!$A$1:$I$89,5,0)</f>
        <v>3.8130565371830017E-13</v>
      </c>
      <c r="DQ98" s="14">
        <f t="shared" si="97"/>
        <v>4.9019074112354236E-12</v>
      </c>
      <c r="DR98" s="22">
        <f t="shared" si="70"/>
        <v>9.2015960881277352E-12</v>
      </c>
      <c r="DS98" s="62">
        <f t="shared" si="71"/>
        <v>293.33333333334252</v>
      </c>
      <c r="DT98" s="62">
        <f ca="1">AVERAGE(OFFSET($DS$3,0,0,'Données projet'!$E$14+1,1))-AVERAGE(OFFSET($H$3,0,0,'Données projet'!$E$14+1,1))</f>
        <v>446.48069057792151</v>
      </c>
      <c r="DU98" s="62">
        <f t="shared" si="98"/>
        <v>561.75656782935948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92.330395003245556</v>
      </c>
      <c r="EB98" s="23">
        <f>EXP(-LN(2)/25)*EB97+(1-EXP(-LN(2)/25))/(LN(2)/25)*Calculateur!DW98*Calculateur!DY98*VLOOKUP('Données projet'!$B$14,Paramètres!$A$1:$I$89,3,0)*0.475*44/12</f>
        <v>30.706376205398954</v>
      </c>
      <c r="EC98" s="23">
        <f>EXP(-LN(2)/2)*EC97+(1-EXP(-LN(2)/2))/(LN(2)/2)*DW98*DZ98*VLOOKUP('Données projet'!$B$14,Paramètres!$A$1:$I$89,3,0)*0.475*44/12</f>
        <v>7.2390171040919674E-4</v>
      </c>
      <c r="ED98" s="24">
        <f t="shared" si="72"/>
        <v>123.03749511035493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1.7053025658242404E-13</v>
      </c>
      <c r="EK98" s="18">
        <f>EJ98*VLOOKUP('Données projet'!$B$15,Paramètres!$A$1:$I$89,3,0)*VLOOKUP('Données projet'!$B$15,Paramètres!$A$1:$I$89,5,0)</f>
        <v>1.6493686416652052E-13</v>
      </c>
      <c r="EL98" s="14">
        <f t="shared" si="99"/>
        <v>2.3376205369651282E-12</v>
      </c>
      <c r="EM98" s="22">
        <f t="shared" si="73"/>
        <v>4.3586208069709543E-12</v>
      </c>
      <c r="EN98" s="62">
        <f t="shared" si="74"/>
        <v>293.33333333333769</v>
      </c>
      <c r="EO98" s="62">
        <f ca="1">AVERAGE(OFFSET($EN$3,0,0,'Données projet'!$E$15+1,1))-AVERAGE(OFFSET($H$3,0,0,'Données projet'!$E$15+1,1))</f>
        <v>301.18531163828169</v>
      </c>
      <c r="EP98" s="62">
        <f t="shared" si="100"/>
        <v>192.30530273268101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119.23411916428249</v>
      </c>
      <c r="EW98" s="23">
        <f>EXP(-LN(2)/25)*EW97+(1-EXP(-LN(2)/25))/(LN(2)/25)*Calculateur!ER98*Calculateur!ET98*VLOOKUP('Données projet'!$B$15,Paramètres!$A$1:$I$89,3,0)*0.475*44/12</f>
        <v>8.9362413564244854</v>
      </c>
      <c r="EX98" s="23">
        <f>EXP(-LN(2)/2)*EX97+(1-EXP(-LN(2)/2))/(LN(2)/2)*ER98*EU98*VLOOKUP('Données projet'!$B$15,Paramètres!$A$1:$I$89,3,0)*0.475*44/12</f>
        <v>3.4164756921977656E-4</v>
      </c>
      <c r="EY98" s="24">
        <f t="shared" si="75"/>
        <v>128.17070216827619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1.7053025658242404E-13</v>
      </c>
      <c r="FF98" s="18">
        <f>FE98*VLOOKUP('Données projet'!$B$16,Paramètres!$A$1:$I$89,3,0)*VLOOKUP('Données projet'!$B$16,Paramètres!$A$1:$I$89,5,0)</f>
        <v>1.3301360013429075E-13</v>
      </c>
      <c r="FG98" s="14">
        <f t="shared" si="101"/>
        <v>1.9329766731057041E-12</v>
      </c>
      <c r="FH98" s="22">
        <f t="shared" si="76"/>
        <v>3.5982663925596575E-12</v>
      </c>
      <c r="FI98" s="62">
        <f t="shared" si="77"/>
        <v>293.3333333333369</v>
      </c>
      <c r="FJ98" s="62">
        <f ca="1">AVERAGE(OFFSET($FI$3,0,0,'Données projet'!$E$16+1,1))-AVERAGE(OFFSET($H$3,0,0,'Données projet'!$E$16+1,1))</f>
        <v>249.2899297828755</v>
      </c>
      <c r="FK98" s="62">
        <f t="shared" si="102"/>
        <v>162.88011837476813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96.156547713131033</v>
      </c>
      <c r="FR98" s="23">
        <f>EXP(-LN(2)/25)*FR97+(1-EXP(-LN(2)/25))/(LN(2)/25)*Calculateur!FM98*Calculateur!FO98*VLOOKUP('Données projet'!$B$16,Paramètres!$A$1:$I$89,3,0)*0.475*44/12</f>
        <v>7.2066462551810302</v>
      </c>
      <c r="FS98" s="23">
        <f>EXP(-LN(2)/2)*FS97+(1-EXP(-LN(2)/2))/(LN(2)/2)*FM98*FP98*VLOOKUP('Données projet'!$B$16,Paramètres!$A$1:$I$89,3,0)*0.475*44/12</f>
        <v>2.7552223324175463E-4</v>
      </c>
      <c r="FT98" s="24">
        <f t="shared" si="78"/>
        <v>103.3634694905453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1.7053025658242404E-13</v>
      </c>
      <c r="GA98" s="18">
        <f>FZ98*VLOOKUP('Données projet'!$B$17,Paramètres!$A$1:$I$89,3,0)*VLOOKUP('Données projet'!$B$17,Paramètres!$A$1:$I$89,5,0)</f>
        <v>1.1439169611549005E-13</v>
      </c>
      <c r="GB98" s="14">
        <f t="shared" si="103"/>
        <v>1.6918016515029816E-12</v>
      </c>
      <c r="GC98" s="22">
        <f t="shared" si="79"/>
        <v>3.1457867471021712E-12</v>
      </c>
      <c r="GD98" s="62">
        <f t="shared" si="80"/>
        <v>293.33333333333644</v>
      </c>
      <c r="GE98" s="62">
        <f ca="1">AVERAGE(OFFSET($GD$3,0,0,'Données projet'!$E$17+1,1))-AVERAGE(OFFSET($H$3,0,0,'Données projet'!$E$17+1,1))</f>
        <v>218.89895999738746</v>
      </c>
      <c r="GF98" s="62">
        <f t="shared" si="104"/>
        <v>145.64042897395763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101.92594057591889</v>
      </c>
      <c r="GM98" s="23">
        <f>EXP(-LN(2)/25)*GM97+(1-EXP(-LN(2)/25))/(LN(2)/25)*Calculateur!GH98*Calculateur!GJ98*VLOOKUP('Données projet'!$B$17,Paramètres!$A$1:$I$89,3,0)*0.475*44/12</f>
        <v>7.6390450304918938</v>
      </c>
      <c r="GN98" s="23">
        <f>EXP(-LN(2)/2)*GN97+(1-EXP(-LN(2)/2))/(LN(2)/2)*GH98*GK98*VLOOKUP('Données projet'!$B$17,Paramètres!$A$1:$I$89,3,0)*0.475*44/12</f>
        <v>2.3694912058790956E-4</v>
      </c>
      <c r="GO98" s="23">
        <f t="shared" si="81"/>
        <v>109.56522255553138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1.7053025658242404E-13</v>
      </c>
      <c r="GV98" s="18">
        <f>GU98*VLOOKUP('Données projet'!$B$18,Paramètres!$A$1:$I$89,3,0)*VLOOKUP('Données projet'!$B$18,Paramètres!$A$1:$I$89,5,0)</f>
        <v>1.8355876818532125E-13</v>
      </c>
      <c r="GW98" s="14">
        <f t="shared" si="105"/>
        <v>2.5693529898865504E-12</v>
      </c>
      <c r="GX98" s="22">
        <f t="shared" si="82"/>
        <v>4.7946546453085093E-12</v>
      </c>
      <c r="GY98" s="62">
        <f t="shared" si="83"/>
        <v>293.33333333333809</v>
      </c>
      <c r="GZ98" s="62">
        <f ca="1">AVERAGE(OFFSET($GY$3,0,0,'Données projet'!$E$18+1,1))-AVERAGE(OFFSET($H$3,0,0,'Données projet'!$E$18+1,1))</f>
        <v>331.3579800635751</v>
      </c>
      <c r="HA98" s="62">
        <f t="shared" si="106"/>
        <v>209.40702003535273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132.69603584412076</v>
      </c>
      <c r="HH98" s="23">
        <f>EXP(-LN(2)/25)*HH97+(1-EXP(-LN(2)/25))/(LN(2)/25)*Calculateur!HC98*Calculateur!HE98*VLOOKUP('Données projet'!$B$18,Paramètres!$A$1:$I$89,3,0)*0.475*44/12</f>
        <v>9.9451718321498301</v>
      </c>
      <c r="HI98" s="23">
        <f>EXP(-LN(2)/2)*HI97+(1-EXP(-LN(2)/2))/(LN(2)/2)*HC98*HF98*VLOOKUP('Données projet'!$B$18,Paramètres!$A$1:$I$89,3,0)*0.475*44/12</f>
        <v>3.8022068187362149E-4</v>
      </c>
      <c r="HJ98" s="24">
        <f t="shared" si="84"/>
        <v>142.64158789695247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58.727857142857133</v>
      </c>
      <c r="N99" s="14">
        <f>IF('Données projet'!$A$36&gt;35,N98+M99-V98,IF(A99&lt;'Données projet'!$A$36,$K$205^A99,IF(A99='Données projet'!$A$36,'Données projet'!$B$36,N98+M99-V98)))</f>
        <v>2074.7221428571424</v>
      </c>
      <c r="O99" s="14">
        <f>N99*VLOOKUP('Données projet'!$B$9,Paramètres!$A$1:$I$89,3,0)*VLOOKUP('Données projet'!$B$9,Paramètres!$A$1:$I$89,5,0)</f>
        <v>1877.2085948571423</v>
      </c>
      <c r="P99" s="14">
        <f t="shared" si="87"/>
        <v>359.77231432371127</v>
      </c>
      <c r="Q99" s="22">
        <f t="shared" ref="Q99:Q130" si="107">(O99+P99)*0.475*44/12</f>
        <v>3896.0750834899868</v>
      </c>
      <c r="R99" s="62">
        <f t="shared" si="55"/>
        <v>4189.4084168233203</v>
      </c>
      <c r="S99" s="62">
        <f ca="1">AVERAGE(OFFSET($R$3,0,0,'Données projet'!$E$9+1,1))-AVERAGE(OFFSET($H$3,0,0,'Données projet'!$E$9+1,1))</f>
        <v>2472.5049373954762</v>
      </c>
      <c r="T99" s="62">
        <f t="shared" si="88"/>
        <v>286.98388307318311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112.74555810196793</v>
      </c>
      <c r="AA99" s="23">
        <f>EXP(-LN(2)/25)*AA98+(1-EXP(-LN(2)/25))/(LN(2)/25)*Calculateur!V99*Calculateur!X99*VLOOKUP('Données projet'!$B$9,Paramètres!$A$1:$I$89,3,0)*0.475*44/12</f>
        <v>15.255688952102602</v>
      </c>
      <c r="AB99" s="23">
        <f>EXP(-LN(2)/2)*AB98+(1-EXP(-LN(2)/2))/(LN(2)/2)*V99*Y99*VLOOKUP('Données projet'!$B$9,Paramètres!$A$1:$I$89,3,0)*0.475*44/12</f>
        <v>0.37510202883327121</v>
      </c>
      <c r="AC99" s="24">
        <f t="shared" si="57"/>
        <v>128.3763490829038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58.727857142857133</v>
      </c>
      <c r="AI99" s="14">
        <f>IF('Données projet'!$A$62&gt;35,AI98+AH99-AQ98,IF(A99&lt;'Données projet'!$A$62,$AF$205^A99,IF(A99='Données projet'!$A$62,'Données projet'!$B$62,AI98+AH99-AQ98)))</f>
        <v>2074.7221428571424</v>
      </c>
      <c r="AJ99" s="14">
        <f>AI99*VLOOKUP('Données projet'!$B$10,Paramètres!$A$1:$I$89,3,0)*VLOOKUP('Données projet'!$B$10,Paramètres!$A$1:$I$89,5,0)</f>
        <v>2103.7682528571427</v>
      </c>
      <c r="AK99" s="14">
        <f t="shared" si="89"/>
        <v>397.88082219109037</v>
      </c>
      <c r="AL99" s="22">
        <f t="shared" si="58"/>
        <v>4357.0388057090058</v>
      </c>
      <c r="AM99" s="62">
        <f t="shared" si="59"/>
        <v>4650.3721390423389</v>
      </c>
      <c r="AN99" s="62">
        <f ca="1">AVERAGE(OFFSET($AM$3,0,0,'Données projet'!$E$10+1,1))-AVERAGE(OFFSET($H$3,0,0,'Données projet'!$E$10+1,1))</f>
        <v>2761.1400657295467</v>
      </c>
      <c r="AO99" s="62">
        <f t="shared" si="90"/>
        <v>316.41877504316409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126.35278063151574</v>
      </c>
      <c r="AV99" s="23">
        <f>EXP(-LN(2)/25)*AV98+(1-EXP(-LN(2)/25))/(LN(2)/25)*Calculateur!AQ99*Calculateur!AS99*VLOOKUP('Données projet'!$B$10,Paramètres!$A$1:$I$89,3,0)*0.475*44/12</f>
        <v>17.096892791149461</v>
      </c>
      <c r="AW99" s="23">
        <f>EXP(-LN(2)/2)*AW98+(1-EXP(-LN(2)/2))/(LN(2)/2)*AQ99*AT99*VLOOKUP('Données projet'!$B$10,Paramètres!$A$1:$I$89,3,0)*0.475*44/12</f>
        <v>0.42037296334763163</v>
      </c>
      <c r="AX99" s="23">
        <f t="shared" si="60"/>
        <v>143.87004638601283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58.727857142857133</v>
      </c>
      <c r="BD99" s="13">
        <f>IF('Données projet'!$A$88&gt;35,BD98+BC99-BL98,IF(A99&lt;'Données projet'!$A$88,$BA$205^A99,IF(A99='Données projet'!$A$88,'Données projet'!$B$88,BD98+BC99-BL98)))</f>
        <v>2074.7221428571424</v>
      </c>
      <c r="BE99" s="14">
        <f>BD99*VLOOKUP('Données projet'!$B$11,Paramètres!$A$1:$I$89,3,0)*VLOOKUP('Données projet'!$B$11,Paramètres!$A$1:$I$89,5,0)</f>
        <v>2168.4995837142856</v>
      </c>
      <c r="BF99" s="14">
        <f t="shared" si="91"/>
        <v>408.67913024926622</v>
      </c>
      <c r="BG99" s="22">
        <f t="shared" si="61"/>
        <v>4488.5862601531853</v>
      </c>
      <c r="BH99" s="62">
        <f t="shared" si="62"/>
        <v>4781.9195934865184</v>
      </c>
      <c r="BI99" s="62">
        <f ca="1">AVERAGE(OFFSET($BH$3,0,0,'Données projet'!$E$11+1,1))-AVERAGE(OFFSET($H$3,0,0,'Données projet'!$E$11+1,1))</f>
        <v>2843.5086223152098</v>
      </c>
      <c r="BJ99" s="62">
        <f t="shared" si="92"/>
        <v>324.81562437645522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130.24055849710086</v>
      </c>
      <c r="BQ99" s="23">
        <f>EXP(-LN(2)/25)*BQ98+(1-EXP(-LN(2)/25))/(LN(2)/25)*Calculateur!BL99*Calculateur!BN99*VLOOKUP('Données projet'!$B$11,Paramètres!$A$1:$I$89,3,0)*0.475*44/12</f>
        <v>17.622951030877136</v>
      </c>
      <c r="BR99" s="23">
        <f>EXP(-LN(2)/2)*BR98+(1-EXP(-LN(2)/2))/(LN(2)/2)*BL99*BO99*VLOOKUP('Données projet'!$B$11,Paramètres!$A$1:$I$89,3,0)*0.475*44/12</f>
        <v>0.43330751606602036</v>
      </c>
      <c r="BS99" s="24">
        <f t="shared" si="63"/>
        <v>148.29681704404402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58.727857142857133</v>
      </c>
      <c r="BY99" s="13">
        <f>IF('Données projet'!$A$114&gt;35,BY98+BX99-CG98,IF(A99&lt;'Données projet'!$A$114,$BV$205^A99,IF(A99='Données projet'!$A$114,'Données projet'!$B$114,BY98+BX99-CG98)))</f>
        <v>2074.7221428571424</v>
      </c>
      <c r="BZ99" s="14">
        <f>BY99*VLOOKUP('Données projet'!$B$12,Paramètres!$A$1:$I$89,3,0)*VLOOKUP('Données projet'!$B$12,Paramètres!$A$1:$I$89,5,0)</f>
        <v>2071.4025874285712</v>
      </c>
      <c r="CA99" s="14">
        <f t="shared" si="93"/>
        <v>392.46722065834666</v>
      </c>
      <c r="CB99" s="22">
        <f t="shared" si="64"/>
        <v>4291.2399157513819</v>
      </c>
      <c r="CC99" s="62">
        <f t="shared" si="65"/>
        <v>4584.5732490847149</v>
      </c>
      <c r="CD99" s="62">
        <f ca="1">AVERAGE(OFFSET($CC$3,0,0,'Données projet'!$E$12+1,1))-AVERAGE(OFFSET($H$3,0,0,'Données projet'!$E$12+1,1))</f>
        <v>2719.939926994799</v>
      </c>
      <c r="CE99" s="62">
        <f t="shared" si="94"/>
        <v>312.21824046329749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124.40889169872315</v>
      </c>
      <c r="CL99" s="23">
        <f>EXP(-LN(2)/25)*CL98+(1-EXP(-LN(2)/25))/(LN(2)/25)*Calculateur!CG99*Calculateur!CI99*VLOOKUP('Données projet'!$B$12,Paramètres!$A$1:$I$89,3,0)*0.475*44/12</f>
        <v>16.83386367128562</v>
      </c>
      <c r="CM99" s="23">
        <f>EXP(-LN(2)/2)*CM98+(1-EXP(-LN(2)/2))/(LN(2)/2)*CG99*CJ99*VLOOKUP('Données projet'!$B$12,Paramètres!$A$1:$I$89,3,0)*0.475*44/12</f>
        <v>0.41390568698843738</v>
      </c>
      <c r="CN99" s="24">
        <f t="shared" si="66"/>
        <v>141.65666105699722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1.1368683772161603E-12</v>
      </c>
      <c r="CU99" s="18">
        <f>CT99*VLOOKUP('Données projet'!$B$13,Paramètres!$A$1:$I$89,3,0)*VLOOKUP('Données projet'!$B$13,Paramètres!$A$1:$I$89,5,0)</f>
        <v>9.9316821433603771E-13</v>
      </c>
      <c r="CV99" s="14">
        <f t="shared" si="95"/>
        <v>1.1421454694498936E-11</v>
      </c>
      <c r="CW99" s="22">
        <f t="shared" si="67"/>
        <v>2.1622134899554243E-11</v>
      </c>
      <c r="CX99" s="62">
        <f t="shared" si="68"/>
        <v>293.33333333335491</v>
      </c>
      <c r="CY99" s="62">
        <f ca="1">AVERAGE(OFFSET($CX$3,0,0,'Données projet'!$E$13+1,1))-AVERAGE(OFFSET($H$3,0,0,'Données projet'!$E$13+1,1))</f>
        <v>1036.0130072090849</v>
      </c>
      <c r="CZ99" s="62">
        <f t="shared" si="96"/>
        <v>346.56593355696174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487.81376252676102</v>
      </c>
      <c r="DG99" s="23">
        <f>EXP(-LN(2)/25)*DG98+(1-EXP(-LN(2)/25))/(LN(2)/25)*Calculateur!DB99*Calculateur!DD99*VLOOKUP('Données projet'!$B$13,Paramètres!$A$1:$I$89,3,0)*0.475*44/12</f>
        <v>27.158259993171374</v>
      </c>
      <c r="DH99" s="23">
        <f>EXP(-LN(2)/2)*DH98+(1-EXP(-LN(2)/2))/(LN(2)/2)*DB99*DE99*VLOOKUP('Données projet'!$B$13,Paramètres!$A$1:$I$89,3,0)*0.475*44/12</f>
        <v>0.35302740468226618</v>
      </c>
      <c r="DI99" s="24">
        <f t="shared" si="69"/>
        <v>515.32504992461463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6.8212102632969618E-13</v>
      </c>
      <c r="DP99" s="18">
        <f>DO99*VLOOKUP('Données projet'!$B$14,Paramètres!$A$1:$I$89,3,0)*VLOOKUP('Données projet'!$B$14,Paramètres!$A$1:$I$89,5,0)</f>
        <v>3.8130565371830017E-13</v>
      </c>
      <c r="DQ99" s="14">
        <f t="shared" si="97"/>
        <v>4.9019074112354236E-12</v>
      </c>
      <c r="DR99" s="22">
        <f t="shared" si="70"/>
        <v>9.2015960881277352E-12</v>
      </c>
      <c r="DS99" s="62">
        <f t="shared" si="71"/>
        <v>293.33333333334252</v>
      </c>
      <c r="DT99" s="62">
        <f ca="1">AVERAGE(OFFSET($DS$3,0,0,'Données projet'!$E$14+1,1))-AVERAGE(OFFSET($H$3,0,0,'Données projet'!$E$14+1,1))</f>
        <v>446.48069057792151</v>
      </c>
      <c r="DU99" s="62">
        <f t="shared" si="98"/>
        <v>561.75656782935948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90.519852273212123</v>
      </c>
      <c r="EB99" s="23">
        <f>EXP(-LN(2)/25)*EB98+(1-EXP(-LN(2)/25))/(LN(2)/25)*Calculateur!DW99*Calculateur!DY99*VLOOKUP('Données projet'!$B$14,Paramètres!$A$1:$I$89,3,0)*0.475*44/12</f>
        <v>29.866708733284174</v>
      </c>
      <c r="EC99" s="23">
        <f>EXP(-LN(2)/2)*EC98+(1-EXP(-LN(2)/2))/(LN(2)/2)*DW99*DZ99*VLOOKUP('Données projet'!$B$14,Paramètres!$A$1:$I$89,3,0)*0.475*44/12</f>
        <v>5.1187580834288337E-4</v>
      </c>
      <c r="ED99" s="24">
        <f t="shared" si="72"/>
        <v>120.38707288230464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1.7053025658242404E-13</v>
      </c>
      <c r="EK99" s="18">
        <f>EJ99*VLOOKUP('Données projet'!$B$15,Paramètres!$A$1:$I$89,3,0)*VLOOKUP('Données projet'!$B$15,Paramètres!$A$1:$I$89,5,0)</f>
        <v>1.6493686416652052E-13</v>
      </c>
      <c r="EL99" s="14">
        <f t="shared" si="99"/>
        <v>2.3376205369651282E-12</v>
      </c>
      <c r="EM99" s="22">
        <f t="shared" si="73"/>
        <v>4.3586208069709543E-12</v>
      </c>
      <c r="EN99" s="62">
        <f t="shared" si="74"/>
        <v>293.33333333333769</v>
      </c>
      <c r="EO99" s="62">
        <f ca="1">AVERAGE(OFFSET($EN$3,0,0,'Données projet'!$E$15+1,1))-AVERAGE(OFFSET($H$3,0,0,'Données projet'!$E$15+1,1))</f>
        <v>301.18531163828169</v>
      </c>
      <c r="EP99" s="62">
        <f t="shared" si="100"/>
        <v>192.30530273268101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116.89601081310254</v>
      </c>
      <c r="EW99" s="23">
        <f>EXP(-LN(2)/25)*EW98+(1-EXP(-LN(2)/25))/(LN(2)/25)*Calculateur!ER99*Calculateur!ET99*VLOOKUP('Données projet'!$B$15,Paramètres!$A$1:$I$89,3,0)*0.475*44/12</f>
        <v>8.6918793665965488</v>
      </c>
      <c r="EX99" s="23">
        <f>EXP(-LN(2)/2)*EX98+(1-EXP(-LN(2)/2))/(LN(2)/2)*ER99*EU99*VLOOKUP('Données projet'!$B$15,Paramètres!$A$1:$I$89,3,0)*0.475*44/12</f>
        <v>2.4158131297120442E-4</v>
      </c>
      <c r="EY99" s="24">
        <f t="shared" si="75"/>
        <v>125.58813176101206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1.7053025658242404E-13</v>
      </c>
      <c r="FF99" s="18">
        <f>FE99*VLOOKUP('Données projet'!$B$16,Paramètres!$A$1:$I$89,3,0)*VLOOKUP('Données projet'!$B$16,Paramètres!$A$1:$I$89,5,0)</f>
        <v>1.3301360013429075E-13</v>
      </c>
      <c r="FG99" s="14">
        <f t="shared" si="101"/>
        <v>1.9329766731057041E-12</v>
      </c>
      <c r="FH99" s="22">
        <f t="shared" si="76"/>
        <v>3.5982663925596575E-12</v>
      </c>
      <c r="FI99" s="62">
        <f t="shared" si="77"/>
        <v>293.3333333333369</v>
      </c>
      <c r="FJ99" s="62">
        <f ca="1">AVERAGE(OFFSET($FI$3,0,0,'Données projet'!$E$16+1,1))-AVERAGE(OFFSET($H$3,0,0,'Données projet'!$E$16+1,1))</f>
        <v>249.2899297828755</v>
      </c>
      <c r="FK99" s="62">
        <f t="shared" si="102"/>
        <v>162.88011837476813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94.270976462179462</v>
      </c>
      <c r="FR99" s="23">
        <f>EXP(-LN(2)/25)*FR98+(1-EXP(-LN(2)/25))/(LN(2)/25)*Calculateur!FM99*Calculateur!FO99*VLOOKUP('Données projet'!$B$16,Paramètres!$A$1:$I$89,3,0)*0.475*44/12</f>
        <v>7.0095801343520492</v>
      </c>
      <c r="FS99" s="23">
        <f>EXP(-LN(2)/2)*FS98+(1-EXP(-LN(2)/2))/(LN(2)/2)*FM99*FP99*VLOOKUP('Données projet'!$B$16,Paramètres!$A$1:$I$89,3,0)*0.475*44/12</f>
        <v>1.948236394929063E-4</v>
      </c>
      <c r="FT99" s="24">
        <f t="shared" si="78"/>
        <v>101.280751420171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1.7053025658242404E-13</v>
      </c>
      <c r="GA99" s="18">
        <f>FZ99*VLOOKUP('Données projet'!$B$17,Paramètres!$A$1:$I$89,3,0)*VLOOKUP('Données projet'!$B$17,Paramètres!$A$1:$I$89,5,0)</f>
        <v>1.1439169611549005E-13</v>
      </c>
      <c r="GB99" s="14">
        <f t="shared" si="103"/>
        <v>1.6918016515029816E-12</v>
      </c>
      <c r="GC99" s="22">
        <f t="shared" si="79"/>
        <v>3.1457867471021712E-12</v>
      </c>
      <c r="GD99" s="62">
        <f t="shared" si="80"/>
        <v>293.33333333333644</v>
      </c>
      <c r="GE99" s="62">
        <f ca="1">AVERAGE(OFFSET($GD$3,0,0,'Données projet'!$E$17+1,1))-AVERAGE(OFFSET($H$3,0,0,'Données projet'!$E$17+1,1))</f>
        <v>218.89895999738746</v>
      </c>
      <c r="GF99" s="62">
        <f t="shared" si="104"/>
        <v>145.64042897395763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99.927235049910223</v>
      </c>
      <c r="GM99" s="23">
        <f>EXP(-LN(2)/25)*GM98+(1-EXP(-LN(2)/25))/(LN(2)/25)*Calculateur!GH99*Calculateur!GJ99*VLOOKUP('Données projet'!$B$17,Paramètres!$A$1:$I$89,3,0)*0.475*44/12</f>
        <v>7.4301549424131741</v>
      </c>
      <c r="GN99" s="23">
        <f>EXP(-LN(2)/2)*GN98+(1-EXP(-LN(2)/2))/(LN(2)/2)*GH99*GK99*VLOOKUP('Données projet'!$B$17,Paramètres!$A$1:$I$89,3,0)*0.475*44/12</f>
        <v>1.6754832996389985E-4</v>
      </c>
      <c r="GO99" s="23">
        <f t="shared" si="81"/>
        <v>107.35755754065336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1.7053025658242404E-13</v>
      </c>
      <c r="GV99" s="18">
        <f>GU99*VLOOKUP('Données projet'!$B$18,Paramètres!$A$1:$I$89,3,0)*VLOOKUP('Données projet'!$B$18,Paramètres!$A$1:$I$89,5,0)</f>
        <v>1.8355876818532125E-13</v>
      </c>
      <c r="GW99" s="14">
        <f t="shared" si="105"/>
        <v>2.5693529898865504E-12</v>
      </c>
      <c r="GX99" s="22">
        <f t="shared" si="82"/>
        <v>4.7946546453085093E-12</v>
      </c>
      <c r="GY99" s="62">
        <f t="shared" si="83"/>
        <v>293.33333333333809</v>
      </c>
      <c r="GZ99" s="62">
        <f ca="1">AVERAGE(OFFSET($GY$3,0,0,'Données projet'!$E$18+1,1))-AVERAGE(OFFSET($H$3,0,0,'Données projet'!$E$18+1,1))</f>
        <v>331.3579800635751</v>
      </c>
      <c r="HA99" s="62">
        <f t="shared" si="106"/>
        <v>209.40702003535273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130.09394751780758</v>
      </c>
      <c r="HH99" s="23">
        <f>EXP(-LN(2)/25)*HH98+(1-EXP(-LN(2)/25))/(LN(2)/25)*Calculateur!HC99*Calculateur!HE99*VLOOKUP('Données projet'!$B$18,Paramètres!$A$1:$I$89,3,0)*0.475*44/12</f>
        <v>9.6732205854058364</v>
      </c>
      <c r="HI99" s="23">
        <f>EXP(-LN(2)/2)*HI98+(1-EXP(-LN(2)/2))/(LN(2)/2)*HC99*HF99*VLOOKUP('Données projet'!$B$18,Paramètres!$A$1:$I$89,3,0)*0.475*44/12</f>
        <v>2.6885662250021076E-4</v>
      </c>
      <c r="HJ99" s="24">
        <f t="shared" si="84"/>
        <v>139.76743695983592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>
        <f>VLOOKUP(A100,'Données projet'!$A$35:$I$55,2,0)</f>
        <v>2133.4499999999998</v>
      </c>
      <c r="L100" s="13">
        <f>VLOOKUP(A100,'Données projet'!$A$35:$I$55,9,0)</f>
        <v>58.727857142857133</v>
      </c>
      <c r="M100" s="13">
        <f t="array" ref="M100">INDEX(L:L,MIN(IF(ISNUMBER(L100:L296),ROW(L100:L296),"")))</f>
        <v>58.727857142857133</v>
      </c>
      <c r="N100" s="14">
        <f>IF('Données projet'!$A$36&gt;35,N99+M100-V99,IF(A100&lt;'Données projet'!$A$36,$K$205^A100,IF(A100='Données projet'!$A$36,'Données projet'!$B$36,N99+M100-V99)))</f>
        <v>2133.4499999999994</v>
      </c>
      <c r="O100" s="14">
        <f>N100*VLOOKUP('Données projet'!$B$9,Paramètres!$A$1:$I$89,3,0)*VLOOKUP('Données projet'!$B$9,Paramètres!$A$1:$I$89,5,0)</f>
        <v>1930.3455599999995</v>
      </c>
      <c r="P100" s="14">
        <f t="shared" si="87"/>
        <v>368.75609286034847</v>
      </c>
      <c r="Q100" s="22">
        <f t="shared" si="107"/>
        <v>4004.2687120651058</v>
      </c>
      <c r="R100" s="62">
        <f t="shared" si="55"/>
        <v>4297.6020453984393</v>
      </c>
      <c r="S100" s="62">
        <f ca="1">AVERAGE(OFFSET($R$3,0,0,'Données projet'!$E$9+1,1))-AVERAGE(OFFSET($H$3,0,0,'Données projet'!$E$9+1,1))</f>
        <v>2472.5049373954762</v>
      </c>
      <c r="T100" s="62">
        <f t="shared" si="88"/>
        <v>286.98388307318311</v>
      </c>
      <c r="U100" s="16">
        <f>IF(ISNA(VLOOKUP(A100,'Données projet'!$A$35:$I$55,3,0)),0,VLOOKUP(A100,'Données projet'!$A$35:$I$55,3,0))</f>
        <v>6</v>
      </c>
      <c r="V100" s="16">
        <f>IF(ISNA(VLOOKUP(A100,'Données projet'!$A$35:$I$55,4,0)),0,VLOOKUP(A100,'Données projet'!$A$35:$I$55,4,0))</f>
        <v>426.69</v>
      </c>
      <c r="W100" s="17">
        <f>IF(ISNA(VLOOKUP(A100,'Données projet'!$A$35:$I$55,5,0)),0%,VLOOKUP(A100,'Données projet'!$A$35:$I$55,5,0)*VLOOKUP('Données projet'!$B$9,Paramètres!$A$1:$I$89,7,0))</f>
        <v>0.30099999999999999</v>
      </c>
      <c r="X100" s="17">
        <f>IF(ISNA(VLOOKUP(A100,'Données projet'!$A$35:$I$55,6,0)),0%,VLOOKUP(A100,'Données projet'!$A$35:$I$55,6,0)*VLOOKUP('Données projet'!$B$9,Paramètres!$A$1:$I$89,7,0))</f>
        <v>2.58E-2</v>
      </c>
      <c r="Y100" s="17">
        <f>IF(ISNA(VLOOKUP(A100,'Données projet'!$A$35:$I$55,7,0)),0%,VLOOKUP(A100,'Données projet'!$A$35:$I$55,7,0))</f>
        <v>0.09</v>
      </c>
      <c r="Z100" s="23">
        <f>EXP(-LN(2)/35)*Z99+(1-EXP(-LN(2)/35))/(LN(2)/35)*V100*W100*VLOOKUP('Données projet'!$B$9,Paramètres!$A$1:$I$89,3,0)*0.475*44/12</f>
        <v>238.9978647739338</v>
      </c>
      <c r="AA100" s="23">
        <f>EXP(-LN(2)/25)*AA99+(1-EXP(-LN(2)/25))/(LN(2)/25)*Calculateur!V100*Calculateur!X100*VLOOKUP('Données projet'!$B$9,Paramètres!$A$1:$I$89,3,0)*0.475*44/12</f>
        <v>25.806295891194935</v>
      </c>
      <c r="AB100" s="23">
        <f>EXP(-LN(2)/2)*AB99+(1-EXP(-LN(2)/2))/(LN(2)/2)*V100*Y100*VLOOKUP('Données projet'!$B$9,Paramètres!$A$1:$I$89,3,0)*0.475*44/12</f>
        <v>33.049231014507022</v>
      </c>
      <c r="AC100" s="24">
        <f t="shared" si="57"/>
        <v>297.85339167963576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>
        <f>VLOOKUP(A100,'Données projet'!$A$61:$I$81,2,0)</f>
        <v>2133.4499999999998</v>
      </c>
      <c r="AG100" s="13">
        <f>VLOOKUP(A100,'Données projet'!$A$61:$I$81,9,0)</f>
        <v>58.727857142857133</v>
      </c>
      <c r="AH100" s="13">
        <f t="array" ref="AH100">INDEX(AG:AG,MIN(IF(ISNUMBER(AG100:AG296),ROW(AG100:AG296),"")))</f>
        <v>58.727857142857133</v>
      </c>
      <c r="AI100" s="14">
        <f>IF('Données projet'!$A$62&gt;35,AI99+AH100-AQ99,IF(A100&lt;'Données projet'!$A$62,$AF$205^A100,IF(A100='Données projet'!$A$62,'Données projet'!$B$62,AI99+AH100-AQ99)))</f>
        <v>2133.4499999999994</v>
      </c>
      <c r="AJ100" s="14">
        <f>AI100*VLOOKUP('Données projet'!$B$10,Paramètres!$A$1:$I$89,3,0)*VLOOKUP('Données projet'!$B$10,Paramètres!$A$1:$I$89,5,0)</f>
        <v>2163.3182999999995</v>
      </c>
      <c r="AK100" s="14">
        <f t="shared" si="89"/>
        <v>407.81619811699801</v>
      </c>
      <c r="AL100" s="22">
        <f t="shared" si="58"/>
        <v>4478.0592508871041</v>
      </c>
      <c r="AM100" s="62">
        <f t="shared" si="59"/>
        <v>4771.3925842204371</v>
      </c>
      <c r="AN100" s="62">
        <f ca="1">AVERAGE(OFFSET($AM$3,0,0,'Données projet'!$E$10+1,1))-AVERAGE(OFFSET($H$3,0,0,'Données projet'!$E$10+1,1))</f>
        <v>2761.1400657295467</v>
      </c>
      <c r="AO100" s="62">
        <f t="shared" si="90"/>
        <v>316.41877504316409</v>
      </c>
      <c r="AP100" s="16">
        <f>IF(ISNA(VLOOKUP(A100,'Données projet'!$A$61:$I$81,3,0)),0,VLOOKUP(A100,'Données projet'!$A$61:$I$81,3,0))</f>
        <v>6</v>
      </c>
      <c r="AQ100" s="16">
        <f>IF(ISNA(VLOOKUP(A100,'Données projet'!$A$61:$I$81,4,0)),0,VLOOKUP(A100,'Données projet'!$A$61:$I$81,4,0))</f>
        <v>426.69</v>
      </c>
      <c r="AR100" s="17">
        <f>IF(ISNA(VLOOKUP(A100,'Données projet'!$A$61:$I$81,5,0)),0%,VLOOKUP(A100,'Données projet'!$A$61:$I$81,5,0)*VLOOKUP('Données projet'!$B$10,Paramètres!$A$1:$I$89,7,0))</f>
        <v>0.30099999999999999</v>
      </c>
      <c r="AS100" s="17">
        <f>IF(ISNA(VLOOKUP(A100,'Données projet'!$A$61:$I$81,6,0)),0%,VLOOKUP(A100,'Données projet'!$A$61:$I$81,6,0)*VLOOKUP('Données projet'!$B$10,Paramètres!$A$1:$I$89,7,0))</f>
        <v>2.58E-2</v>
      </c>
      <c r="AT100" s="17">
        <f>IF(ISNA(VLOOKUP(A100,'Données projet'!$A$61:$I$81,7,0)),0%,VLOOKUP(A100,'Données projet'!$A$61:$I$81,7,0))</f>
        <v>0.09</v>
      </c>
      <c r="AU100" s="23">
        <f>EXP(-LN(2)/35)*AU99+(1-EXP(-LN(2)/35))/(LN(2)/35)*AQ100*AR100*VLOOKUP('Données projet'!$B$10,Paramètres!$A$1:$I$89,3,0)*0.475*44/12</f>
        <v>267.84243466044302</v>
      </c>
      <c r="AV100" s="23">
        <f>EXP(-LN(2)/25)*AV99+(1-EXP(-LN(2)/25))/(LN(2)/25)*Calculateur!AQ100*Calculateur!AS100*VLOOKUP('Données projet'!$B$10,Paramètres!$A$1:$I$89,3,0)*0.475*44/12</f>
        <v>28.920848843580529</v>
      </c>
      <c r="AW100" s="23">
        <f>EXP(-LN(2)/2)*AW99+(1-EXP(-LN(2)/2))/(LN(2)/2)*AQ100*AT100*VLOOKUP('Données projet'!$B$10,Paramètres!$A$1:$I$89,3,0)*0.475*44/12</f>
        <v>37.037931309361319</v>
      </c>
      <c r="AX100" s="23">
        <f t="shared" si="60"/>
        <v>333.80121481338489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>
        <f>VLOOKUP(A100,'Données projet'!$A$87:$I$107,2,0)</f>
        <v>2133.4499999999998</v>
      </c>
      <c r="BB100" s="13">
        <f>VLOOKUP(A100,'Données projet'!$A$87:$I$107,9,0)</f>
        <v>58.727857142857133</v>
      </c>
      <c r="BC100" s="13">
        <f t="array" ref="BC100">INDEX(BB:BB,MIN(IF(ISNUMBER(BB100:BB296),ROW(BB100:BB296),"")))</f>
        <v>58.727857142857133</v>
      </c>
      <c r="BD100" s="13">
        <f>IF('Données projet'!$A$88&gt;35,BD99+BC100-BL99,IF(A100&lt;'Données projet'!$A$88,$BA$205^A100,IF(A100='Données projet'!$A$88,'Données projet'!$B$88,BD99+BC100-BL99)))</f>
        <v>2133.4499999999994</v>
      </c>
      <c r="BE100" s="14">
        <f>BD100*VLOOKUP('Données projet'!$B$11,Paramètres!$A$1:$I$89,3,0)*VLOOKUP('Données projet'!$B$11,Paramètres!$A$1:$I$89,5,0)</f>
        <v>2229.8819399999998</v>
      </c>
      <c r="BF100" s="14">
        <f t="shared" si="91"/>
        <v>418.88414784659426</v>
      </c>
      <c r="BG100" s="22">
        <f t="shared" si="61"/>
        <v>4613.2676029994846</v>
      </c>
      <c r="BH100" s="62">
        <f t="shared" si="62"/>
        <v>4906.6009363328176</v>
      </c>
      <c r="BI100" s="62">
        <f ca="1">AVERAGE(OFFSET($BH$3,0,0,'Données projet'!$E$11+1,1))-AVERAGE(OFFSET($H$3,0,0,'Données projet'!$E$11+1,1))</f>
        <v>2843.5086223152098</v>
      </c>
      <c r="BJ100" s="62">
        <f t="shared" si="92"/>
        <v>324.81562437645522</v>
      </c>
      <c r="BK100" s="16">
        <f>IF(ISNA(VLOOKUP(A100,'Données projet'!$A$87:$I$107,3,0)),0,VLOOKUP(A100,'Données projet'!$A$87:$I$107,3,0))</f>
        <v>6</v>
      </c>
      <c r="BL100" s="16">
        <f>IF(ISNA(VLOOKUP(A100,'Données projet'!$A$87:$I$107,4,0)),0,VLOOKUP(A100,'Données projet'!$A$87:$I$107,4,0))</f>
        <v>426.69</v>
      </c>
      <c r="BM100" s="17">
        <f>IF(ISNA(VLOOKUP(A100,'Données projet'!$A$87:$I$107,5,0)),0%,VLOOKUP(A100,'Données projet'!$A$87:$I$107,5,0)*VLOOKUP('Données projet'!$B$11,Paramètres!$A$1:$I$89,7,0))</f>
        <v>0.30099999999999999</v>
      </c>
      <c r="BN100" s="17">
        <f>IF(ISNA(VLOOKUP(A100,'Données projet'!$A$87:$I$107,6,0)),0%,VLOOKUP(A100,'Données projet'!$A$87:$I$107,6,0)*VLOOKUP('Données projet'!$B$11,Paramètres!$A$1:$I$89,7,0))</f>
        <v>2.58E-2</v>
      </c>
      <c r="BO100" s="17">
        <f>IF(ISNA(VLOOKUP(A100,'Données projet'!$A$87:$I$107,7,0)),0%,VLOOKUP(A100,'Données projet'!$A$87:$I$107,7,0))</f>
        <v>0.09</v>
      </c>
      <c r="BP100" s="23">
        <f>EXP(-LN(2)/35)*BP99+(1-EXP(-LN(2)/35))/(LN(2)/35)*BL100*BM100*VLOOKUP('Données projet'!$B$11,Paramètres!$A$1:$I$89,3,0)*0.475*44/12</f>
        <v>276.0837403423028</v>
      </c>
      <c r="BQ100" s="23">
        <f>EXP(-LN(2)/25)*BQ99+(1-EXP(-LN(2)/25))/(LN(2)/25)*Calculateur!BL100*Calculateur!BN100*VLOOKUP('Données projet'!$B$11,Paramètres!$A$1:$I$89,3,0)*0.475*44/12</f>
        <v>29.810721115690697</v>
      </c>
      <c r="BR100" s="23">
        <f>EXP(-LN(2)/2)*BR99+(1-EXP(-LN(2)/2))/(LN(2)/2)*BL100*BO100*VLOOKUP('Données projet'!$B$11,Paramètres!$A$1:$I$89,3,0)*0.475*44/12</f>
        <v>38.177559965033979</v>
      </c>
      <c r="BS100" s="24">
        <f t="shared" si="63"/>
        <v>344.07202142302748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>
        <f>VLOOKUP(A100,'Données projet'!$A$113:$I$133,2,0)</f>
        <v>2133.4499999999998</v>
      </c>
      <c r="BW100" s="13">
        <f>VLOOKUP(A100,'Données projet'!$A$113:$I$133,9,0)</f>
        <v>58.727857142857133</v>
      </c>
      <c r="BX100" s="13">
        <f t="array" ref="BX100">INDEX(BW:BW,MIN(IF(ISNUMBER(BW100:BW296),ROW(BW100:BW296),"")))</f>
        <v>58.727857142857133</v>
      </c>
      <c r="BY100" s="13">
        <f>IF('Données projet'!$A$114&gt;35,BY99+BX100-CG99,IF(A100&lt;'Données projet'!$A$114,$BV$205^A100,IF(A100='Données projet'!$A$114,'Données projet'!$B$114,BY99+BX100-CG99)))</f>
        <v>2133.4499999999994</v>
      </c>
      <c r="BZ100" s="14">
        <f>BY100*VLOOKUP('Données projet'!$B$12,Paramètres!$A$1:$I$89,3,0)*VLOOKUP('Données projet'!$B$12,Paramètres!$A$1:$I$89,5,0)</f>
        <v>2130.0364799999998</v>
      </c>
      <c r="CA100" s="14">
        <f t="shared" si="93"/>
        <v>402.26741498378237</v>
      </c>
      <c r="CB100" s="22">
        <f t="shared" si="64"/>
        <v>4410.4292837634193</v>
      </c>
      <c r="CC100" s="62">
        <f t="shared" si="65"/>
        <v>4703.7626170967524</v>
      </c>
      <c r="CD100" s="62">
        <f ca="1">AVERAGE(OFFSET($CC$3,0,0,'Données projet'!$E$12+1,1))-AVERAGE(OFFSET($H$3,0,0,'Données projet'!$E$12+1,1))</f>
        <v>2719.939926994799</v>
      </c>
      <c r="CE100" s="62">
        <f t="shared" si="94"/>
        <v>312.21824046329749</v>
      </c>
      <c r="CF100" s="16">
        <f>IF(ISNA(VLOOKUP(A100,'Données projet'!$A$113:$I$133,3,0)),0,VLOOKUP(A100,'Données projet'!$A$113:$I$133,3,0))</f>
        <v>6</v>
      </c>
      <c r="CG100" s="16">
        <f>IF(ISNA(VLOOKUP(A100,'Données projet'!$A$113:$I$133,4,0)),0,VLOOKUP(A100,'Données projet'!$A$113:$I$133,4,0))</f>
        <v>426.69</v>
      </c>
      <c r="CH100" s="17">
        <f>IF(ISNA(VLOOKUP(A100,'Données projet'!$A$113:$I$133,5,0)),0%,VLOOKUP(A100,'Données projet'!$A$113:$I$133,5,0)*VLOOKUP('Données projet'!$B$12,Paramètres!$A$1:$I$89,7,0))</f>
        <v>0.30099999999999999</v>
      </c>
      <c r="CI100" s="17">
        <f>IF(ISNA(VLOOKUP(A100,'Données projet'!$A$113:$I$133,6,0)),0%,VLOOKUP(A100,'Données projet'!$A$113:$I$133,6,0)*VLOOKUP('Données projet'!$B$12,Paramètres!$A$1:$I$89,7,0))</f>
        <v>2.58E-2</v>
      </c>
      <c r="CJ100" s="17">
        <f>IF(ISNA(VLOOKUP(A100,'Données projet'!$A$113:$I$133,7,0)),0%,VLOOKUP(A100,'Données projet'!$A$113:$I$133,7,0))</f>
        <v>0.09</v>
      </c>
      <c r="CK100" s="23">
        <f>EXP(-LN(2)/35)*CK99+(1-EXP(-LN(2)/35))/(LN(2)/35)*CG100*CH100*VLOOKUP('Données projet'!$B$12,Paramètres!$A$1:$I$89,3,0)*0.475*44/12</f>
        <v>263.72178181951307</v>
      </c>
      <c r="CL100" s="23">
        <f>EXP(-LN(2)/25)*CL99+(1-EXP(-LN(2)/25))/(LN(2)/25)*Calculateur!CG100*Calculateur!CI100*VLOOKUP('Données projet'!$B$12,Paramètres!$A$1:$I$89,3,0)*0.475*44/12</f>
        <v>28.475912707525438</v>
      </c>
      <c r="CM100" s="23">
        <f>EXP(-LN(2)/2)*CM99+(1-EXP(-LN(2)/2))/(LN(2)/2)*CG100*CJ100*VLOOKUP('Données projet'!$B$12,Paramètres!$A$1:$I$89,3,0)*0.475*44/12</f>
        <v>36.468116981524993</v>
      </c>
      <c r="CN100" s="24">
        <f t="shared" si="66"/>
        <v>328.66581150856348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1.1368683772161603E-12</v>
      </c>
      <c r="CU100" s="18">
        <f>CT100*VLOOKUP('Données projet'!$B$13,Paramètres!$A$1:$I$89,3,0)*VLOOKUP('Données projet'!$B$13,Paramètres!$A$1:$I$89,5,0)</f>
        <v>9.9316821433603771E-13</v>
      </c>
      <c r="CV100" s="14">
        <f t="shared" si="95"/>
        <v>1.1421454694498936E-11</v>
      </c>
      <c r="CW100" s="22">
        <f t="shared" si="67"/>
        <v>2.1622134899554243E-11</v>
      </c>
      <c r="CX100" s="62">
        <f t="shared" si="68"/>
        <v>293.33333333335491</v>
      </c>
      <c r="CY100" s="62">
        <f ca="1">AVERAGE(OFFSET($CX$3,0,0,'Données projet'!$E$13+1,1))-AVERAGE(OFFSET($H$3,0,0,'Données projet'!$E$13+1,1))</f>
        <v>1036.0130072090849</v>
      </c>
      <c r="CZ100" s="62">
        <f t="shared" si="96"/>
        <v>346.56593355696174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478.24803218062704</v>
      </c>
      <c r="DG100" s="23">
        <f>EXP(-LN(2)/25)*DG99+(1-EXP(-LN(2)/25))/(LN(2)/25)*Calculateur!DB100*Calculateur!DD100*VLOOKUP('Données projet'!$B$13,Paramètres!$A$1:$I$89,3,0)*0.475*44/12</f>
        <v>26.41561594546728</v>
      </c>
      <c r="DH100" s="23">
        <f>EXP(-LN(2)/2)*DH99+(1-EXP(-LN(2)/2))/(LN(2)/2)*DB100*DE100*VLOOKUP('Données projet'!$B$13,Paramètres!$A$1:$I$89,3,0)*0.475*44/12</f>
        <v>0.24962807179551796</v>
      </c>
      <c r="DI100" s="24">
        <f t="shared" si="69"/>
        <v>504.91327619788984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6.8212102632969618E-13</v>
      </c>
      <c r="DP100" s="18">
        <f>DO100*VLOOKUP('Données projet'!$B$14,Paramètres!$A$1:$I$89,3,0)*VLOOKUP('Données projet'!$B$14,Paramètres!$A$1:$I$89,5,0)</f>
        <v>3.8130565371830017E-13</v>
      </c>
      <c r="DQ100" s="14">
        <f t="shared" si="97"/>
        <v>4.9019074112354236E-12</v>
      </c>
      <c r="DR100" s="22">
        <f t="shared" si="70"/>
        <v>9.2015960881277352E-12</v>
      </c>
      <c r="DS100" s="62">
        <f t="shared" si="71"/>
        <v>293.33333333334252</v>
      </c>
      <c r="DT100" s="62">
        <f ca="1">AVERAGE(OFFSET($DS$3,0,0,'Données projet'!$E$14+1,1))-AVERAGE(OFFSET($H$3,0,0,'Données projet'!$E$14+1,1))</f>
        <v>446.48069057792151</v>
      </c>
      <c r="DU100" s="62">
        <f t="shared" si="98"/>
        <v>561.75656782935948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88.744813181792622</v>
      </c>
      <c r="EB100" s="23">
        <f>EXP(-LN(2)/25)*EB99+(1-EXP(-LN(2)/25))/(LN(2)/25)*Calculateur!DW100*Calculateur!DY100*VLOOKUP('Données projet'!$B$14,Paramètres!$A$1:$I$89,3,0)*0.475*44/12</f>
        <v>29.050002012350568</v>
      </c>
      <c r="EC100" s="23">
        <f>EXP(-LN(2)/2)*EC99+(1-EXP(-LN(2)/2))/(LN(2)/2)*DW100*DZ100*VLOOKUP('Données projet'!$B$14,Paramètres!$A$1:$I$89,3,0)*0.475*44/12</f>
        <v>3.6195085520459837E-4</v>
      </c>
      <c r="ED100" s="24">
        <f t="shared" si="72"/>
        <v>117.79517714499839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1.7053025658242404E-13</v>
      </c>
      <c r="EK100" s="18">
        <f>EJ100*VLOOKUP('Données projet'!$B$15,Paramètres!$A$1:$I$89,3,0)*VLOOKUP('Données projet'!$B$15,Paramètres!$A$1:$I$89,5,0)</f>
        <v>1.6493686416652052E-13</v>
      </c>
      <c r="EL100" s="14">
        <f t="shared" si="99"/>
        <v>2.3376205369651282E-12</v>
      </c>
      <c r="EM100" s="22">
        <f t="shared" si="73"/>
        <v>4.3586208069709543E-12</v>
      </c>
      <c r="EN100" s="62">
        <f t="shared" si="74"/>
        <v>293.33333333333769</v>
      </c>
      <c r="EO100" s="62">
        <f ca="1">AVERAGE(OFFSET($EN$3,0,0,'Données projet'!$E$15+1,1))-AVERAGE(OFFSET($H$3,0,0,'Données projet'!$E$15+1,1))</f>
        <v>301.18531163828169</v>
      </c>
      <c r="EP100" s="62">
        <f t="shared" si="100"/>
        <v>192.30530273268101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114.60375134058394</v>
      </c>
      <c r="EW100" s="23">
        <f>EXP(-LN(2)/25)*EW99+(1-EXP(-LN(2)/25))/(LN(2)/25)*Calculateur!ER100*Calculateur!ET100*VLOOKUP('Données projet'!$B$15,Paramètres!$A$1:$I$89,3,0)*0.475*44/12</f>
        <v>8.454199468230895</v>
      </c>
      <c r="EX100" s="23">
        <f>EXP(-LN(2)/2)*EX99+(1-EXP(-LN(2)/2))/(LN(2)/2)*ER100*EU100*VLOOKUP('Données projet'!$B$15,Paramètres!$A$1:$I$89,3,0)*0.475*44/12</f>
        <v>1.7082378460988831E-4</v>
      </c>
      <c r="EY100" s="24">
        <f t="shared" si="75"/>
        <v>123.05812163259945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1.7053025658242404E-13</v>
      </c>
      <c r="FF100" s="18">
        <f>FE100*VLOOKUP('Données projet'!$B$16,Paramètres!$A$1:$I$89,3,0)*VLOOKUP('Données projet'!$B$16,Paramètres!$A$1:$I$89,5,0)</f>
        <v>1.3301360013429075E-13</v>
      </c>
      <c r="FG100" s="14">
        <f t="shared" si="101"/>
        <v>1.9329766731057041E-12</v>
      </c>
      <c r="FH100" s="22">
        <f t="shared" si="76"/>
        <v>3.5982663925596575E-12</v>
      </c>
      <c r="FI100" s="62">
        <f t="shared" si="77"/>
        <v>293.3333333333369</v>
      </c>
      <c r="FJ100" s="62">
        <f ca="1">AVERAGE(OFFSET($FI$3,0,0,'Données projet'!$E$16+1,1))-AVERAGE(OFFSET($H$3,0,0,'Données projet'!$E$16+1,1))</f>
        <v>249.2899297828755</v>
      </c>
      <c r="FK100" s="62">
        <f t="shared" si="102"/>
        <v>162.88011837476813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92.422380113374146</v>
      </c>
      <c r="FR100" s="23">
        <f>EXP(-LN(2)/25)*FR99+(1-EXP(-LN(2)/25))/(LN(2)/25)*Calculateur!FM100*Calculateur!FO100*VLOOKUP('Données projet'!$B$16,Paramètres!$A$1:$I$89,3,0)*0.475*44/12</f>
        <v>6.8179027969603938</v>
      </c>
      <c r="FS100" s="23">
        <f>EXP(-LN(2)/2)*FS99+(1-EXP(-LN(2)/2))/(LN(2)/2)*FM100*FP100*VLOOKUP('Données projet'!$B$16,Paramètres!$A$1:$I$89,3,0)*0.475*44/12</f>
        <v>1.3776111662087731E-4</v>
      </c>
      <c r="FT100" s="24">
        <f t="shared" si="78"/>
        <v>99.240420671451162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1.7053025658242404E-13</v>
      </c>
      <c r="GA100" s="18">
        <f>FZ100*VLOOKUP('Données projet'!$B$17,Paramètres!$A$1:$I$89,3,0)*VLOOKUP('Données projet'!$B$17,Paramètres!$A$1:$I$89,5,0)</f>
        <v>1.1439169611549005E-13</v>
      </c>
      <c r="GB100" s="14">
        <f t="shared" si="103"/>
        <v>1.6918016515029816E-12</v>
      </c>
      <c r="GC100" s="22">
        <f t="shared" si="79"/>
        <v>3.1457867471021712E-12</v>
      </c>
      <c r="GD100" s="62">
        <f t="shared" si="80"/>
        <v>293.33333333333644</v>
      </c>
      <c r="GE100" s="62">
        <f ca="1">AVERAGE(OFFSET($GD$3,0,0,'Données projet'!$E$17+1,1))-AVERAGE(OFFSET($H$3,0,0,'Données projet'!$E$17+1,1))</f>
        <v>218.89895999738746</v>
      </c>
      <c r="GF100" s="62">
        <f t="shared" si="104"/>
        <v>145.64042897395763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97.967722920176598</v>
      </c>
      <c r="GM100" s="23">
        <f>EXP(-LN(2)/25)*GM99+(1-EXP(-LN(2)/25))/(LN(2)/25)*Calculateur!GH100*Calculateur!GJ100*VLOOKUP('Données projet'!$B$17,Paramètres!$A$1:$I$89,3,0)*0.475*44/12</f>
        <v>7.2269769647780189</v>
      </c>
      <c r="GN100" s="23">
        <f>EXP(-LN(2)/2)*GN99+(1-EXP(-LN(2)/2))/(LN(2)/2)*GH100*GK100*VLOOKUP('Données projet'!$B$17,Paramètres!$A$1:$I$89,3,0)*0.475*44/12</f>
        <v>1.184745602939548E-4</v>
      </c>
      <c r="GO100" s="23">
        <f t="shared" si="81"/>
        <v>105.19481835951491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1.7053025658242404E-13</v>
      </c>
      <c r="GV100" s="18">
        <f>GU100*VLOOKUP('Données projet'!$B$18,Paramètres!$A$1:$I$89,3,0)*VLOOKUP('Données projet'!$B$18,Paramètres!$A$1:$I$89,5,0)</f>
        <v>1.8355876818532125E-13</v>
      </c>
      <c r="GW100" s="14">
        <f t="shared" si="105"/>
        <v>2.5693529898865504E-12</v>
      </c>
      <c r="GX100" s="22">
        <f t="shared" si="82"/>
        <v>4.7946546453085093E-12</v>
      </c>
      <c r="GY100" s="62">
        <f t="shared" si="83"/>
        <v>293.33333333333809</v>
      </c>
      <c r="GZ100" s="62">
        <f ca="1">AVERAGE(OFFSET($GY$3,0,0,'Données projet'!$E$18+1,1))-AVERAGE(OFFSET($H$3,0,0,'Données projet'!$E$18+1,1))</f>
        <v>331.3579800635751</v>
      </c>
      <c r="HA100" s="62">
        <f t="shared" si="106"/>
        <v>209.40702003535273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127.54288455645624</v>
      </c>
      <c r="HH100" s="23">
        <f>EXP(-LN(2)/25)*HH99+(1-EXP(-LN(2)/25))/(LN(2)/25)*Calculateur!HC100*Calculateur!HE100*VLOOKUP('Données projet'!$B$18,Paramètres!$A$1:$I$89,3,0)*0.475*44/12</f>
        <v>9.4087058598053517</v>
      </c>
      <c r="HI100" s="23">
        <f>EXP(-LN(2)/2)*HI99+(1-EXP(-LN(2)/2))/(LN(2)/2)*HC100*HF100*VLOOKUP('Données projet'!$B$18,Paramètres!$A$1:$I$89,3,0)*0.475*44/12</f>
        <v>1.9011034093681075E-4</v>
      </c>
      <c r="HJ100" s="24">
        <f t="shared" si="84"/>
        <v>136.95178052660251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57.880714285714312</v>
      </c>
      <c r="N101" s="14">
        <f>IF('Données projet'!$A$36&gt;35,N100+M101-V100,IF(A101&lt;'Données projet'!$A$36,$K$205^A101,IF(A101='Données projet'!$A$36,'Données projet'!$B$36,N100+M101-V100)))</f>
        <v>1764.6407142857138</v>
      </c>
      <c r="O101" s="14">
        <f>N101*VLOOKUP('Données projet'!$B$9,Paramètres!$A$1:$I$89,3,0)*VLOOKUP('Données projet'!$B$9,Paramètres!$A$1:$I$89,5,0)</f>
        <v>1596.6469182857138</v>
      </c>
      <c r="P101" s="14">
        <f t="shared" si="87"/>
        <v>311.82249165348713</v>
      </c>
      <c r="Q101" s="22">
        <f t="shared" si="107"/>
        <v>3323.9175556441078</v>
      </c>
      <c r="R101" s="62">
        <f t="shared" si="55"/>
        <v>3617.2508889774413</v>
      </c>
      <c r="S101" s="62">
        <f ca="1">AVERAGE(OFFSET($R$3,0,0,'Données projet'!$E$9+1,1))-AVERAGE(OFFSET($H$3,0,0,'Données projet'!$E$9+1,1))</f>
        <v>2472.5049373954762</v>
      </c>
      <c r="T101" s="62">
        <f t="shared" si="88"/>
        <v>286.98388307318311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234.31126242002046</v>
      </c>
      <c r="AA101" s="23">
        <f>EXP(-LN(2)/25)*AA100+(1-EXP(-LN(2)/25))/(LN(2)/25)*Calculateur!V101*Calculateur!X101*VLOOKUP('Données projet'!$B$9,Paramètres!$A$1:$I$89,3,0)*0.475*44/12</f>
        <v>25.100621372956091</v>
      </c>
      <c r="AB101" s="23">
        <f>EXP(-LN(2)/2)*AB100+(1-EXP(-LN(2)/2))/(LN(2)/2)*V101*Y101*VLOOKUP('Données projet'!$B$9,Paramètres!$A$1:$I$89,3,0)*0.475*44/12</f>
        <v>23.36933536335868</v>
      </c>
      <c r="AC101" s="24">
        <f t="shared" si="57"/>
        <v>282.78121915633523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57.880714285714312</v>
      </c>
      <c r="AI101" s="14">
        <f>IF('Données projet'!$A$62&gt;35,AI100+AH101-AQ100,IF(A101&lt;'Données projet'!$A$62,$AF$205^A101,IF(A101='Données projet'!$A$62,'Données projet'!$B$62,AI100+AH101-AQ100)))</f>
        <v>1764.6407142857138</v>
      </c>
      <c r="AJ101" s="14">
        <f>AI101*VLOOKUP('Données projet'!$B$10,Paramètres!$A$1:$I$89,3,0)*VLOOKUP('Données projet'!$B$10,Paramètres!$A$1:$I$89,5,0)</f>
        <v>1789.3456842857138</v>
      </c>
      <c r="AK101" s="14">
        <f t="shared" si="89"/>
        <v>344.85196447087202</v>
      </c>
      <c r="AL101" s="22">
        <f t="shared" si="58"/>
        <v>3717.0609049177197</v>
      </c>
      <c r="AM101" s="62">
        <f t="shared" si="59"/>
        <v>4010.3942382510531</v>
      </c>
      <c r="AN101" s="62">
        <f ca="1">AVERAGE(OFFSET($AM$3,0,0,'Données projet'!$E$10+1,1))-AVERAGE(OFFSET($H$3,0,0,'Données projet'!$E$10+1,1))</f>
        <v>2761.1400657295467</v>
      </c>
      <c r="AO101" s="62">
        <f t="shared" si="90"/>
        <v>316.41877504316409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262.59020788450567</v>
      </c>
      <c r="AV101" s="23">
        <f>EXP(-LN(2)/25)*AV100+(1-EXP(-LN(2)/25))/(LN(2)/25)*Calculateur!AQ101*Calculateur!AS101*VLOOKUP('Données projet'!$B$10,Paramètres!$A$1:$I$89,3,0)*0.475*44/12</f>
        <v>28.130006711071477</v>
      </c>
      <c r="AW101" s="23">
        <f>EXP(-LN(2)/2)*AW100+(1-EXP(-LN(2)/2))/(LN(2)/2)*AQ101*AT101*VLOOKUP('Données projet'!$B$10,Paramètres!$A$1:$I$89,3,0)*0.475*44/12</f>
        <v>26.189772389970933</v>
      </c>
      <c r="AX101" s="23">
        <f t="shared" si="60"/>
        <v>316.90998698554807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57.880714285714312</v>
      </c>
      <c r="BD101" s="13">
        <f>IF('Données projet'!$A$88&gt;35,BD100+BC101-BL100,IF(A101&lt;'Données projet'!$A$88,$BA$205^A101,IF(A101='Données projet'!$A$88,'Données projet'!$B$88,BD100+BC101-BL100)))</f>
        <v>1764.6407142857138</v>
      </c>
      <c r="BE101" s="14">
        <f>BD101*VLOOKUP('Données projet'!$B$11,Paramètres!$A$1:$I$89,3,0)*VLOOKUP('Données projet'!$B$11,Paramètres!$A$1:$I$89,5,0)</f>
        <v>1844.402474571428</v>
      </c>
      <c r="BF101" s="14">
        <f t="shared" si="91"/>
        <v>354.2110929815571</v>
      </c>
      <c r="BG101" s="22">
        <f t="shared" si="61"/>
        <v>3829.2519634881155</v>
      </c>
      <c r="BH101" s="62">
        <f t="shared" si="62"/>
        <v>4122.5852968214485</v>
      </c>
      <c r="BI101" s="62">
        <f ca="1">AVERAGE(OFFSET($BH$3,0,0,'Données projet'!$E$11+1,1))-AVERAGE(OFFSET($H$3,0,0,'Données projet'!$E$11+1,1))</f>
        <v>2843.5086223152098</v>
      </c>
      <c r="BJ101" s="62">
        <f t="shared" si="92"/>
        <v>324.81562437645522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270.66990658864427</v>
      </c>
      <c r="BQ101" s="23">
        <f>EXP(-LN(2)/25)*BQ100+(1-EXP(-LN(2)/25))/(LN(2)/25)*Calculateur!BL101*Calculateur!BN101*VLOOKUP('Données projet'!$B$11,Paramètres!$A$1:$I$89,3,0)*0.475*44/12</f>
        <v>28.995545379104446</v>
      </c>
      <c r="BR101" s="23">
        <f>EXP(-LN(2)/2)*BR100+(1-EXP(-LN(2)/2))/(LN(2)/2)*BL101*BO101*VLOOKUP('Données projet'!$B$11,Paramètres!$A$1:$I$89,3,0)*0.475*44/12</f>
        <v>26.995611540431579</v>
      </c>
      <c r="BS101" s="24">
        <f t="shared" si="63"/>
        <v>326.66106350818029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57.880714285714312</v>
      </c>
      <c r="BY101" s="13">
        <f>IF('Données projet'!$A$114&gt;35,BY100+BX101-CG100,IF(A101&lt;'Données projet'!$A$114,$BV$205^A101,IF(A101='Données projet'!$A$114,'Données projet'!$B$114,BY100+BX101-CG100)))</f>
        <v>1764.6407142857138</v>
      </c>
      <c r="BZ101" s="14">
        <f>BY101*VLOOKUP('Données projet'!$B$12,Paramètres!$A$1:$I$89,3,0)*VLOOKUP('Données projet'!$B$12,Paramètres!$A$1:$I$89,5,0)</f>
        <v>1761.8172891428569</v>
      </c>
      <c r="CA101" s="14">
        <f t="shared" si="93"/>
        <v>340.15987824980579</v>
      </c>
      <c r="CB101" s="22">
        <f t="shared" si="64"/>
        <v>3660.9435665422202</v>
      </c>
      <c r="CC101" s="62">
        <f t="shared" si="65"/>
        <v>3954.2768998755537</v>
      </c>
      <c r="CD101" s="62">
        <f ca="1">AVERAGE(OFFSET($CC$3,0,0,'Données projet'!$E$12+1,1))-AVERAGE(OFFSET($H$3,0,0,'Données projet'!$E$12+1,1))</f>
        <v>2719.939926994799</v>
      </c>
      <c r="CE101" s="62">
        <f t="shared" si="94"/>
        <v>312.21824046329749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258.55035853243629</v>
      </c>
      <c r="CL101" s="23">
        <f>EXP(-LN(2)/25)*CL100+(1-EXP(-LN(2)/25))/(LN(2)/25)*Calculateur!CG101*Calculateur!CI101*VLOOKUP('Données projet'!$B$12,Paramètres!$A$1:$I$89,3,0)*0.475*44/12</f>
        <v>27.697237377054989</v>
      </c>
      <c r="CM101" s="23">
        <f>EXP(-LN(2)/2)*CM100+(1-EXP(-LN(2)/2))/(LN(2)/2)*CG101*CJ101*VLOOKUP('Données projet'!$B$12,Paramètres!$A$1:$I$89,3,0)*0.475*44/12</f>
        <v>25.786852814740612</v>
      </c>
      <c r="CN101" s="24">
        <f t="shared" si="66"/>
        <v>312.03444872423188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1.1368683772161603E-12</v>
      </c>
      <c r="CU101" s="18">
        <f>CT101*VLOOKUP('Données projet'!$B$13,Paramètres!$A$1:$I$89,3,0)*VLOOKUP('Données projet'!$B$13,Paramètres!$A$1:$I$89,5,0)</f>
        <v>9.9316821433603771E-13</v>
      </c>
      <c r="CV101" s="14">
        <f t="shared" si="95"/>
        <v>1.1421454694498936E-11</v>
      </c>
      <c r="CW101" s="22">
        <f t="shared" si="67"/>
        <v>2.1622134899554243E-11</v>
      </c>
      <c r="CX101" s="62">
        <f t="shared" si="68"/>
        <v>293.33333333335491</v>
      </c>
      <c r="CY101" s="62">
        <f ca="1">AVERAGE(OFFSET($CX$3,0,0,'Données projet'!$E$13+1,1))-AVERAGE(OFFSET($H$3,0,0,'Données projet'!$E$13+1,1))</f>
        <v>1036.0130072090849</v>
      </c>
      <c r="CZ101" s="62">
        <f t="shared" si="96"/>
        <v>346.56593355696174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468.86987997206131</v>
      </c>
      <c r="DG101" s="23">
        <f>EXP(-LN(2)/25)*DG100+(1-EXP(-LN(2)/25))/(LN(2)/25)*Calculateur!DB101*Calculateur!DD101*VLOOKUP('Données projet'!$B$13,Paramètres!$A$1:$I$89,3,0)*0.475*44/12</f>
        <v>25.69327953830161</v>
      </c>
      <c r="DH101" s="23">
        <f>EXP(-LN(2)/2)*DH100+(1-EXP(-LN(2)/2))/(LN(2)/2)*DB101*DE101*VLOOKUP('Données projet'!$B$13,Paramètres!$A$1:$I$89,3,0)*0.475*44/12</f>
        <v>0.17651370234113312</v>
      </c>
      <c r="DI101" s="24">
        <f t="shared" si="69"/>
        <v>494.73967321270408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6.8212102632969618E-13</v>
      </c>
      <c r="DP101" s="18">
        <f>DO101*VLOOKUP('Données projet'!$B$14,Paramètres!$A$1:$I$89,3,0)*VLOOKUP('Données projet'!$B$14,Paramètres!$A$1:$I$89,5,0)</f>
        <v>3.8130565371830017E-13</v>
      </c>
      <c r="DQ101" s="14">
        <f t="shared" si="97"/>
        <v>4.9019074112354236E-12</v>
      </c>
      <c r="DR101" s="22">
        <f t="shared" si="70"/>
        <v>9.2015960881277352E-12</v>
      </c>
      <c r="DS101" s="62">
        <f t="shared" si="71"/>
        <v>293.33333333334252</v>
      </c>
      <c r="DT101" s="62">
        <f ca="1">AVERAGE(OFFSET($DS$3,0,0,'Données projet'!$E$14+1,1))-AVERAGE(OFFSET($H$3,0,0,'Données projet'!$E$14+1,1))</f>
        <v>446.48069057792151</v>
      </c>
      <c r="DU101" s="62">
        <f t="shared" si="98"/>
        <v>561.75656782935948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87.004581524288909</v>
      </c>
      <c r="EB101" s="23">
        <f>EXP(-LN(2)/25)*EB100+(1-EXP(-LN(2)/25))/(LN(2)/25)*Calculateur!DW101*Calculateur!DY101*VLOOKUP('Données projet'!$B$14,Paramètres!$A$1:$I$89,3,0)*0.475*44/12</f>
        <v>28.25562817964963</v>
      </c>
      <c r="EC101" s="23">
        <f>EXP(-LN(2)/2)*EC100+(1-EXP(-LN(2)/2))/(LN(2)/2)*DW101*DZ101*VLOOKUP('Données projet'!$B$14,Paramètres!$A$1:$I$89,3,0)*0.475*44/12</f>
        <v>2.5593790417144168E-4</v>
      </c>
      <c r="ED101" s="24">
        <f t="shared" si="72"/>
        <v>115.26046564184271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1.7053025658242404E-13</v>
      </c>
      <c r="EK101" s="18">
        <f>EJ101*VLOOKUP('Données projet'!$B$15,Paramètres!$A$1:$I$89,3,0)*VLOOKUP('Données projet'!$B$15,Paramètres!$A$1:$I$89,5,0)</f>
        <v>1.6493686416652052E-13</v>
      </c>
      <c r="EL101" s="14">
        <f t="shared" si="99"/>
        <v>2.3376205369651282E-12</v>
      </c>
      <c r="EM101" s="22">
        <f t="shared" si="73"/>
        <v>4.3586208069709543E-12</v>
      </c>
      <c r="EN101" s="62">
        <f t="shared" si="74"/>
        <v>293.33333333333769</v>
      </c>
      <c r="EO101" s="62">
        <f ca="1">AVERAGE(OFFSET($EN$3,0,0,'Données projet'!$E$15+1,1))-AVERAGE(OFFSET($H$3,0,0,'Données projet'!$E$15+1,1))</f>
        <v>301.18531163828169</v>
      </c>
      <c r="EP101" s="62">
        <f t="shared" si="100"/>
        <v>192.30530273268101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112.35644167818121</v>
      </c>
      <c r="EW101" s="23">
        <f>EXP(-LN(2)/25)*EW100+(1-EXP(-LN(2)/25))/(LN(2)/25)*Calculateur!ER101*Calculateur!ET101*VLOOKUP('Données projet'!$B$15,Paramètres!$A$1:$I$89,3,0)*0.475*44/12</f>
        <v>8.2230189391850939</v>
      </c>
      <c r="EX101" s="23">
        <f>EXP(-LN(2)/2)*EX100+(1-EXP(-LN(2)/2))/(LN(2)/2)*ER101*EU101*VLOOKUP('Données projet'!$B$15,Paramètres!$A$1:$I$89,3,0)*0.475*44/12</f>
        <v>1.2079065648560222E-4</v>
      </c>
      <c r="EY101" s="24">
        <f t="shared" si="75"/>
        <v>120.57958140802279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1.7053025658242404E-13</v>
      </c>
      <c r="FF101" s="18">
        <f>FE101*VLOOKUP('Données projet'!$B$16,Paramètres!$A$1:$I$89,3,0)*VLOOKUP('Données projet'!$B$16,Paramètres!$A$1:$I$89,5,0)</f>
        <v>1.3301360013429075E-13</v>
      </c>
      <c r="FG101" s="14">
        <f t="shared" si="101"/>
        <v>1.9329766731057041E-12</v>
      </c>
      <c r="FH101" s="22">
        <f t="shared" si="76"/>
        <v>3.5982663925596575E-12</v>
      </c>
      <c r="FI101" s="62">
        <f t="shared" si="77"/>
        <v>293.3333333333369</v>
      </c>
      <c r="FJ101" s="62">
        <f ca="1">AVERAGE(OFFSET($FI$3,0,0,'Données projet'!$E$16+1,1))-AVERAGE(OFFSET($H$3,0,0,'Données projet'!$E$16+1,1))</f>
        <v>249.2899297828755</v>
      </c>
      <c r="FK101" s="62">
        <f t="shared" si="102"/>
        <v>162.88011837476813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90.610033611436464</v>
      </c>
      <c r="FR101" s="23">
        <f>EXP(-LN(2)/25)*FR100+(1-EXP(-LN(2)/25))/(LN(2)/25)*Calculateur!FM101*Calculateur!FO101*VLOOKUP('Données projet'!$B$16,Paramètres!$A$1:$I$89,3,0)*0.475*44/12</f>
        <v>6.6314668864395863</v>
      </c>
      <c r="FS101" s="23">
        <f>EXP(-LN(2)/2)*FS100+(1-EXP(-LN(2)/2))/(LN(2)/2)*FM101*FP101*VLOOKUP('Données projet'!$B$16,Paramètres!$A$1:$I$89,3,0)*0.475*44/12</f>
        <v>9.7411819746453152E-5</v>
      </c>
      <c r="FT101" s="24">
        <f t="shared" si="78"/>
        <v>97.241597909695798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1.7053025658242404E-13</v>
      </c>
      <c r="GA101" s="18">
        <f>FZ101*VLOOKUP('Données projet'!$B$17,Paramètres!$A$1:$I$89,3,0)*VLOOKUP('Données projet'!$B$17,Paramètres!$A$1:$I$89,5,0)</f>
        <v>1.1439169611549005E-13</v>
      </c>
      <c r="GB101" s="14">
        <f t="shared" si="103"/>
        <v>1.6918016515029816E-12</v>
      </c>
      <c r="GC101" s="22">
        <f t="shared" si="79"/>
        <v>3.1457867471021712E-12</v>
      </c>
      <c r="GD101" s="62">
        <f t="shared" si="80"/>
        <v>293.33333333333644</v>
      </c>
      <c r="GE101" s="62">
        <f ca="1">AVERAGE(OFFSET($GD$3,0,0,'Données projet'!$E$17+1,1))-AVERAGE(OFFSET($H$3,0,0,'Données projet'!$E$17+1,1))</f>
        <v>218.89895999738746</v>
      </c>
      <c r="GF101" s="62">
        <f t="shared" si="104"/>
        <v>145.64042897395763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96.046635628122658</v>
      </c>
      <c r="GM101" s="23">
        <f>EXP(-LN(2)/25)*GM100+(1-EXP(-LN(2)/25))/(LN(2)/25)*Calculateur!GH101*Calculateur!GJ101*VLOOKUP('Données projet'!$B$17,Paramètres!$A$1:$I$89,3,0)*0.475*44/12</f>
        <v>7.0293548996259627</v>
      </c>
      <c r="GN101" s="23">
        <f>EXP(-LN(2)/2)*GN100+(1-EXP(-LN(2)/2))/(LN(2)/2)*GH101*GK101*VLOOKUP('Données projet'!$B$17,Paramètres!$A$1:$I$89,3,0)*0.475*44/12</f>
        <v>8.3774164981949937E-5</v>
      </c>
      <c r="GO101" s="23">
        <f t="shared" si="81"/>
        <v>103.07607430191359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1.7053025658242404E-13</v>
      </c>
      <c r="GV101" s="18">
        <f>GU101*VLOOKUP('Données projet'!$B$18,Paramètres!$A$1:$I$89,3,0)*VLOOKUP('Données projet'!$B$18,Paramètres!$A$1:$I$89,5,0)</f>
        <v>1.8355876818532125E-13</v>
      </c>
      <c r="GW101" s="14">
        <f t="shared" si="105"/>
        <v>2.5693529898865504E-12</v>
      </c>
      <c r="GX101" s="22">
        <f t="shared" si="82"/>
        <v>4.7946546453085093E-12</v>
      </c>
      <c r="GY101" s="62">
        <f t="shared" si="83"/>
        <v>293.33333333333809</v>
      </c>
      <c r="GZ101" s="62">
        <f ca="1">AVERAGE(OFFSET($GY$3,0,0,'Données projet'!$E$18+1,1))-AVERAGE(OFFSET($H$3,0,0,'Données projet'!$E$18+1,1))</f>
        <v>331.3579800635751</v>
      </c>
      <c r="HA101" s="62">
        <f t="shared" si="106"/>
        <v>209.40702003535273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125.04184638378224</v>
      </c>
      <c r="HH101" s="23">
        <f>EXP(-LN(2)/25)*HH100+(1-EXP(-LN(2)/25))/(LN(2)/25)*Calculateur!HC101*Calculateur!HE101*VLOOKUP('Données projet'!$B$18,Paramètres!$A$1:$I$89,3,0)*0.475*44/12</f>
        <v>9.1514243032866371</v>
      </c>
      <c r="HI101" s="23">
        <f>EXP(-LN(2)/2)*HI100+(1-EXP(-LN(2)/2))/(LN(2)/2)*HC101*HF101*VLOOKUP('Données projet'!$B$18,Paramètres!$A$1:$I$89,3,0)*0.475*44/12</f>
        <v>1.3442831125010538E-4</v>
      </c>
      <c r="HJ101" s="24">
        <f t="shared" si="84"/>
        <v>134.19340511538013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57.880714285714312</v>
      </c>
      <c r="N102" s="14">
        <f>IF('Données projet'!$A$36&gt;35,N101+M102-V101,IF(A102&lt;'Données projet'!$A$36,$K$205^A102,IF(A102='Données projet'!$A$36,'Données projet'!$B$36,N101+M102-V101)))</f>
        <v>1822.521428571428</v>
      </c>
      <c r="O102" s="14">
        <f>N102*VLOOKUP('Données projet'!$B$9,Paramètres!$A$1:$I$89,3,0)*VLOOKUP('Données projet'!$B$9,Paramètres!$A$1:$I$89,5,0)</f>
        <v>1649.017388571428</v>
      </c>
      <c r="P102" s="14">
        <f t="shared" si="87"/>
        <v>320.84278886769681</v>
      </c>
      <c r="Q102" s="22">
        <f t="shared" si="107"/>
        <v>3430.8398090398091</v>
      </c>
      <c r="R102" s="62">
        <f t="shared" si="55"/>
        <v>3724.1731423731426</v>
      </c>
      <c r="S102" s="62">
        <f ca="1">AVERAGE(OFFSET($R$3,0,0,'Données projet'!$E$9+1,1))-AVERAGE(OFFSET($H$3,0,0,'Données projet'!$E$9+1,1))</f>
        <v>2472.5049373954762</v>
      </c>
      <c r="T102" s="62">
        <f t="shared" si="88"/>
        <v>286.98388307318311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229.71656147972217</v>
      </c>
      <c r="AA102" s="23">
        <f>EXP(-LN(2)/25)*AA101+(1-EXP(-LN(2)/25))/(LN(2)/25)*Calculateur!V102*Calculateur!X102*VLOOKUP('Données projet'!$B$9,Paramètres!$A$1:$I$89,3,0)*0.475*44/12</f>
        <v>24.414243561528298</v>
      </c>
      <c r="AB102" s="23">
        <f>EXP(-LN(2)/2)*AB101+(1-EXP(-LN(2)/2))/(LN(2)/2)*V102*Y102*VLOOKUP('Données projet'!$B$9,Paramètres!$A$1:$I$89,3,0)*0.475*44/12</f>
        <v>16.524615507253515</v>
      </c>
      <c r="AC102" s="24">
        <f t="shared" si="57"/>
        <v>270.65542054850403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57.880714285714312</v>
      </c>
      <c r="AI102" s="14">
        <f>IF('Données projet'!$A$62&gt;35,AI101+AH102-AQ101,IF(A102&lt;'Données projet'!$A$62,$AF$205^A102,IF(A102='Données projet'!$A$62,'Données projet'!$B$62,AI101+AH102-AQ101)))</f>
        <v>1822.521428571428</v>
      </c>
      <c r="AJ102" s="14">
        <f>AI102*VLOOKUP('Données projet'!$B$10,Paramètres!$A$1:$I$89,3,0)*VLOOKUP('Données projet'!$B$10,Paramètres!$A$1:$I$89,5,0)</f>
        <v>1848.0367285714283</v>
      </c>
      <c r="AK102" s="14">
        <f t="shared" si="89"/>
        <v>354.82772727725762</v>
      </c>
      <c r="AL102" s="22">
        <f t="shared" si="58"/>
        <v>3836.6555939364612</v>
      </c>
      <c r="AM102" s="62">
        <f t="shared" si="59"/>
        <v>4129.9889272697947</v>
      </c>
      <c r="AN102" s="62">
        <f ca="1">AVERAGE(OFFSET($AM$3,0,0,'Données projet'!$E$10+1,1))-AVERAGE(OFFSET($H$3,0,0,'Données projet'!$E$10+1,1))</f>
        <v>2761.1400657295467</v>
      </c>
      <c r="AO102" s="62">
        <f t="shared" si="90"/>
        <v>316.41877504316409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257.44097407210245</v>
      </c>
      <c r="AV102" s="23">
        <f>EXP(-LN(2)/25)*AV101+(1-EXP(-LN(2)/25))/(LN(2)/25)*Calculateur!AQ102*Calculateur!AS102*VLOOKUP('Données projet'!$B$10,Paramètres!$A$1:$I$89,3,0)*0.475*44/12</f>
        <v>27.360790198264468</v>
      </c>
      <c r="AW102" s="23">
        <f>EXP(-LN(2)/2)*AW101+(1-EXP(-LN(2)/2))/(LN(2)/2)*AQ102*AT102*VLOOKUP('Données projet'!$B$10,Paramètres!$A$1:$I$89,3,0)*0.475*44/12</f>
        <v>18.518965654680663</v>
      </c>
      <c r="AX102" s="23">
        <f t="shared" si="60"/>
        <v>303.32072992504754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57.880714285714312</v>
      </c>
      <c r="BD102" s="13">
        <f>IF('Données projet'!$A$88&gt;35,BD101+BC102-BL101,IF(A102&lt;'Données projet'!$A$88,$BA$205^A102,IF(A102='Données projet'!$A$88,'Données projet'!$B$88,BD101+BC102-BL101)))</f>
        <v>1822.521428571428</v>
      </c>
      <c r="BE102" s="14">
        <f>BD102*VLOOKUP('Données projet'!$B$11,Paramètres!$A$1:$I$89,3,0)*VLOOKUP('Données projet'!$B$11,Paramètres!$A$1:$I$89,5,0)</f>
        <v>1904.8993971428567</v>
      </c>
      <c r="BF102" s="14">
        <f t="shared" si="91"/>
        <v>364.4575935412866</v>
      </c>
      <c r="BG102" s="22">
        <f t="shared" si="61"/>
        <v>3952.46342544155</v>
      </c>
      <c r="BH102" s="62">
        <f t="shared" si="62"/>
        <v>4245.7967587748835</v>
      </c>
      <c r="BI102" s="62">
        <f ca="1">AVERAGE(OFFSET($BH$3,0,0,'Données projet'!$E$11+1,1))-AVERAGE(OFFSET($H$3,0,0,'Données projet'!$E$11+1,1))</f>
        <v>2843.5086223152098</v>
      </c>
      <c r="BJ102" s="62">
        <f t="shared" si="92"/>
        <v>324.81562437645522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265.36223481278245</v>
      </c>
      <c r="BQ102" s="23">
        <f>EXP(-LN(2)/25)*BQ101+(1-EXP(-LN(2)/25))/(LN(2)/25)*Calculateur!BL102*Calculateur!BN102*VLOOKUP('Données projet'!$B$11,Paramètres!$A$1:$I$89,3,0)*0.475*44/12</f>
        <v>28.202660665903373</v>
      </c>
      <c r="BR102" s="23">
        <f>EXP(-LN(2)/2)*BR101+(1-EXP(-LN(2)/2))/(LN(2)/2)*BL102*BO102*VLOOKUP('Données projet'!$B$11,Paramètres!$A$1:$I$89,3,0)*0.475*44/12</f>
        <v>19.088779982516989</v>
      </c>
      <c r="BS102" s="24">
        <f t="shared" si="63"/>
        <v>312.65367546120279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57.880714285714312</v>
      </c>
      <c r="BY102" s="13">
        <f>IF('Données projet'!$A$114&gt;35,BY101+BX102-CG101,IF(A102&lt;'Données projet'!$A$114,$BV$205^A102,IF(A102='Données projet'!$A$114,'Données projet'!$B$114,BY101+BX102-CG101)))</f>
        <v>1822.521428571428</v>
      </c>
      <c r="BZ102" s="14">
        <f>BY102*VLOOKUP('Données projet'!$B$12,Paramètres!$A$1:$I$89,3,0)*VLOOKUP('Données projet'!$B$12,Paramètres!$A$1:$I$89,5,0)</f>
        <v>1819.6053942857138</v>
      </c>
      <c r="CA102" s="14">
        <f t="shared" si="93"/>
        <v>349.9999099482643</v>
      </c>
      <c r="CB102" s="22">
        <f t="shared" si="64"/>
        <v>3778.7292382075116</v>
      </c>
      <c r="CC102" s="62">
        <f t="shared" si="65"/>
        <v>4072.0625715408451</v>
      </c>
      <c r="CD102" s="62">
        <f ca="1">AVERAGE(OFFSET($CC$3,0,0,'Données projet'!$E$12+1,1))-AVERAGE(OFFSET($H$3,0,0,'Données projet'!$E$12+1,1))</f>
        <v>2719.939926994799</v>
      </c>
      <c r="CE102" s="62">
        <f t="shared" si="94"/>
        <v>312.21824046329749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253.48034370176234</v>
      </c>
      <c r="CL102" s="23">
        <f>EXP(-LN(2)/25)*CL101+(1-EXP(-LN(2)/25))/(LN(2)/25)*Calculateur!CG102*Calculateur!CI102*VLOOKUP('Données projet'!$B$12,Paramètres!$A$1:$I$89,3,0)*0.475*44/12</f>
        <v>26.939854964445011</v>
      </c>
      <c r="CM102" s="23">
        <f>EXP(-LN(2)/2)*CM101+(1-EXP(-LN(2)/2))/(LN(2)/2)*CG102*CJ102*VLOOKUP('Données projet'!$B$12,Paramètres!$A$1:$I$89,3,0)*0.475*44/12</f>
        <v>18.2340584907625</v>
      </c>
      <c r="CN102" s="24">
        <f t="shared" si="66"/>
        <v>298.65425715696983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1.1368683772161603E-12</v>
      </c>
      <c r="CU102" s="18">
        <f>CT102*VLOOKUP('Données projet'!$B$13,Paramètres!$A$1:$I$89,3,0)*VLOOKUP('Données projet'!$B$13,Paramètres!$A$1:$I$89,5,0)</f>
        <v>9.9316821433603771E-13</v>
      </c>
      <c r="CV102" s="14">
        <f t="shared" si="95"/>
        <v>1.1421454694498936E-11</v>
      </c>
      <c r="CW102" s="22">
        <f t="shared" si="67"/>
        <v>2.1622134899554243E-11</v>
      </c>
      <c r="CX102" s="62">
        <f t="shared" si="68"/>
        <v>293.33333333335491</v>
      </c>
      <c r="CY102" s="62">
        <f ca="1">AVERAGE(OFFSET($CX$3,0,0,'Données projet'!$E$13+1,1))-AVERAGE(OFFSET($H$3,0,0,'Données projet'!$E$13+1,1))</f>
        <v>1036.0130072090849</v>
      </c>
      <c r="CZ102" s="62">
        <f t="shared" si="96"/>
        <v>346.56593355696174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459.67562760819754</v>
      </c>
      <c r="DG102" s="23">
        <f>EXP(-LN(2)/25)*DG101+(1-EXP(-LN(2)/25))/(LN(2)/25)*Calculateur!DB102*Calculateur!DD102*VLOOKUP('Données projet'!$B$13,Paramètres!$A$1:$I$89,3,0)*0.475*44/12</f>
        <v>24.990695458175903</v>
      </c>
      <c r="DH102" s="23">
        <f>EXP(-LN(2)/2)*DH101+(1-EXP(-LN(2)/2))/(LN(2)/2)*DB102*DE102*VLOOKUP('Données projet'!$B$13,Paramètres!$A$1:$I$89,3,0)*0.475*44/12</f>
        <v>0.12481403589775901</v>
      </c>
      <c r="DI102" s="24">
        <f t="shared" si="69"/>
        <v>484.79113710227119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6.8212102632969618E-13</v>
      </c>
      <c r="DP102" s="18">
        <f>DO102*VLOOKUP('Données projet'!$B$14,Paramètres!$A$1:$I$89,3,0)*VLOOKUP('Données projet'!$B$14,Paramètres!$A$1:$I$89,5,0)</f>
        <v>3.8130565371830017E-13</v>
      </c>
      <c r="DQ102" s="14">
        <f t="shared" si="97"/>
        <v>4.9019074112354236E-12</v>
      </c>
      <c r="DR102" s="22">
        <f t="shared" si="70"/>
        <v>9.2015960881277352E-12</v>
      </c>
      <c r="DS102" s="62">
        <f t="shared" si="71"/>
        <v>293.33333333334252</v>
      </c>
      <c r="DT102" s="62">
        <f ca="1">AVERAGE(OFFSET($DS$3,0,0,'Données projet'!$E$14+1,1))-AVERAGE(OFFSET($H$3,0,0,'Données projet'!$E$14+1,1))</f>
        <v>446.48069057792151</v>
      </c>
      <c r="DU102" s="62">
        <f t="shared" si="98"/>
        <v>561.75656782935948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85.298474748152344</v>
      </c>
      <c r="EB102" s="23">
        <f>EXP(-LN(2)/25)*EB101+(1-EXP(-LN(2)/25))/(LN(2)/25)*Calculateur!DW102*Calculateur!DY102*VLOOKUP('Données projet'!$B$14,Paramètres!$A$1:$I$89,3,0)*0.475*44/12</f>
        <v>27.482976541178203</v>
      </c>
      <c r="EC102" s="23">
        <f>EXP(-LN(2)/2)*EC101+(1-EXP(-LN(2)/2))/(LN(2)/2)*DW102*DZ102*VLOOKUP('Données projet'!$B$14,Paramètres!$A$1:$I$89,3,0)*0.475*44/12</f>
        <v>1.8097542760229919E-4</v>
      </c>
      <c r="ED102" s="24">
        <f t="shared" si="72"/>
        <v>112.78163226475814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1.7053025658242404E-13</v>
      </c>
      <c r="EK102" s="18">
        <f>EJ102*VLOOKUP('Données projet'!$B$15,Paramètres!$A$1:$I$89,3,0)*VLOOKUP('Données projet'!$B$15,Paramètres!$A$1:$I$89,5,0)</f>
        <v>1.6493686416652052E-13</v>
      </c>
      <c r="EL102" s="14">
        <f t="shared" si="99"/>
        <v>2.3376205369651282E-12</v>
      </c>
      <c r="EM102" s="22">
        <f t="shared" si="73"/>
        <v>4.3586208069709543E-12</v>
      </c>
      <c r="EN102" s="62">
        <f t="shared" si="74"/>
        <v>293.33333333333769</v>
      </c>
      <c r="EO102" s="62">
        <f ca="1">AVERAGE(OFFSET($EN$3,0,0,'Données projet'!$E$15+1,1))-AVERAGE(OFFSET($H$3,0,0,'Données projet'!$E$15+1,1))</f>
        <v>301.18531163828169</v>
      </c>
      <c r="EP102" s="62">
        <f t="shared" si="100"/>
        <v>192.30530273268101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110.15320038753467</v>
      </c>
      <c r="EW102" s="23">
        <f>EXP(-LN(2)/25)*EW101+(1-EXP(-LN(2)/25))/(LN(2)/25)*Calculateur!ER102*Calculateur!ET102*VLOOKUP('Données projet'!$B$15,Paramètres!$A$1:$I$89,3,0)*0.475*44/12</f>
        <v>7.9981600538633053</v>
      </c>
      <c r="EX102" s="23">
        <f>EXP(-LN(2)/2)*EX101+(1-EXP(-LN(2)/2))/(LN(2)/2)*ER102*EU102*VLOOKUP('Données projet'!$B$15,Paramètres!$A$1:$I$89,3,0)*0.475*44/12</f>
        <v>8.5411892304944166E-5</v>
      </c>
      <c r="EY102" s="24">
        <f t="shared" si="75"/>
        <v>118.15144585329027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1.7053025658242404E-13</v>
      </c>
      <c r="FF102" s="18">
        <f>FE102*VLOOKUP('Données projet'!$B$16,Paramètres!$A$1:$I$89,3,0)*VLOOKUP('Données projet'!$B$16,Paramètres!$A$1:$I$89,5,0)</f>
        <v>1.3301360013429075E-13</v>
      </c>
      <c r="FG102" s="14">
        <f t="shared" si="101"/>
        <v>1.9329766731057041E-12</v>
      </c>
      <c r="FH102" s="22">
        <f t="shared" si="76"/>
        <v>3.5982663925596575E-12</v>
      </c>
      <c r="FI102" s="62">
        <f t="shared" si="77"/>
        <v>293.3333333333369</v>
      </c>
      <c r="FJ102" s="62">
        <f ca="1">AVERAGE(OFFSET($FI$3,0,0,'Données projet'!$E$16+1,1))-AVERAGE(OFFSET($H$3,0,0,'Données projet'!$E$16+1,1))</f>
        <v>249.2899297828755</v>
      </c>
      <c r="FK102" s="62">
        <f t="shared" si="102"/>
        <v>162.88011837476813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88.833226118979567</v>
      </c>
      <c r="FR102" s="23">
        <f>EXP(-LN(2)/25)*FR101+(1-EXP(-LN(2)/25))/(LN(2)/25)*Calculateur!FM102*Calculateur!FO102*VLOOKUP('Données projet'!$B$16,Paramètres!$A$1:$I$89,3,0)*0.475*44/12</f>
        <v>6.4501290756962089</v>
      </c>
      <c r="FS102" s="23">
        <f>EXP(-LN(2)/2)*FS101+(1-EXP(-LN(2)/2))/(LN(2)/2)*FM102*FP102*VLOOKUP('Données projet'!$B$16,Paramètres!$A$1:$I$89,3,0)*0.475*44/12</f>
        <v>6.8880558310438657E-5</v>
      </c>
      <c r="FT102" s="24">
        <f t="shared" si="78"/>
        <v>95.283424075234095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1.7053025658242404E-13</v>
      </c>
      <c r="GA102" s="18">
        <f>FZ102*VLOOKUP('Données projet'!$B$17,Paramètres!$A$1:$I$89,3,0)*VLOOKUP('Données projet'!$B$17,Paramètres!$A$1:$I$89,5,0)</f>
        <v>1.1439169611549005E-13</v>
      </c>
      <c r="GB102" s="14">
        <f t="shared" si="103"/>
        <v>1.6918016515029816E-12</v>
      </c>
      <c r="GC102" s="22">
        <f t="shared" si="79"/>
        <v>3.1457867471021712E-12</v>
      </c>
      <c r="GD102" s="62">
        <f t="shared" si="80"/>
        <v>293.33333333333644</v>
      </c>
      <c r="GE102" s="62">
        <f ca="1">AVERAGE(OFFSET($GD$3,0,0,'Données projet'!$E$17+1,1))-AVERAGE(OFFSET($H$3,0,0,'Données projet'!$E$17+1,1))</f>
        <v>218.89895999738746</v>
      </c>
      <c r="GF102" s="62">
        <f t="shared" si="104"/>
        <v>145.64042897395763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94.163219686118353</v>
      </c>
      <c r="GM102" s="23">
        <f>EXP(-LN(2)/25)*GM101+(1-EXP(-LN(2)/25))/(LN(2)/25)*Calculateur!GH102*Calculateur!GJ102*VLOOKUP('Données projet'!$B$17,Paramètres!$A$1:$I$89,3,0)*0.475*44/12</f>
        <v>6.8371368202379825</v>
      </c>
      <c r="GN102" s="23">
        <f>EXP(-LN(2)/2)*GN101+(1-EXP(-LN(2)/2))/(LN(2)/2)*GH102*GK102*VLOOKUP('Données projet'!$B$17,Paramètres!$A$1:$I$89,3,0)*0.475*44/12</f>
        <v>5.9237280146977409E-5</v>
      </c>
      <c r="GO102" s="23">
        <f t="shared" si="81"/>
        <v>101.00041574363648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1.7053025658242404E-13</v>
      </c>
      <c r="GV102" s="18">
        <f>GU102*VLOOKUP('Données projet'!$B$18,Paramètres!$A$1:$I$89,3,0)*VLOOKUP('Données projet'!$B$18,Paramètres!$A$1:$I$89,5,0)</f>
        <v>1.8355876818532125E-13</v>
      </c>
      <c r="GW102" s="14">
        <f t="shared" si="105"/>
        <v>2.5693529898865504E-12</v>
      </c>
      <c r="GX102" s="22">
        <f t="shared" si="82"/>
        <v>4.7946546453085093E-12</v>
      </c>
      <c r="GY102" s="62">
        <f t="shared" si="83"/>
        <v>293.33333333333809</v>
      </c>
      <c r="GZ102" s="62">
        <f ca="1">AVERAGE(OFFSET($GY$3,0,0,'Données projet'!$E$18+1,1))-AVERAGE(OFFSET($H$3,0,0,'Données projet'!$E$18+1,1))</f>
        <v>331.3579800635751</v>
      </c>
      <c r="HA102" s="62">
        <f t="shared" si="106"/>
        <v>209.40702003535273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122.58985204419173</v>
      </c>
      <c r="HH102" s="23">
        <f>EXP(-LN(2)/25)*HH101+(1-EXP(-LN(2)/25))/(LN(2)/25)*Calculateur!HC102*Calculateur!HE102*VLOOKUP('Données projet'!$B$18,Paramètres!$A$1:$I$89,3,0)*0.475*44/12</f>
        <v>8.9011781244607757</v>
      </c>
      <c r="HI102" s="23">
        <f>EXP(-LN(2)/2)*HI101+(1-EXP(-LN(2)/2))/(LN(2)/2)*HC102*HF102*VLOOKUP('Données projet'!$B$18,Paramètres!$A$1:$I$89,3,0)*0.475*44/12</f>
        <v>9.5055170468405373E-5</v>
      </c>
      <c r="HJ102" s="24">
        <f t="shared" si="84"/>
        <v>131.49112522382299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57.880714285714312</v>
      </c>
      <c r="N103" s="14">
        <f>IF('Données projet'!$A$36&gt;35,N102+M103-V102,IF(A103&lt;'Données projet'!$A$36,$K$205^A103,IF(A103='Données projet'!$A$36,'Données projet'!$B$36,N102+M103-V102)))</f>
        <v>1880.4021428571423</v>
      </c>
      <c r="O103" s="14">
        <f>N103*VLOOKUP('Données projet'!$B$9,Paramètres!$A$1:$I$89,3,0)*VLOOKUP('Données projet'!$B$9,Paramètres!$A$1:$I$89,5,0)</f>
        <v>1701.3878588571424</v>
      </c>
      <c r="P103" s="14">
        <f t="shared" si="87"/>
        <v>329.82979639404766</v>
      </c>
      <c r="Q103" s="22">
        <f t="shared" si="107"/>
        <v>3537.704082895822</v>
      </c>
      <c r="R103" s="62">
        <f t="shared" si="55"/>
        <v>3831.0374162291555</v>
      </c>
      <c r="S103" s="62">
        <f ca="1">AVERAGE(OFFSET($R$3,0,0,'Données projet'!$E$9+1,1))-AVERAGE(OFFSET($H$3,0,0,'Données projet'!$E$9+1,1))</f>
        <v>2472.5049373954762</v>
      </c>
      <c r="T103" s="62">
        <f t="shared" si="88"/>
        <v>286.98388307318311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225.21195982237228</v>
      </c>
      <c r="AA103" s="23">
        <f>EXP(-LN(2)/25)*AA102+(1-EXP(-LN(2)/25))/(LN(2)/25)*Calculateur!V103*Calculateur!X103*VLOOKUP('Données projet'!$B$9,Paramètres!$A$1:$I$89,3,0)*0.475*44/12</f>
        <v>23.746634787449036</v>
      </c>
      <c r="AB103" s="23">
        <f>EXP(-LN(2)/2)*AB102+(1-EXP(-LN(2)/2))/(LN(2)/2)*V103*Y103*VLOOKUP('Données projet'!$B$9,Paramètres!$A$1:$I$89,3,0)*0.475*44/12</f>
        <v>11.684667681679342</v>
      </c>
      <c r="AC103" s="24">
        <f t="shared" si="57"/>
        <v>260.64326229150066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57.880714285714312</v>
      </c>
      <c r="AI103" s="14">
        <f>IF('Données projet'!$A$62&gt;35,AI102+AH103-AQ102,IF(A103&lt;'Données projet'!$A$62,$AF$205^A103,IF(A103='Données projet'!$A$62,'Données projet'!$B$62,AI102+AH103-AQ102)))</f>
        <v>1880.4021428571423</v>
      </c>
      <c r="AJ103" s="14">
        <f>AI103*VLOOKUP('Données projet'!$B$10,Paramètres!$A$1:$I$89,3,0)*VLOOKUP('Données projet'!$B$10,Paramètres!$A$1:$I$89,5,0)</f>
        <v>1906.7277728571423</v>
      </c>
      <c r="AK103" s="14">
        <f t="shared" si="89"/>
        <v>364.76667422025292</v>
      </c>
      <c r="AL103" s="22">
        <f t="shared" si="58"/>
        <v>3956.1861619931301</v>
      </c>
      <c r="AM103" s="62">
        <f t="shared" si="59"/>
        <v>4249.5194953264636</v>
      </c>
      <c r="AN103" s="62">
        <f ca="1">AVERAGE(OFFSET($AM$3,0,0,'Données projet'!$E$10+1,1))-AVERAGE(OFFSET($H$3,0,0,'Données projet'!$E$10+1,1))</f>
        <v>2761.1400657295467</v>
      </c>
      <c r="AO103" s="62">
        <f t="shared" si="90"/>
        <v>316.41877504316409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252.39271359403793</v>
      </c>
      <c r="AV103" s="23">
        <f>EXP(-LN(2)/25)*AV102+(1-EXP(-LN(2)/25))/(LN(2)/25)*Calculateur!AQ103*Calculateur!AS103*VLOOKUP('Données projet'!$B$10,Paramètres!$A$1:$I$89,3,0)*0.475*44/12</f>
        <v>26.612607951451505</v>
      </c>
      <c r="AW103" s="23">
        <f>EXP(-LN(2)/2)*AW102+(1-EXP(-LN(2)/2))/(LN(2)/2)*AQ103*AT103*VLOOKUP('Données projet'!$B$10,Paramètres!$A$1:$I$89,3,0)*0.475*44/12</f>
        <v>13.09488619498547</v>
      </c>
      <c r="AX103" s="23">
        <f t="shared" si="60"/>
        <v>292.1002077404749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57.880714285714312</v>
      </c>
      <c r="BD103" s="13">
        <f>IF('Données projet'!$A$88&gt;35,BD102+BC103-BL102,IF(A103&lt;'Données projet'!$A$88,$BA$205^A103,IF(A103='Données projet'!$A$88,'Données projet'!$B$88,BD102+BC103-BL102)))</f>
        <v>1880.4021428571423</v>
      </c>
      <c r="BE103" s="14">
        <f>BD103*VLOOKUP('Données projet'!$B$11,Paramètres!$A$1:$I$89,3,0)*VLOOKUP('Données projet'!$B$11,Paramètres!$A$1:$I$89,5,0)</f>
        <v>1965.3963197142853</v>
      </c>
      <c r="BF103" s="14">
        <f t="shared" si="91"/>
        <v>374.66627907151337</v>
      </c>
      <c r="BG103" s="22">
        <f t="shared" si="61"/>
        <v>4075.609026218599</v>
      </c>
      <c r="BH103" s="62">
        <f t="shared" si="62"/>
        <v>4368.942359551932</v>
      </c>
      <c r="BI103" s="62">
        <f ca="1">AVERAGE(OFFSET($BH$3,0,0,'Données projet'!$E$11+1,1))-AVERAGE(OFFSET($H$3,0,0,'Données projet'!$E$11+1,1))</f>
        <v>2843.5086223152098</v>
      </c>
      <c r="BJ103" s="62">
        <f t="shared" si="92"/>
        <v>324.81562437645522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260.15864324308518</v>
      </c>
      <c r="BQ103" s="23">
        <f>EXP(-LN(2)/25)*BQ102+(1-EXP(-LN(2)/25))/(LN(2)/25)*Calculateur!BL103*Calculateur!BN103*VLOOKUP('Données projet'!$B$11,Paramètres!$A$1:$I$89,3,0)*0.475*44/12</f>
        <v>27.43145742688078</v>
      </c>
      <c r="BR103" s="23">
        <f>EXP(-LN(2)/2)*BR102+(1-EXP(-LN(2)/2))/(LN(2)/2)*BL103*BO103*VLOOKUP('Données projet'!$B$11,Paramètres!$A$1:$I$89,3,0)*0.475*44/12</f>
        <v>13.497805770215789</v>
      </c>
      <c r="BS103" s="24">
        <f t="shared" si="63"/>
        <v>301.08790644018177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57.880714285714312</v>
      </c>
      <c r="BY103" s="13">
        <f>IF('Données projet'!$A$114&gt;35,BY102+BX103-CG102,IF(A103&lt;'Données projet'!$A$114,$BV$205^A103,IF(A103='Données projet'!$A$114,'Données projet'!$B$114,BY102+BX103-CG102)))</f>
        <v>1880.4021428571423</v>
      </c>
      <c r="BZ103" s="14">
        <f>BY103*VLOOKUP('Données projet'!$B$12,Paramètres!$A$1:$I$89,3,0)*VLOOKUP('Données projet'!$B$12,Paramètres!$A$1:$I$89,5,0)</f>
        <v>1877.393499428571</v>
      </c>
      <c r="CA103" s="14">
        <f t="shared" si="93"/>
        <v>359.80362670321443</v>
      </c>
      <c r="CB103" s="22">
        <f t="shared" si="64"/>
        <v>3896.4516613461929</v>
      </c>
      <c r="CC103" s="62">
        <f t="shared" si="65"/>
        <v>4189.7849946795259</v>
      </c>
      <c r="CD103" s="62">
        <f ca="1">AVERAGE(OFFSET($CC$3,0,0,'Données projet'!$E$12+1,1))-AVERAGE(OFFSET($H$3,0,0,'Données projet'!$E$12+1,1))</f>
        <v>2719.939926994799</v>
      </c>
      <c r="CE103" s="62">
        <f t="shared" si="94"/>
        <v>312.21824046329749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248.50974876951418</v>
      </c>
      <c r="CL103" s="23">
        <f>EXP(-LN(2)/25)*CL102+(1-EXP(-LN(2)/25))/(LN(2)/25)*Calculateur!CG103*Calculateur!CI103*VLOOKUP('Données projet'!$B$12,Paramètres!$A$1:$I$89,3,0)*0.475*44/12</f>
        <v>26.20318321373686</v>
      </c>
      <c r="CM103" s="23">
        <f>EXP(-LN(2)/2)*CM102+(1-EXP(-LN(2)/2))/(LN(2)/2)*CG103*CJ103*VLOOKUP('Données projet'!$B$12,Paramètres!$A$1:$I$89,3,0)*0.475*44/12</f>
        <v>12.89342640737031</v>
      </c>
      <c r="CN103" s="24">
        <f t="shared" si="66"/>
        <v>287.60635839062138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1.1368683772161603E-12</v>
      </c>
      <c r="CU103" s="18">
        <f>CT103*VLOOKUP('Données projet'!$B$13,Paramètres!$A$1:$I$89,3,0)*VLOOKUP('Données projet'!$B$13,Paramètres!$A$1:$I$89,5,0)</f>
        <v>9.9316821433603771E-13</v>
      </c>
      <c r="CV103" s="14">
        <f t="shared" si="95"/>
        <v>1.1421454694498936E-11</v>
      </c>
      <c r="CW103" s="22">
        <f t="shared" si="67"/>
        <v>2.1622134899554243E-11</v>
      </c>
      <c r="CX103" s="62">
        <f t="shared" si="68"/>
        <v>293.33333333335491</v>
      </c>
      <c r="CY103" s="62">
        <f ca="1">AVERAGE(OFFSET($CX$3,0,0,'Données projet'!$E$13+1,1))-AVERAGE(OFFSET($H$3,0,0,'Données projet'!$E$13+1,1))</f>
        <v>1036.0130072090849</v>
      </c>
      <c r="CZ103" s="62">
        <f t="shared" si="96"/>
        <v>346.56593355696174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450.66166892524893</v>
      </c>
      <c r="DG103" s="23">
        <f>EXP(-LN(2)/25)*DG102+(1-EXP(-LN(2)/25))/(LN(2)/25)*Calculateur!DB103*Calculateur!DD103*VLOOKUP('Données projet'!$B$13,Paramètres!$A$1:$I$89,3,0)*0.475*44/12</f>
        <v>24.307323576668526</v>
      </c>
      <c r="DH103" s="23">
        <f>EXP(-LN(2)/2)*DH102+(1-EXP(-LN(2)/2))/(LN(2)/2)*DB103*DE103*VLOOKUP('Données projet'!$B$13,Paramètres!$A$1:$I$89,3,0)*0.475*44/12</f>
        <v>8.8256851170566572E-2</v>
      </c>
      <c r="DI103" s="24">
        <f t="shared" si="69"/>
        <v>475.05724935308803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6.8212102632969618E-13</v>
      </c>
      <c r="DP103" s="18">
        <f>DO103*VLOOKUP('Données projet'!$B$14,Paramètres!$A$1:$I$89,3,0)*VLOOKUP('Données projet'!$B$14,Paramètres!$A$1:$I$89,5,0)</f>
        <v>3.8130565371830017E-13</v>
      </c>
      <c r="DQ103" s="14">
        <f t="shared" si="97"/>
        <v>4.9019074112354236E-12</v>
      </c>
      <c r="DR103" s="22">
        <f t="shared" si="70"/>
        <v>9.2015960881277352E-12</v>
      </c>
      <c r="DS103" s="62">
        <f t="shared" si="71"/>
        <v>293.33333333334252</v>
      </c>
      <c r="DT103" s="62">
        <f ca="1">AVERAGE(OFFSET($DS$3,0,0,'Données projet'!$E$14+1,1))-AVERAGE(OFFSET($H$3,0,0,'Données projet'!$E$14+1,1))</f>
        <v>446.48069057792151</v>
      </c>
      <c r="DU103" s="62">
        <f t="shared" si="98"/>
        <v>561.75656782935948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83.625823685273446</v>
      </c>
      <c r="EB103" s="23">
        <f>EXP(-LN(2)/25)*EB102+(1-EXP(-LN(2)/25))/(LN(2)/25)*Calculateur!DW103*Calculateur!DY103*VLOOKUP('Données projet'!$B$14,Paramètres!$A$1:$I$89,3,0)*0.475*44/12</f>
        <v>26.731453102392763</v>
      </c>
      <c r="EC103" s="23">
        <f>EXP(-LN(2)/2)*EC102+(1-EXP(-LN(2)/2))/(LN(2)/2)*DW103*DZ103*VLOOKUP('Données projet'!$B$14,Paramètres!$A$1:$I$89,3,0)*0.475*44/12</f>
        <v>1.2796895208572084E-4</v>
      </c>
      <c r="ED103" s="24">
        <f t="shared" si="72"/>
        <v>110.35740475661829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1.7053025658242404E-13</v>
      </c>
      <c r="EK103" s="18">
        <f>EJ103*VLOOKUP('Données projet'!$B$15,Paramètres!$A$1:$I$89,3,0)*VLOOKUP('Données projet'!$B$15,Paramètres!$A$1:$I$89,5,0)</f>
        <v>1.6493686416652052E-13</v>
      </c>
      <c r="EL103" s="14">
        <f t="shared" si="99"/>
        <v>2.3376205369651282E-12</v>
      </c>
      <c r="EM103" s="22">
        <f t="shared" si="73"/>
        <v>4.3586208069709543E-12</v>
      </c>
      <c r="EN103" s="62">
        <f t="shared" si="74"/>
        <v>293.33333333333769</v>
      </c>
      <c r="EO103" s="62">
        <f ca="1">AVERAGE(OFFSET($EN$3,0,0,'Données projet'!$E$15+1,1))-AVERAGE(OFFSET($H$3,0,0,'Données projet'!$E$15+1,1))</f>
        <v>301.18531163828169</v>
      </c>
      <c r="EP103" s="62">
        <f t="shared" si="100"/>
        <v>192.30530273268101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107.9931633147532</v>
      </c>
      <c r="EW103" s="23">
        <f>EXP(-LN(2)/25)*EW102+(1-EXP(-LN(2)/25))/(LN(2)/25)*Calculateur!ER103*Calculateur!ET103*VLOOKUP('Données projet'!$B$15,Paramètres!$A$1:$I$89,3,0)*0.475*44/12</f>
        <v>7.7794499465854559</v>
      </c>
      <c r="EX103" s="23">
        <f>EXP(-LN(2)/2)*EX102+(1-EXP(-LN(2)/2))/(LN(2)/2)*ER103*EU103*VLOOKUP('Données projet'!$B$15,Paramètres!$A$1:$I$89,3,0)*0.475*44/12</f>
        <v>6.0395328242801118E-5</v>
      </c>
      <c r="EY103" s="24">
        <f t="shared" si="75"/>
        <v>115.77267365666691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1.7053025658242404E-13</v>
      </c>
      <c r="FF103" s="18">
        <f>FE103*VLOOKUP('Données projet'!$B$16,Paramètres!$A$1:$I$89,3,0)*VLOOKUP('Données projet'!$B$16,Paramètres!$A$1:$I$89,5,0)</f>
        <v>1.3301360013429075E-13</v>
      </c>
      <c r="FG103" s="14">
        <f t="shared" si="101"/>
        <v>1.9329766731057041E-12</v>
      </c>
      <c r="FH103" s="22">
        <f t="shared" si="76"/>
        <v>3.5982663925596575E-12</v>
      </c>
      <c r="FI103" s="62">
        <f t="shared" si="77"/>
        <v>293.3333333333369</v>
      </c>
      <c r="FJ103" s="62">
        <f ca="1">AVERAGE(OFFSET($FI$3,0,0,'Données projet'!$E$16+1,1))-AVERAGE(OFFSET($H$3,0,0,'Données projet'!$E$16+1,1))</f>
        <v>249.2899297828755</v>
      </c>
      <c r="FK103" s="62">
        <f t="shared" si="102"/>
        <v>162.88011837476813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87.091260737704189</v>
      </c>
      <c r="FR103" s="23">
        <f>EXP(-LN(2)/25)*FR102+(1-EXP(-LN(2)/25))/(LN(2)/25)*Calculateur!FM103*Calculateur!FO103*VLOOKUP('Données projet'!$B$16,Paramètres!$A$1:$I$89,3,0)*0.475*44/12</f>
        <v>6.2737499569237496</v>
      </c>
      <c r="FS103" s="23">
        <f>EXP(-LN(2)/2)*FS102+(1-EXP(-LN(2)/2))/(LN(2)/2)*FM103*FP103*VLOOKUP('Données projet'!$B$16,Paramètres!$A$1:$I$89,3,0)*0.475*44/12</f>
        <v>4.8705909873226576E-5</v>
      </c>
      <c r="FT103" s="24">
        <f t="shared" si="78"/>
        <v>93.365059400537817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1.7053025658242404E-13</v>
      </c>
      <c r="GA103" s="18">
        <f>FZ103*VLOOKUP('Données projet'!$B$17,Paramètres!$A$1:$I$89,3,0)*VLOOKUP('Données projet'!$B$17,Paramètres!$A$1:$I$89,5,0)</f>
        <v>1.1439169611549005E-13</v>
      </c>
      <c r="GB103" s="14">
        <f t="shared" si="103"/>
        <v>1.6918016515029816E-12</v>
      </c>
      <c r="GC103" s="22">
        <f t="shared" si="79"/>
        <v>3.1457867471021712E-12</v>
      </c>
      <c r="GD103" s="62">
        <f t="shared" si="80"/>
        <v>293.33333333333644</v>
      </c>
      <c r="GE103" s="62">
        <f ca="1">AVERAGE(OFFSET($GD$3,0,0,'Données projet'!$E$17+1,1))-AVERAGE(OFFSET($H$3,0,0,'Données projet'!$E$17+1,1))</f>
        <v>218.89895999738746</v>
      </c>
      <c r="GF103" s="62">
        <f t="shared" si="104"/>
        <v>145.64042897395763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92.31673638196645</v>
      </c>
      <c r="GM103" s="23">
        <f>EXP(-LN(2)/25)*GM102+(1-EXP(-LN(2)/25))/(LN(2)/25)*Calculateur!GH103*Calculateur!GJ103*VLOOKUP('Données projet'!$B$17,Paramètres!$A$1:$I$89,3,0)*0.475*44/12</f>
        <v>6.6501749543391764</v>
      </c>
      <c r="GN103" s="23">
        <f>EXP(-LN(2)/2)*GN102+(1-EXP(-LN(2)/2))/(LN(2)/2)*GH103*GK103*VLOOKUP('Données projet'!$B$17,Paramètres!$A$1:$I$89,3,0)*0.475*44/12</f>
        <v>4.1887082490974975E-5</v>
      </c>
      <c r="GO103" s="23">
        <f t="shared" si="81"/>
        <v>98.966953223388117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1.7053025658242404E-13</v>
      </c>
      <c r="GV103" s="18">
        <f>GU103*VLOOKUP('Données projet'!$B$18,Paramètres!$A$1:$I$89,3,0)*VLOOKUP('Données projet'!$B$18,Paramètres!$A$1:$I$89,5,0)</f>
        <v>1.8355876818532125E-13</v>
      </c>
      <c r="GW103" s="14">
        <f t="shared" si="105"/>
        <v>2.5693529898865504E-12</v>
      </c>
      <c r="GX103" s="22">
        <f t="shared" si="82"/>
        <v>4.7946546453085093E-12</v>
      </c>
      <c r="GY103" s="62">
        <f t="shared" si="83"/>
        <v>293.33333333333809</v>
      </c>
      <c r="GZ103" s="62">
        <f ca="1">AVERAGE(OFFSET($GY$3,0,0,'Données projet'!$E$18+1,1))-AVERAGE(OFFSET($H$3,0,0,'Données projet'!$E$18+1,1))</f>
        <v>331.3579800635751</v>
      </c>
      <c r="HA103" s="62">
        <f t="shared" si="106"/>
        <v>209.40702003535273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120.18593981803171</v>
      </c>
      <c r="HH103" s="23">
        <f>EXP(-LN(2)/25)*HH102+(1-EXP(-LN(2)/25))/(LN(2)/25)*Calculateur!HC103*Calculateur!HE103*VLOOKUP('Données projet'!$B$18,Paramètres!$A$1:$I$89,3,0)*0.475*44/12</f>
        <v>8.6577749405547824</v>
      </c>
      <c r="HI103" s="23">
        <f>EXP(-LN(2)/2)*HI102+(1-EXP(-LN(2)/2))/(LN(2)/2)*HC103*HF103*VLOOKUP('Données projet'!$B$18,Paramètres!$A$1:$I$89,3,0)*0.475*44/12</f>
        <v>6.7214155625052691E-5</v>
      </c>
      <c r="HJ103" s="24">
        <f t="shared" si="84"/>
        <v>128.84378197274211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57.880714285714312</v>
      </c>
      <c r="N104" s="14">
        <f>IF('Données projet'!$A$36&gt;35,N103+M104-V103,IF(A104&lt;'Données projet'!$A$36,$K$205^A104,IF(A104='Données projet'!$A$36,'Données projet'!$B$36,N103+M104-V103)))</f>
        <v>1938.2828571428565</v>
      </c>
      <c r="O104" s="14">
        <f>N104*VLOOKUP('Données projet'!$B$9,Paramètres!$A$1:$I$89,3,0)*VLOOKUP('Données projet'!$B$9,Paramètres!$A$1:$I$89,5,0)</f>
        <v>1753.7583291428566</v>
      </c>
      <c r="P104" s="14">
        <f t="shared" si="87"/>
        <v>338.78465651643887</v>
      </c>
      <c r="Q104" s="22">
        <f t="shared" si="107"/>
        <v>3644.5123666899394</v>
      </c>
      <c r="R104" s="62">
        <f t="shared" si="55"/>
        <v>3937.8457000232729</v>
      </c>
      <c r="S104" s="62">
        <f ca="1">AVERAGE(OFFSET($R$3,0,0,'Données projet'!$E$9+1,1))-AVERAGE(OFFSET($H$3,0,0,'Données projet'!$E$9+1,1))</f>
        <v>2472.5049373954762</v>
      </c>
      <c r="T104" s="62">
        <f t="shared" si="88"/>
        <v>286.98388307318311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220.7956906559873</v>
      </c>
      <c r="AA104" s="23">
        <f>EXP(-LN(2)/25)*AA103+(1-EXP(-LN(2)/25))/(LN(2)/25)*Calculateur!V104*Calculateur!X104*VLOOKUP('Données projet'!$B$9,Paramètres!$A$1:$I$89,3,0)*0.475*44/12</f>
        <v>23.097281810404994</v>
      </c>
      <c r="AB104" s="23">
        <f>EXP(-LN(2)/2)*AB103+(1-EXP(-LN(2)/2))/(LN(2)/2)*V104*Y104*VLOOKUP('Données projet'!$B$9,Paramètres!$A$1:$I$89,3,0)*0.475*44/12</f>
        <v>8.2623077536267591</v>
      </c>
      <c r="AC104" s="24">
        <f t="shared" si="57"/>
        <v>252.15528022001905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57.880714285714312</v>
      </c>
      <c r="AI104" s="14">
        <f>IF('Données projet'!$A$62&gt;35,AI103+AH104-AQ103,IF(A104&lt;'Données projet'!$A$62,$AF$205^A104,IF(A104='Données projet'!$A$62,'Données projet'!$B$62,AI103+AH104-AQ103)))</f>
        <v>1938.2828571428565</v>
      </c>
      <c r="AJ104" s="14">
        <f>AI104*VLOOKUP('Données projet'!$B$10,Paramètres!$A$1:$I$89,3,0)*VLOOKUP('Données projet'!$B$10,Paramètres!$A$1:$I$89,5,0)</f>
        <v>1965.4188171428568</v>
      </c>
      <c r="AK104" s="14">
        <f t="shared" si="89"/>
        <v>374.67006857898997</v>
      </c>
      <c r="AL104" s="22">
        <f t="shared" si="58"/>
        <v>4075.6548092988828</v>
      </c>
      <c r="AM104" s="62">
        <f t="shared" si="59"/>
        <v>4368.9881426322163</v>
      </c>
      <c r="AN104" s="62">
        <f ca="1">AVERAGE(OFFSET($AM$3,0,0,'Données projet'!$E$10+1,1))-AVERAGE(OFFSET($H$3,0,0,'Données projet'!$E$10+1,1))</f>
        <v>2761.1400657295467</v>
      </c>
      <c r="AO104" s="62">
        <f t="shared" si="90"/>
        <v>316.41877504316409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247.4434464248134</v>
      </c>
      <c r="AV104" s="23">
        <f>EXP(-LN(2)/25)*AV103+(1-EXP(-LN(2)/25))/(LN(2)/25)*Calculateur!AQ104*Calculateur!AS104*VLOOKUP('Données projet'!$B$10,Paramètres!$A$1:$I$89,3,0)*0.475*44/12</f>
        <v>25.884884787522836</v>
      </c>
      <c r="AW104" s="23">
        <f>EXP(-LN(2)/2)*AW103+(1-EXP(-LN(2)/2))/(LN(2)/2)*AQ104*AT104*VLOOKUP('Données projet'!$B$10,Paramètres!$A$1:$I$89,3,0)*0.475*44/12</f>
        <v>9.2594828273403333</v>
      </c>
      <c r="AX104" s="23">
        <f t="shared" si="60"/>
        <v>282.58781403967657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57.880714285714312</v>
      </c>
      <c r="BD104" s="13">
        <f>IF('Données projet'!$A$88&gt;35,BD103+BC104-BL103,IF(A104&lt;'Données projet'!$A$88,$BA$205^A104,IF(A104='Données projet'!$A$88,'Données projet'!$B$88,BD103+BC104-BL103)))</f>
        <v>1938.2828571428565</v>
      </c>
      <c r="BE104" s="14">
        <f>BD104*VLOOKUP('Données projet'!$B$11,Paramètres!$A$1:$I$89,3,0)*VLOOKUP('Données projet'!$B$11,Paramètres!$A$1:$I$89,5,0)</f>
        <v>2025.8932422857138</v>
      </c>
      <c r="BF104" s="14">
        <f t="shared" si="91"/>
        <v>384.83844713620209</v>
      </c>
      <c r="BG104" s="22">
        <f t="shared" si="61"/>
        <v>4198.6910257431691</v>
      </c>
      <c r="BH104" s="62">
        <f t="shared" si="62"/>
        <v>4492.0243590765022</v>
      </c>
      <c r="BI104" s="62">
        <f ca="1">AVERAGE(OFFSET($BH$3,0,0,'Données projet'!$E$11+1,1))-AVERAGE(OFFSET($H$3,0,0,'Données projet'!$E$11+1,1))</f>
        <v>2843.5086223152098</v>
      </c>
      <c r="BJ104" s="62">
        <f t="shared" si="92"/>
        <v>324.81562437645522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255.0570909301922</v>
      </c>
      <c r="BQ104" s="23">
        <f>EXP(-LN(2)/25)*BQ103+(1-EXP(-LN(2)/25))/(LN(2)/25)*Calculateur!BL104*Calculateur!BN104*VLOOKUP('Données projet'!$B$11,Paramètres!$A$1:$I$89,3,0)*0.475*44/12</f>
        <v>26.681342780985073</v>
      </c>
      <c r="BR104" s="23">
        <f>EXP(-LN(2)/2)*BR103+(1-EXP(-LN(2)/2))/(LN(2)/2)*BL104*BO104*VLOOKUP('Données projet'!$B$11,Paramètres!$A$1:$I$89,3,0)*0.475*44/12</f>
        <v>9.5443899912584946</v>
      </c>
      <c r="BS104" s="24">
        <f t="shared" si="63"/>
        <v>291.28282370243573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57.880714285714312</v>
      </c>
      <c r="BY104" s="13">
        <f>IF('Données projet'!$A$114&gt;35,BY103+BX104-CG103,IF(A104&lt;'Données projet'!$A$114,$BV$205^A104,IF(A104='Données projet'!$A$114,'Données projet'!$B$114,BY103+BX104-CG103)))</f>
        <v>1938.2828571428565</v>
      </c>
      <c r="BZ104" s="14">
        <f>BY104*VLOOKUP('Données projet'!$B$12,Paramètres!$A$1:$I$89,3,0)*VLOOKUP('Données projet'!$B$12,Paramètres!$A$1:$I$89,5,0)</f>
        <v>1935.1816045714279</v>
      </c>
      <c r="CA104" s="14">
        <f t="shared" si="93"/>
        <v>369.57227460550143</v>
      </c>
      <c r="CB104" s="22">
        <f t="shared" si="64"/>
        <v>4014.1130062331517</v>
      </c>
      <c r="CC104" s="62">
        <f t="shared" si="65"/>
        <v>4307.4463395664852</v>
      </c>
      <c r="CD104" s="62">
        <f ca="1">AVERAGE(OFFSET($CC$3,0,0,'Données projet'!$E$12+1,1))-AVERAGE(OFFSET($H$3,0,0,'Données projet'!$E$12+1,1))</f>
        <v>2719.939926994799</v>
      </c>
      <c r="CE104" s="62">
        <f t="shared" si="94"/>
        <v>312.21824046329749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243.63662417212387</v>
      </c>
      <c r="CL104" s="23">
        <f>EXP(-LN(2)/25)*CL103+(1-EXP(-LN(2)/25))/(LN(2)/25)*Calculateur!CG104*Calculateur!CI104*VLOOKUP('Données projet'!$B$12,Paramètres!$A$1:$I$89,3,0)*0.475*44/12</f>
        <v>25.486655790791708</v>
      </c>
      <c r="CM104" s="23">
        <f>EXP(-LN(2)/2)*CM103+(1-EXP(-LN(2)/2))/(LN(2)/2)*CG104*CJ104*VLOOKUP('Données projet'!$B$12,Paramètres!$A$1:$I$89,3,0)*0.475*44/12</f>
        <v>9.1170292453812518</v>
      </c>
      <c r="CN104" s="24">
        <f t="shared" si="66"/>
        <v>278.24030920829688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1.1368683772161603E-12</v>
      </c>
      <c r="CU104" s="18">
        <f>CT104*VLOOKUP('Données projet'!$B$13,Paramètres!$A$1:$I$89,3,0)*VLOOKUP('Données projet'!$B$13,Paramètres!$A$1:$I$89,5,0)</f>
        <v>9.9316821433603771E-13</v>
      </c>
      <c r="CV104" s="14">
        <f t="shared" si="95"/>
        <v>1.1421454694498936E-11</v>
      </c>
      <c r="CW104" s="22">
        <f t="shared" si="67"/>
        <v>2.1622134899554243E-11</v>
      </c>
      <c r="CX104" s="62">
        <f t="shared" si="68"/>
        <v>293.33333333335491</v>
      </c>
      <c r="CY104" s="62">
        <f ca="1">AVERAGE(OFFSET($CX$3,0,0,'Données projet'!$E$13+1,1))-AVERAGE(OFFSET($H$3,0,0,'Données projet'!$E$13+1,1))</f>
        <v>1036.0130072090849</v>
      </c>
      <c r="CZ104" s="62">
        <f t="shared" si="96"/>
        <v>346.56593355696174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441.82446847410102</v>
      </c>
      <c r="DG104" s="23">
        <f>EXP(-LN(2)/25)*DG103+(1-EXP(-LN(2)/25))/(LN(2)/25)*Calculateur!DB104*Calculateur!DD104*VLOOKUP('Données projet'!$B$13,Paramètres!$A$1:$I$89,3,0)*0.475*44/12</f>
        <v>23.642638535197936</v>
      </c>
      <c r="DH104" s="23">
        <f>EXP(-LN(2)/2)*DH103+(1-EXP(-LN(2)/2))/(LN(2)/2)*DB104*DE104*VLOOKUP('Données projet'!$B$13,Paramètres!$A$1:$I$89,3,0)*0.475*44/12</f>
        <v>6.2407017948879512E-2</v>
      </c>
      <c r="DI104" s="24">
        <f t="shared" si="69"/>
        <v>465.52951402724784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6.8212102632969618E-13</v>
      </c>
      <c r="DP104" s="18">
        <f>DO104*VLOOKUP('Données projet'!$B$14,Paramètres!$A$1:$I$89,3,0)*VLOOKUP('Données projet'!$B$14,Paramètres!$A$1:$I$89,5,0)</f>
        <v>3.8130565371830017E-13</v>
      </c>
      <c r="DQ104" s="14">
        <f t="shared" si="97"/>
        <v>4.9019074112354236E-12</v>
      </c>
      <c r="DR104" s="22">
        <f t="shared" si="70"/>
        <v>9.2015960881277352E-12</v>
      </c>
      <c r="DS104" s="62">
        <f t="shared" si="71"/>
        <v>293.33333333334252</v>
      </c>
      <c r="DT104" s="62">
        <f ca="1">AVERAGE(OFFSET($DS$3,0,0,'Données projet'!$E$14+1,1))-AVERAGE(OFFSET($H$3,0,0,'Données projet'!$E$14+1,1))</f>
        <v>446.48069057792151</v>
      </c>
      <c r="DU104" s="62">
        <f t="shared" si="98"/>
        <v>561.75656782935948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81.985972289521186</v>
      </c>
      <c r="EB104" s="23">
        <f>EXP(-LN(2)/25)*EB103+(1-EXP(-LN(2)/25))/(LN(2)/25)*Calculateur!DW104*Calculateur!DY104*VLOOKUP('Données projet'!$B$14,Paramètres!$A$1:$I$89,3,0)*0.475*44/12</f>
        <v>26.00048011156181</v>
      </c>
      <c r="EC104" s="23">
        <f>EXP(-LN(2)/2)*EC103+(1-EXP(-LN(2)/2))/(LN(2)/2)*DW104*DZ104*VLOOKUP('Données projet'!$B$14,Paramètres!$A$1:$I$89,3,0)*0.475*44/12</f>
        <v>9.0487713801149593E-5</v>
      </c>
      <c r="ED104" s="24">
        <f t="shared" si="72"/>
        <v>107.98654288879681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1.7053025658242404E-13</v>
      </c>
      <c r="EK104" s="18">
        <f>EJ104*VLOOKUP('Données projet'!$B$15,Paramètres!$A$1:$I$89,3,0)*VLOOKUP('Données projet'!$B$15,Paramètres!$A$1:$I$89,5,0)</f>
        <v>1.6493686416652052E-13</v>
      </c>
      <c r="EL104" s="14">
        <f t="shared" si="99"/>
        <v>2.3376205369651282E-12</v>
      </c>
      <c r="EM104" s="22">
        <f t="shared" si="73"/>
        <v>4.3586208069709543E-12</v>
      </c>
      <c r="EN104" s="62">
        <f t="shared" si="74"/>
        <v>293.33333333333769</v>
      </c>
      <c r="EO104" s="62">
        <f ca="1">AVERAGE(OFFSET($EN$3,0,0,'Données projet'!$E$15+1,1))-AVERAGE(OFFSET($H$3,0,0,'Données projet'!$E$15+1,1))</f>
        <v>301.18531163828169</v>
      </c>
      <c r="EP104" s="62">
        <f t="shared" si="100"/>
        <v>192.30530273268101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105.87548325147645</v>
      </c>
      <c r="EW104" s="23">
        <f>EXP(-LN(2)/25)*EW103+(1-EXP(-LN(2)/25))/(LN(2)/25)*Calculateur!ER104*Calculateur!ET104*VLOOKUP('Données projet'!$B$15,Paramètres!$A$1:$I$89,3,0)*0.475*44/12</f>
        <v>7.5667204786925844</v>
      </c>
      <c r="EX104" s="23">
        <f>EXP(-LN(2)/2)*EX103+(1-EXP(-LN(2)/2))/(LN(2)/2)*ER104*EU104*VLOOKUP('Données projet'!$B$15,Paramètres!$A$1:$I$89,3,0)*0.475*44/12</f>
        <v>4.270594615247209E-5</v>
      </c>
      <c r="EY104" s="24">
        <f t="shared" si="75"/>
        <v>113.4422464361152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1.7053025658242404E-13</v>
      </c>
      <c r="FF104" s="18">
        <f>FE104*VLOOKUP('Données projet'!$B$16,Paramètres!$A$1:$I$89,3,0)*VLOOKUP('Données projet'!$B$16,Paramètres!$A$1:$I$89,5,0)</f>
        <v>1.3301360013429075E-13</v>
      </c>
      <c r="FG104" s="14">
        <f t="shared" si="101"/>
        <v>1.9329766731057041E-12</v>
      </c>
      <c r="FH104" s="22">
        <f t="shared" si="76"/>
        <v>3.5982663925596575E-12</v>
      </c>
      <c r="FI104" s="62">
        <f t="shared" si="77"/>
        <v>293.3333333333369</v>
      </c>
      <c r="FJ104" s="62">
        <f ca="1">AVERAGE(OFFSET($FI$3,0,0,'Données projet'!$E$16+1,1))-AVERAGE(OFFSET($H$3,0,0,'Données projet'!$E$16+1,1))</f>
        <v>249.2899297828755</v>
      </c>
      <c r="FK104" s="62">
        <f t="shared" si="102"/>
        <v>162.88011837476813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85.383454235061649</v>
      </c>
      <c r="FR104" s="23">
        <f>EXP(-LN(2)/25)*FR103+(1-EXP(-LN(2)/25))/(LN(2)/25)*Calculateur!FM104*Calculateur!FO104*VLOOKUP('Données projet'!$B$16,Paramètres!$A$1:$I$89,3,0)*0.475*44/12</f>
        <v>6.102193934429498</v>
      </c>
      <c r="FS104" s="23">
        <f>EXP(-LN(2)/2)*FS103+(1-EXP(-LN(2)/2))/(LN(2)/2)*FM104*FP104*VLOOKUP('Données projet'!$B$16,Paramètres!$A$1:$I$89,3,0)*0.475*44/12</f>
        <v>3.4440279155219328E-5</v>
      </c>
      <c r="FT104" s="24">
        <f t="shared" si="78"/>
        <v>91.485682609770294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1.7053025658242404E-13</v>
      </c>
      <c r="GA104" s="18">
        <f>FZ104*VLOOKUP('Données projet'!$B$17,Paramètres!$A$1:$I$89,3,0)*VLOOKUP('Données projet'!$B$17,Paramètres!$A$1:$I$89,5,0)</f>
        <v>1.1439169611549005E-13</v>
      </c>
      <c r="GB104" s="14">
        <f t="shared" si="103"/>
        <v>1.6918016515029816E-12</v>
      </c>
      <c r="GC104" s="22">
        <f t="shared" si="79"/>
        <v>3.1457867471021712E-12</v>
      </c>
      <c r="GD104" s="62">
        <f t="shared" si="80"/>
        <v>293.33333333333644</v>
      </c>
      <c r="GE104" s="62">
        <f ca="1">AVERAGE(OFFSET($GD$3,0,0,'Données projet'!$E$17+1,1))-AVERAGE(OFFSET($H$3,0,0,'Données projet'!$E$17+1,1))</f>
        <v>218.89895999738746</v>
      </c>
      <c r="GF104" s="62">
        <f t="shared" si="104"/>
        <v>145.64042897395763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90.50646148916536</v>
      </c>
      <c r="GM104" s="23">
        <f>EXP(-LN(2)/25)*GM103+(1-EXP(-LN(2)/25))/(LN(2)/25)*Calculateur!GH104*Calculateur!GJ104*VLOOKUP('Données projet'!$B$17,Paramètres!$A$1:$I$89,3,0)*0.475*44/12</f>
        <v>6.4683255704952698</v>
      </c>
      <c r="GN104" s="23">
        <f>EXP(-LN(2)/2)*GN103+(1-EXP(-LN(2)/2))/(LN(2)/2)*GH104*GK104*VLOOKUP('Données projet'!$B$17,Paramètres!$A$1:$I$89,3,0)*0.475*44/12</f>
        <v>2.9618640073488711E-5</v>
      </c>
      <c r="GO104" s="23">
        <f t="shared" si="81"/>
        <v>96.974816678300698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1.7053025658242404E-13</v>
      </c>
      <c r="GV104" s="18">
        <f>GU104*VLOOKUP('Données projet'!$B$18,Paramètres!$A$1:$I$89,3,0)*VLOOKUP('Données projet'!$B$18,Paramètres!$A$1:$I$89,5,0)</f>
        <v>1.8355876818532125E-13</v>
      </c>
      <c r="GW104" s="14">
        <f t="shared" si="105"/>
        <v>2.5693529898865504E-12</v>
      </c>
      <c r="GX104" s="22">
        <f t="shared" si="82"/>
        <v>4.7946546453085093E-12</v>
      </c>
      <c r="GY104" s="62">
        <f t="shared" si="83"/>
        <v>293.33333333333809</v>
      </c>
      <c r="GZ104" s="62">
        <f ca="1">AVERAGE(OFFSET($GY$3,0,0,'Données projet'!$E$18+1,1))-AVERAGE(OFFSET($H$3,0,0,'Données projet'!$E$18+1,1))</f>
        <v>331.3579800635751</v>
      </c>
      <c r="HA104" s="62">
        <f t="shared" si="106"/>
        <v>209.40702003535273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117.82916684438501</v>
      </c>
      <c r="HH104" s="23">
        <f>EXP(-LN(2)/25)*HH103+(1-EXP(-LN(2)/25))/(LN(2)/25)*Calculateur!HC104*Calculateur!HE104*VLOOKUP('Données projet'!$B$18,Paramètres!$A$1:$I$89,3,0)*0.475*44/12</f>
        <v>8.4210276295127144</v>
      </c>
      <c r="HI104" s="23">
        <f>EXP(-LN(2)/2)*HI103+(1-EXP(-LN(2)/2))/(LN(2)/2)*HC104*HF104*VLOOKUP('Données projet'!$B$18,Paramètres!$A$1:$I$89,3,0)*0.475*44/12</f>
        <v>4.7527585234202687E-5</v>
      </c>
      <c r="HJ104" s="24">
        <f t="shared" si="84"/>
        <v>126.25024200148296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57.880714285714312</v>
      </c>
      <c r="N105" s="14">
        <f>IF('Données projet'!$A$36&gt;35,N104+M105-V104,IF(A105&lt;'Données projet'!$A$36,$K$205^A105,IF(A105='Données projet'!$A$36,'Données projet'!$B$36,N104+M105-V104)))</f>
        <v>1996.1635714285708</v>
      </c>
      <c r="O105" s="14">
        <f>N105*VLOOKUP('Données projet'!$B$9,Paramètres!$A$1:$I$89,3,0)*VLOOKUP('Données projet'!$B$9,Paramètres!$A$1:$I$89,5,0)</f>
        <v>1806.1287994285708</v>
      </c>
      <c r="P105" s="14">
        <f t="shared" si="87"/>
        <v>347.70843941971401</v>
      </c>
      <c r="Q105" s="22">
        <f t="shared" si="107"/>
        <v>3751.2665243274296</v>
      </c>
      <c r="R105" s="62">
        <f t="shared" si="55"/>
        <v>4044.5998576607631</v>
      </c>
      <c r="S105" s="62">
        <f ca="1">AVERAGE(OFFSET($R$3,0,0,'Données projet'!$E$9+1,1))-AVERAGE(OFFSET($H$3,0,0,'Données projet'!$E$9+1,1))</f>
        <v>2472.5049373954762</v>
      </c>
      <c r="T105" s="62">
        <f t="shared" si="88"/>
        <v>286.98388307318311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216.46602183429692</v>
      </c>
      <c r="AA105" s="23">
        <f>EXP(-LN(2)/25)*AA104+(1-EXP(-LN(2)/25))/(LN(2)/25)*Calculateur!V105*Calculateur!X105*VLOOKUP('Données projet'!$B$9,Paramètres!$A$1:$I$89,3,0)*0.475*44/12</f>
        <v>22.465685424666209</v>
      </c>
      <c r="AB105" s="23">
        <f>EXP(-LN(2)/2)*AB104+(1-EXP(-LN(2)/2))/(LN(2)/2)*V105*Y105*VLOOKUP('Données projet'!$B$9,Paramètres!$A$1:$I$89,3,0)*0.475*44/12</f>
        <v>5.8423338408396726</v>
      </c>
      <c r="AC105" s="24">
        <f t="shared" si="57"/>
        <v>244.77404109980282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57.880714285714312</v>
      </c>
      <c r="AI105" s="14">
        <f>IF('Données projet'!$A$62&gt;35,AI104+AH105-AQ104,IF(A105&lt;'Données projet'!$A$62,$AF$205^A105,IF(A105='Données projet'!$A$62,'Données projet'!$B$62,AI104+AH105-AQ104)))</f>
        <v>1996.1635714285708</v>
      </c>
      <c r="AJ105" s="14">
        <f>AI105*VLOOKUP('Données projet'!$B$10,Paramètres!$A$1:$I$89,3,0)*VLOOKUP('Données projet'!$B$10,Paramètres!$A$1:$I$89,5,0)</f>
        <v>2024.1098614285709</v>
      </c>
      <c r="AK105" s="14">
        <f t="shared" si="89"/>
        <v>384.53909389652824</v>
      </c>
      <c r="AL105" s="22">
        <f t="shared" si="58"/>
        <v>4195.0635971912143</v>
      </c>
      <c r="AM105" s="62">
        <f t="shared" si="59"/>
        <v>4488.3969305245473</v>
      </c>
      <c r="AN105" s="62">
        <f ca="1">AVERAGE(OFFSET($AM$3,0,0,'Données projet'!$E$10+1,1))-AVERAGE(OFFSET($H$3,0,0,'Données projet'!$E$10+1,1))</f>
        <v>2761.1400657295467</v>
      </c>
      <c r="AO105" s="62">
        <f t="shared" si="90"/>
        <v>316.41877504316409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242.59123136602247</v>
      </c>
      <c r="AV105" s="23">
        <f>EXP(-LN(2)/25)*AV104+(1-EXP(-LN(2)/25))/(LN(2)/25)*Calculateur!AQ105*Calculateur!AS105*VLOOKUP('Données projet'!$B$10,Paramètres!$A$1:$I$89,3,0)*0.475*44/12</f>
        <v>25.177061251781094</v>
      </c>
      <c r="AW105" s="23">
        <f>EXP(-LN(2)/2)*AW104+(1-EXP(-LN(2)/2))/(LN(2)/2)*AQ105*AT105*VLOOKUP('Données projet'!$B$10,Paramètres!$A$1:$I$89,3,0)*0.475*44/12</f>
        <v>6.547443097492736</v>
      </c>
      <c r="AX105" s="23">
        <f t="shared" si="60"/>
        <v>274.31573571529634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57.880714285714312</v>
      </c>
      <c r="BD105" s="13">
        <f>IF('Données projet'!$A$88&gt;35,BD104+BC105-BL104,IF(A105&lt;'Données projet'!$A$88,$BA$205^A105,IF(A105='Données projet'!$A$88,'Données projet'!$B$88,BD104+BC105-BL104)))</f>
        <v>1996.1635714285708</v>
      </c>
      <c r="BE105" s="14">
        <f>BD105*VLOOKUP('Données projet'!$B$11,Paramètres!$A$1:$I$89,3,0)*VLOOKUP('Données projet'!$B$11,Paramètres!$A$1:$I$89,5,0)</f>
        <v>2086.3901648571423</v>
      </c>
      <c r="BF105" s="14">
        <f t="shared" si="91"/>
        <v>394.97531339924183</v>
      </c>
      <c r="BG105" s="22">
        <f t="shared" si="61"/>
        <v>4321.711541296535</v>
      </c>
      <c r="BH105" s="62">
        <f t="shared" si="62"/>
        <v>4615.044874629868</v>
      </c>
      <c r="BI105" s="62">
        <f ca="1">AVERAGE(OFFSET($BH$3,0,0,'Données projet'!$E$11+1,1))-AVERAGE(OFFSET($H$3,0,0,'Données projet'!$E$11+1,1))</f>
        <v>2843.5086223152098</v>
      </c>
      <c r="BJ105" s="62">
        <f t="shared" si="92"/>
        <v>324.81562437645522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250.0555769465154</v>
      </c>
      <c r="BQ105" s="23">
        <f>EXP(-LN(2)/25)*BQ104+(1-EXP(-LN(2)/25))/(LN(2)/25)*Calculateur!BL105*Calculateur!BN105*VLOOKUP('Données projet'!$B$11,Paramètres!$A$1:$I$89,3,0)*0.475*44/12</f>
        <v>25.951740059528202</v>
      </c>
      <c r="BR105" s="23">
        <f>EXP(-LN(2)/2)*BR104+(1-EXP(-LN(2)/2))/(LN(2)/2)*BL105*BO105*VLOOKUP('Données projet'!$B$11,Paramètres!$A$1:$I$89,3,0)*0.475*44/12</f>
        <v>6.7489028851078947</v>
      </c>
      <c r="BS105" s="24">
        <f t="shared" si="63"/>
        <v>282.75621989115149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57.880714285714312</v>
      </c>
      <c r="BY105" s="13">
        <f>IF('Données projet'!$A$114&gt;35,BY104+BX105-CG104,IF(A105&lt;'Données projet'!$A$114,$BV$205^A105,IF(A105='Données projet'!$A$114,'Données projet'!$B$114,BY104+BX105-CG104)))</f>
        <v>1996.1635714285708</v>
      </c>
      <c r="BZ105" s="14">
        <f>BY105*VLOOKUP('Données projet'!$B$12,Paramètres!$A$1:$I$89,3,0)*VLOOKUP('Données projet'!$B$12,Paramètres!$A$1:$I$89,5,0)</f>
        <v>1992.9697097142853</v>
      </c>
      <c r="CA105" s="14">
        <f t="shared" si="93"/>
        <v>379.3070210947925</v>
      </c>
      <c r="CB105" s="22">
        <f t="shared" si="64"/>
        <v>4131.7153061591443</v>
      </c>
      <c r="CC105" s="62">
        <f t="shared" si="65"/>
        <v>4425.0486394924774</v>
      </c>
      <c r="CD105" s="62">
        <f ca="1">AVERAGE(OFFSET($CC$3,0,0,'Données projet'!$E$12+1,1))-AVERAGE(OFFSET($H$3,0,0,'Données projet'!$E$12+1,1))</f>
        <v>2719.939926994799</v>
      </c>
      <c r="CE105" s="62">
        <f t="shared" si="94"/>
        <v>312.21824046329749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238.85905857577589</v>
      </c>
      <c r="CL105" s="23">
        <f>EXP(-LN(2)/25)*CL104+(1-EXP(-LN(2)/25))/(LN(2)/25)*Calculateur!CG105*Calculateur!CI105*VLOOKUP('Données projet'!$B$12,Paramètres!$A$1:$I$89,3,0)*0.475*44/12</f>
        <v>24.789721847907533</v>
      </c>
      <c r="CM105" s="23">
        <f>EXP(-LN(2)/2)*CM104+(1-EXP(-LN(2)/2))/(LN(2)/2)*CG105*CJ105*VLOOKUP('Données projet'!$B$12,Paramètres!$A$1:$I$89,3,0)*0.475*44/12</f>
        <v>6.4467132036851558</v>
      </c>
      <c r="CN105" s="24">
        <f t="shared" si="66"/>
        <v>270.09549362736857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1.1368683772161603E-12</v>
      </c>
      <c r="CU105" s="18">
        <f>CT105*VLOOKUP('Données projet'!$B$13,Paramètres!$A$1:$I$89,3,0)*VLOOKUP('Données projet'!$B$13,Paramètres!$A$1:$I$89,5,0)</f>
        <v>9.9316821433603771E-13</v>
      </c>
      <c r="CV105" s="14">
        <f t="shared" si="95"/>
        <v>1.1421454694498936E-11</v>
      </c>
      <c r="CW105" s="22">
        <f t="shared" si="67"/>
        <v>2.1622134899554243E-11</v>
      </c>
      <c r="CX105" s="62">
        <f t="shared" si="68"/>
        <v>293.33333333335491</v>
      </c>
      <c r="CY105" s="62">
        <f ca="1">AVERAGE(OFFSET($CX$3,0,0,'Données projet'!$E$13+1,1))-AVERAGE(OFFSET($H$3,0,0,'Données projet'!$E$13+1,1))</f>
        <v>1036.0130072090849</v>
      </c>
      <c r="CZ105" s="62">
        <f t="shared" si="96"/>
        <v>346.56593355696174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433.1605601336401</v>
      </c>
      <c r="DG105" s="23">
        <f>EXP(-LN(2)/25)*DG104+(1-EXP(-LN(2)/25))/(LN(2)/25)*Calculateur!DB105*Calculateur!DD105*VLOOKUP('Données projet'!$B$13,Paramètres!$A$1:$I$89,3,0)*0.475*44/12</f>
        <v>22.996129341140623</v>
      </c>
      <c r="DH105" s="23">
        <f>EXP(-LN(2)/2)*DH104+(1-EXP(-LN(2)/2))/(LN(2)/2)*DB105*DE105*VLOOKUP('Données projet'!$B$13,Paramètres!$A$1:$I$89,3,0)*0.475*44/12</f>
        <v>4.4128425585283293E-2</v>
      </c>
      <c r="DI105" s="24">
        <f t="shared" si="69"/>
        <v>456.20081790036596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6.8212102632969618E-13</v>
      </c>
      <c r="DP105" s="18">
        <f>DO105*VLOOKUP('Données projet'!$B$14,Paramètres!$A$1:$I$89,3,0)*VLOOKUP('Données projet'!$B$14,Paramètres!$A$1:$I$89,5,0)</f>
        <v>3.8130565371830017E-13</v>
      </c>
      <c r="DQ105" s="14">
        <f t="shared" si="97"/>
        <v>4.9019074112354236E-12</v>
      </c>
      <c r="DR105" s="22">
        <f t="shared" si="70"/>
        <v>9.2015960881277352E-12</v>
      </c>
      <c r="DS105" s="62">
        <f t="shared" si="71"/>
        <v>293.33333333334252</v>
      </c>
      <c r="DT105" s="62">
        <f ca="1">AVERAGE(OFFSET($DS$3,0,0,'Données projet'!$E$14+1,1))-AVERAGE(OFFSET($H$3,0,0,'Données projet'!$E$14+1,1))</f>
        <v>446.48069057792151</v>
      </c>
      <c r="DU105" s="62">
        <f t="shared" si="98"/>
        <v>561.75656782935948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80.378277379429036</v>
      </c>
      <c r="EB105" s="23">
        <f>EXP(-LN(2)/25)*EB104+(1-EXP(-LN(2)/25))/(LN(2)/25)*Calculateur!DW105*Calculateur!DY105*VLOOKUP('Données projet'!$B$14,Paramètres!$A$1:$I$89,3,0)*0.475*44/12</f>
        <v>25.289495615605329</v>
      </c>
      <c r="EC105" s="23">
        <f>EXP(-LN(2)/2)*EC104+(1-EXP(-LN(2)/2))/(LN(2)/2)*DW105*DZ105*VLOOKUP('Données projet'!$B$14,Paramètres!$A$1:$I$89,3,0)*0.475*44/12</f>
        <v>6.3984476042860421E-5</v>
      </c>
      <c r="ED105" s="24">
        <f t="shared" si="72"/>
        <v>105.66783697951041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1.7053025658242404E-13</v>
      </c>
      <c r="EK105" s="18">
        <f>EJ105*VLOOKUP('Données projet'!$B$15,Paramètres!$A$1:$I$89,3,0)*VLOOKUP('Données projet'!$B$15,Paramètres!$A$1:$I$89,5,0)</f>
        <v>1.6493686416652052E-13</v>
      </c>
      <c r="EL105" s="14">
        <f t="shared" si="99"/>
        <v>2.3376205369651282E-12</v>
      </c>
      <c r="EM105" s="22">
        <f t="shared" si="73"/>
        <v>4.3586208069709543E-12</v>
      </c>
      <c r="EN105" s="62">
        <f t="shared" si="74"/>
        <v>293.33333333333769</v>
      </c>
      <c r="EO105" s="62">
        <f ca="1">AVERAGE(OFFSET($EN$3,0,0,'Données projet'!$E$15+1,1))-AVERAGE(OFFSET($H$3,0,0,'Données projet'!$E$15+1,1))</f>
        <v>301.18531163828169</v>
      </c>
      <c r="EP105" s="62">
        <f t="shared" si="100"/>
        <v>192.30530273268101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103.79932960258327</v>
      </c>
      <c r="EW105" s="23">
        <f>EXP(-LN(2)/25)*EW104+(1-EXP(-LN(2)/25))/(LN(2)/25)*Calculateur!ER105*Calculateur!ET105*VLOOKUP('Données projet'!$B$15,Paramètres!$A$1:$I$89,3,0)*0.475*44/12</f>
        <v>7.3598081092861998</v>
      </c>
      <c r="EX105" s="23">
        <f>EXP(-LN(2)/2)*EX104+(1-EXP(-LN(2)/2))/(LN(2)/2)*ER105*EU105*VLOOKUP('Données projet'!$B$15,Paramètres!$A$1:$I$89,3,0)*0.475*44/12</f>
        <v>3.0197664121400566E-5</v>
      </c>
      <c r="EY105" s="24">
        <f t="shared" si="75"/>
        <v>111.15916790953359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1.7053025658242404E-13</v>
      </c>
      <c r="FF105" s="18">
        <f>FE105*VLOOKUP('Données projet'!$B$16,Paramètres!$A$1:$I$89,3,0)*VLOOKUP('Données projet'!$B$16,Paramètres!$A$1:$I$89,5,0)</f>
        <v>1.3301360013429075E-13</v>
      </c>
      <c r="FG105" s="14">
        <f t="shared" si="101"/>
        <v>1.9329766731057041E-12</v>
      </c>
      <c r="FH105" s="22">
        <f t="shared" si="76"/>
        <v>3.5982663925596575E-12</v>
      </c>
      <c r="FI105" s="62">
        <f t="shared" si="77"/>
        <v>293.3333333333369</v>
      </c>
      <c r="FJ105" s="62">
        <f ca="1">AVERAGE(OFFSET($FI$3,0,0,'Données projet'!$E$16+1,1))-AVERAGE(OFFSET($H$3,0,0,'Données projet'!$E$16+1,1))</f>
        <v>249.2899297828755</v>
      </c>
      <c r="FK105" s="62">
        <f t="shared" si="102"/>
        <v>162.88011837476813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83.709136776276821</v>
      </c>
      <c r="FR105" s="23">
        <f>EXP(-LN(2)/25)*FR104+(1-EXP(-LN(2)/25))/(LN(2)/25)*Calculateur!FM105*Calculateur!FO105*VLOOKUP('Données projet'!$B$16,Paramètres!$A$1:$I$89,3,0)*0.475*44/12</f>
        <v>5.9353291203920913</v>
      </c>
      <c r="FS105" s="23">
        <f>EXP(-LN(2)/2)*FS104+(1-EXP(-LN(2)/2))/(LN(2)/2)*FM105*FP105*VLOOKUP('Données projet'!$B$16,Paramètres!$A$1:$I$89,3,0)*0.475*44/12</f>
        <v>2.4352954936613288E-5</v>
      </c>
      <c r="FT105" s="24">
        <f t="shared" si="78"/>
        <v>89.644490249623857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1.7053025658242404E-13</v>
      </c>
      <c r="GA105" s="18">
        <f>FZ105*VLOOKUP('Données projet'!$B$17,Paramètres!$A$1:$I$89,3,0)*VLOOKUP('Données projet'!$B$17,Paramètres!$A$1:$I$89,5,0)</f>
        <v>1.1439169611549005E-13</v>
      </c>
      <c r="GB105" s="14">
        <f t="shared" si="103"/>
        <v>1.6918016515029816E-12</v>
      </c>
      <c r="GC105" s="22">
        <f t="shared" si="79"/>
        <v>3.1457867471021712E-12</v>
      </c>
      <c r="GD105" s="62">
        <f t="shared" si="80"/>
        <v>293.33333333333644</v>
      </c>
      <c r="GE105" s="62">
        <f ca="1">AVERAGE(OFFSET($GD$3,0,0,'Données projet'!$E$17+1,1))-AVERAGE(OFFSET($H$3,0,0,'Données projet'!$E$17+1,1))</f>
        <v>218.89895999738746</v>
      </c>
      <c r="GF105" s="62">
        <f t="shared" si="104"/>
        <v>145.64042897395763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88.731684982853437</v>
      </c>
      <c r="GM105" s="23">
        <f>EXP(-LN(2)/25)*GM104+(1-EXP(-LN(2)/25))/(LN(2)/25)*Calculateur!GH105*Calculateur!GJ105*VLOOKUP('Données projet'!$B$17,Paramètres!$A$1:$I$89,3,0)*0.475*44/12</f>
        <v>6.2914488676156184</v>
      </c>
      <c r="GN105" s="23">
        <f>EXP(-LN(2)/2)*GN104+(1-EXP(-LN(2)/2))/(LN(2)/2)*GH105*GK105*VLOOKUP('Données projet'!$B$17,Paramètres!$A$1:$I$89,3,0)*0.475*44/12</f>
        <v>2.0943541245487491E-5</v>
      </c>
      <c r="GO105" s="23">
        <f t="shared" si="81"/>
        <v>95.023154794010296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1.7053025658242404E-13</v>
      </c>
      <c r="GV105" s="18">
        <f>GU105*VLOOKUP('Données projet'!$B$18,Paramètres!$A$1:$I$89,3,0)*VLOOKUP('Données projet'!$B$18,Paramètres!$A$1:$I$89,5,0)</f>
        <v>1.8355876818532125E-13</v>
      </c>
      <c r="GW105" s="14">
        <f t="shared" si="105"/>
        <v>2.5693529898865504E-12</v>
      </c>
      <c r="GX105" s="22">
        <f t="shared" si="82"/>
        <v>4.7946546453085093E-12</v>
      </c>
      <c r="GY105" s="62">
        <f t="shared" si="83"/>
        <v>293.33333333333809</v>
      </c>
      <c r="GZ105" s="62">
        <f ca="1">AVERAGE(OFFSET($GY$3,0,0,'Données projet'!$E$18+1,1))-AVERAGE(OFFSET($H$3,0,0,'Données projet'!$E$18+1,1))</f>
        <v>331.3579800635751</v>
      </c>
      <c r="HA105" s="62">
        <f t="shared" si="106"/>
        <v>209.40702003535273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115.51860875126195</v>
      </c>
      <c r="HH105" s="23">
        <f>EXP(-LN(2)/25)*HH104+(1-EXP(-LN(2)/25))/(LN(2)/25)*Calculateur!HC105*Calculateur!HE105*VLOOKUP('Données projet'!$B$18,Paramètres!$A$1:$I$89,3,0)*0.475*44/12</f>
        <v>8.190754186141092</v>
      </c>
      <c r="HI105" s="23">
        <f>EXP(-LN(2)/2)*HI104+(1-EXP(-LN(2)/2))/(LN(2)/2)*HC105*HF105*VLOOKUP('Données projet'!$B$18,Paramètres!$A$1:$I$89,3,0)*0.475*44/12</f>
        <v>3.3607077812526345E-5</v>
      </c>
      <c r="HJ105" s="24">
        <f t="shared" si="84"/>
        <v>123.70939654448085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57.880714285714312</v>
      </c>
      <c r="N106" s="14">
        <f>IF('Données projet'!$A$36&gt;35,N105+M106-V105,IF(A106&lt;'Données projet'!$A$36,$K$205^A106,IF(A106='Données projet'!$A$36,'Données projet'!$B$36,N105+M106-V105)))</f>
        <v>2054.0442857142853</v>
      </c>
      <c r="O106" s="14">
        <f>N106*VLOOKUP('Données projet'!$B$9,Paramètres!$A$1:$I$89,3,0)*VLOOKUP('Données projet'!$B$9,Paramètres!$A$1:$I$89,5,0)</f>
        <v>1858.4992697142852</v>
      </c>
      <c r="P106" s="14">
        <f t="shared" si="87"/>
        <v>356.60214969747341</v>
      </c>
      <c r="Q106" s="22">
        <f t="shared" si="107"/>
        <v>3857.9683054754801</v>
      </c>
      <c r="R106" s="62">
        <f t="shared" si="55"/>
        <v>4151.3016388088135</v>
      </c>
      <c r="S106" s="62">
        <f ca="1">AVERAGE(OFFSET($R$3,0,0,'Données projet'!$E$9+1,1))-AVERAGE(OFFSET($H$3,0,0,'Données projet'!$E$9+1,1))</f>
        <v>2472.5049373954762</v>
      </c>
      <c r="T106" s="62">
        <f t="shared" si="88"/>
        <v>286.98388307318311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212.22125517736268</v>
      </c>
      <c r="AA106" s="23">
        <f>EXP(-LN(2)/25)*AA105+(1-EXP(-LN(2)/25))/(LN(2)/25)*Calculateur!V106*Calculateur!X106*VLOOKUP('Données projet'!$B$9,Paramètres!$A$1:$I$89,3,0)*0.475*44/12</f>
        <v>21.85136007530966</v>
      </c>
      <c r="AB106" s="23">
        <f>EXP(-LN(2)/2)*AB105+(1-EXP(-LN(2)/2))/(LN(2)/2)*V106*Y106*VLOOKUP('Données projet'!$B$9,Paramètres!$A$1:$I$89,3,0)*0.475*44/12</f>
        <v>4.1311538768133804</v>
      </c>
      <c r="AC106" s="24">
        <f t="shared" si="57"/>
        <v>238.20376912948572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57.880714285714312</v>
      </c>
      <c r="AI106" s="14">
        <f>IF('Données projet'!$A$62&gt;35,AI105+AH106-AQ105,IF(A106&lt;'Données projet'!$A$62,$AF$205^A106,IF(A106='Données projet'!$A$62,'Données projet'!$B$62,AI105+AH106-AQ105)))</f>
        <v>2054.0442857142853</v>
      </c>
      <c r="AJ106" s="14">
        <f>AI106*VLOOKUP('Données projet'!$B$10,Paramètres!$A$1:$I$89,3,0)*VLOOKUP('Données projet'!$B$10,Paramètres!$A$1:$I$89,5,0)</f>
        <v>2082.8009057142854</v>
      </c>
      <c r="AK106" s="14">
        <f t="shared" si="89"/>
        <v>394.37486117699825</v>
      </c>
      <c r="AL106" s="22">
        <f t="shared" si="58"/>
        <v>4314.4144606689852</v>
      </c>
      <c r="AM106" s="62">
        <f t="shared" si="59"/>
        <v>4607.7477940023182</v>
      </c>
      <c r="AN106" s="62">
        <f ca="1">AVERAGE(OFFSET($AM$3,0,0,'Données projet'!$E$10+1,1))-AVERAGE(OFFSET($H$3,0,0,'Données projet'!$E$10+1,1))</f>
        <v>2761.1400657295467</v>
      </c>
      <c r="AO106" s="62">
        <f t="shared" si="90"/>
        <v>316.41877504316409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237.83416528497546</v>
      </c>
      <c r="AV106" s="23">
        <f>EXP(-LN(2)/25)*AV105+(1-EXP(-LN(2)/25))/(LN(2)/25)*Calculateur!AQ106*Calculateur!AS106*VLOOKUP('Données projet'!$B$10,Paramètres!$A$1:$I$89,3,0)*0.475*44/12</f>
        <v>24.48859318784703</v>
      </c>
      <c r="AW106" s="23">
        <f>EXP(-LN(2)/2)*AW105+(1-EXP(-LN(2)/2))/(LN(2)/2)*AQ106*AT106*VLOOKUP('Données projet'!$B$10,Paramètres!$A$1:$I$89,3,0)*0.475*44/12</f>
        <v>4.6297414136701676</v>
      </c>
      <c r="AX106" s="23">
        <f t="shared" si="60"/>
        <v>266.95249988649266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57.880714285714312</v>
      </c>
      <c r="BD106" s="13">
        <f>IF('Données projet'!$A$88&gt;35,BD105+BC106-BL105,IF(A106&lt;'Données projet'!$A$88,$BA$205^A106,IF(A106='Données projet'!$A$88,'Données projet'!$B$88,BD105+BC106-BL105)))</f>
        <v>2054.0442857142853</v>
      </c>
      <c r="BE106" s="14">
        <f>BD106*VLOOKUP('Données projet'!$B$11,Paramètres!$A$1:$I$89,3,0)*VLOOKUP('Données projet'!$B$11,Paramètres!$A$1:$I$89,5,0)</f>
        <v>2146.8870874285712</v>
      </c>
      <c r="BF106" s="14">
        <f t="shared" si="91"/>
        <v>405.07801901692085</v>
      </c>
      <c r="BG106" s="22">
        <f t="shared" si="61"/>
        <v>4444.6725603925652</v>
      </c>
      <c r="BH106" s="62">
        <f t="shared" si="62"/>
        <v>4738.0058937258982</v>
      </c>
      <c r="BI106" s="62">
        <f ca="1">AVERAGE(OFFSET($BH$3,0,0,'Données projet'!$E$11+1,1))-AVERAGE(OFFSET($H$3,0,0,'Données projet'!$E$11+1,1))</f>
        <v>2843.5086223152098</v>
      </c>
      <c r="BJ106" s="62">
        <f t="shared" si="92"/>
        <v>324.81562437645522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245.15213960143618</v>
      </c>
      <c r="BQ106" s="23">
        <f>EXP(-LN(2)/25)*BQ105+(1-EXP(-LN(2)/25))/(LN(2)/25)*Calculateur!BL106*Calculateur!BN106*VLOOKUP('Données projet'!$B$11,Paramètres!$A$1:$I$89,3,0)*0.475*44/12</f>
        <v>25.242088362857707</v>
      </c>
      <c r="BR106" s="23">
        <f>EXP(-LN(2)/2)*BR105+(1-EXP(-LN(2)/2))/(LN(2)/2)*BL106*BO106*VLOOKUP('Données projet'!$B$11,Paramètres!$A$1:$I$89,3,0)*0.475*44/12</f>
        <v>4.7721949956292473</v>
      </c>
      <c r="BS106" s="24">
        <f t="shared" si="63"/>
        <v>275.16642295992312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57.880714285714312</v>
      </c>
      <c r="BY106" s="13">
        <f>IF('Données projet'!$A$114&gt;35,BY105+BX106-CG105,IF(A106&lt;'Données projet'!$A$114,$BV$205^A106,IF(A106='Données projet'!$A$114,'Données projet'!$B$114,BY105+BX106-CG105)))</f>
        <v>2054.0442857142853</v>
      </c>
      <c r="BZ106" s="14">
        <f>BY106*VLOOKUP('Données projet'!$B$12,Paramètres!$A$1:$I$89,3,0)*VLOOKUP('Données projet'!$B$12,Paramètres!$A$1:$I$89,5,0)</f>
        <v>2050.7578148571424</v>
      </c>
      <c r="CA106" s="14">
        <f t="shared" si="93"/>
        <v>389.00896205879911</v>
      </c>
      <c r="CB106" s="22">
        <f t="shared" si="64"/>
        <v>4249.2604697952656</v>
      </c>
      <c r="CC106" s="62">
        <f t="shared" si="65"/>
        <v>4542.5938031285987</v>
      </c>
      <c r="CD106" s="62">
        <f ca="1">AVERAGE(OFFSET($CC$3,0,0,'Données projet'!$E$12+1,1))-AVERAGE(OFFSET($H$3,0,0,'Données projet'!$E$12+1,1))</f>
        <v>2719.939926994799</v>
      </c>
      <c r="CE106" s="62">
        <f t="shared" si="94"/>
        <v>312.21824046329749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234.17517812674501</v>
      </c>
      <c r="CL106" s="23">
        <f>EXP(-LN(2)/25)*CL105+(1-EXP(-LN(2)/25))/(LN(2)/25)*Calculateur!CG106*Calculateur!CI106*VLOOKUP('Données projet'!$B$12,Paramètres!$A$1:$I$89,3,0)*0.475*44/12</f>
        <v>24.111845600341688</v>
      </c>
      <c r="CM106" s="23">
        <f>EXP(-LN(2)/2)*CM105+(1-EXP(-LN(2)/2))/(LN(2)/2)*CG106*CJ106*VLOOKUP('Données projet'!$B$12,Paramètres!$A$1:$I$89,3,0)*0.475*44/12</f>
        <v>4.5585146226906268</v>
      </c>
      <c r="CN106" s="24">
        <f t="shared" si="66"/>
        <v>262.84553834977731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1.1368683772161603E-12</v>
      </c>
      <c r="CU106" s="18">
        <f>CT106*VLOOKUP('Données projet'!$B$13,Paramètres!$A$1:$I$89,3,0)*VLOOKUP('Données projet'!$B$13,Paramètres!$A$1:$I$89,5,0)</f>
        <v>9.9316821433603771E-13</v>
      </c>
      <c r="CV106" s="14">
        <f t="shared" si="95"/>
        <v>1.1421454694498936E-11</v>
      </c>
      <c r="CW106" s="22">
        <f t="shared" si="67"/>
        <v>2.1622134899554243E-11</v>
      </c>
      <c r="CX106" s="62">
        <f t="shared" si="68"/>
        <v>293.33333333335491</v>
      </c>
      <c r="CY106" s="62">
        <f ca="1">AVERAGE(OFFSET($CX$3,0,0,'Données projet'!$E$13+1,1))-AVERAGE(OFFSET($H$3,0,0,'Données projet'!$E$13+1,1))</f>
        <v>1036.0130072090849</v>
      </c>
      <c r="CZ106" s="62">
        <f t="shared" si="96"/>
        <v>346.56593355696174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424.66654575127336</v>
      </c>
      <c r="DG106" s="23">
        <f>EXP(-LN(2)/25)*DG105+(1-EXP(-LN(2)/25))/(LN(2)/25)*Calculateur!DB106*Calculateur!DD106*VLOOKUP('Données projet'!$B$13,Paramètres!$A$1:$I$89,3,0)*0.475*44/12</f>
        <v>22.36729897499325</v>
      </c>
      <c r="DH106" s="23">
        <f>EXP(-LN(2)/2)*DH105+(1-EXP(-LN(2)/2))/(LN(2)/2)*DB106*DE106*VLOOKUP('Données projet'!$B$13,Paramètres!$A$1:$I$89,3,0)*0.475*44/12</f>
        <v>3.1203508974439759E-2</v>
      </c>
      <c r="DI106" s="24">
        <f t="shared" si="69"/>
        <v>447.06504823524108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6.8212102632969618E-13</v>
      </c>
      <c r="DP106" s="18">
        <f>DO106*VLOOKUP('Données projet'!$B$14,Paramètres!$A$1:$I$89,3,0)*VLOOKUP('Données projet'!$B$14,Paramètres!$A$1:$I$89,5,0)</f>
        <v>3.8130565371830017E-13</v>
      </c>
      <c r="DQ106" s="14">
        <f t="shared" si="97"/>
        <v>4.9019074112354236E-12</v>
      </c>
      <c r="DR106" s="22">
        <f t="shared" si="70"/>
        <v>9.2015960881277352E-12</v>
      </c>
      <c r="DS106" s="62">
        <f t="shared" si="71"/>
        <v>293.33333333334252</v>
      </c>
      <c r="DT106" s="62">
        <f ca="1">AVERAGE(OFFSET($DS$3,0,0,'Données projet'!$E$14+1,1))-AVERAGE(OFFSET($H$3,0,0,'Données projet'!$E$14+1,1))</f>
        <v>446.48069057792151</v>
      </c>
      <c r="DU106" s="62">
        <f t="shared" si="98"/>
        <v>561.75656782935948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78.802108385926729</v>
      </c>
      <c r="EB106" s="23">
        <f>EXP(-LN(2)/25)*EB105+(1-EXP(-LN(2)/25))/(LN(2)/25)*Calculateur!DW106*Calculateur!DY106*VLOOKUP('Données projet'!$B$14,Paramètres!$A$1:$I$89,3,0)*0.475*44/12</f>
        <v>24.597953028079825</v>
      </c>
      <c r="EC106" s="23">
        <f>EXP(-LN(2)/2)*EC105+(1-EXP(-LN(2)/2))/(LN(2)/2)*DW106*DZ106*VLOOKUP('Données projet'!$B$14,Paramètres!$A$1:$I$89,3,0)*0.475*44/12</f>
        <v>4.5243856900574796E-5</v>
      </c>
      <c r="ED106" s="24">
        <f t="shared" si="72"/>
        <v>103.40010665786346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1.7053025658242404E-13</v>
      </c>
      <c r="EK106" s="18">
        <f>EJ106*VLOOKUP('Données projet'!$B$15,Paramètres!$A$1:$I$89,3,0)*VLOOKUP('Données projet'!$B$15,Paramètres!$A$1:$I$89,5,0)</f>
        <v>1.6493686416652052E-13</v>
      </c>
      <c r="EL106" s="14">
        <f t="shared" si="99"/>
        <v>2.3376205369651282E-12</v>
      </c>
      <c r="EM106" s="22">
        <f t="shared" si="73"/>
        <v>4.3586208069709543E-12</v>
      </c>
      <c r="EN106" s="62">
        <f t="shared" si="74"/>
        <v>293.33333333333769</v>
      </c>
      <c r="EO106" s="62">
        <f ca="1">AVERAGE(OFFSET($EN$3,0,0,'Données projet'!$E$15+1,1))-AVERAGE(OFFSET($H$3,0,0,'Données projet'!$E$15+1,1))</f>
        <v>301.18531163828169</v>
      </c>
      <c r="EP106" s="62">
        <f t="shared" si="100"/>
        <v>192.30530273268101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101.76388806041619</v>
      </c>
      <c r="EW106" s="23">
        <f>EXP(-LN(2)/25)*EW105+(1-EXP(-LN(2)/25))/(LN(2)/25)*Calculateur!ER106*Calculateur!ET106*VLOOKUP('Données projet'!$B$15,Paramètres!$A$1:$I$89,3,0)*0.475*44/12</f>
        <v>7.158553769502281</v>
      </c>
      <c r="EX106" s="23">
        <f>EXP(-LN(2)/2)*EX105+(1-EXP(-LN(2)/2))/(LN(2)/2)*ER106*EU106*VLOOKUP('Données projet'!$B$15,Paramètres!$A$1:$I$89,3,0)*0.475*44/12</f>
        <v>2.1352973076236048E-5</v>
      </c>
      <c r="EY106" s="24">
        <f t="shared" si="75"/>
        <v>108.92246318289155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1.7053025658242404E-13</v>
      </c>
      <c r="FF106" s="18">
        <f>FE106*VLOOKUP('Données projet'!$B$16,Paramètres!$A$1:$I$89,3,0)*VLOOKUP('Données projet'!$B$16,Paramètres!$A$1:$I$89,5,0)</f>
        <v>1.3301360013429075E-13</v>
      </c>
      <c r="FG106" s="14">
        <f t="shared" si="101"/>
        <v>1.9329766731057041E-12</v>
      </c>
      <c r="FH106" s="22">
        <f t="shared" si="76"/>
        <v>3.5982663925596575E-12</v>
      </c>
      <c r="FI106" s="62">
        <f t="shared" si="77"/>
        <v>293.3333333333369</v>
      </c>
      <c r="FJ106" s="62">
        <f ca="1">AVERAGE(OFFSET($FI$3,0,0,'Données projet'!$E$16+1,1))-AVERAGE(OFFSET($H$3,0,0,'Données projet'!$E$16+1,1))</f>
        <v>249.2899297828755</v>
      </c>
      <c r="FK106" s="62">
        <f t="shared" si="102"/>
        <v>162.88011837476813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82.067651661625959</v>
      </c>
      <c r="FR106" s="23">
        <f>EXP(-LN(2)/25)*FR105+(1-EXP(-LN(2)/25))/(LN(2)/25)*Calculateur!FM106*Calculateur!FO106*VLOOKUP('Données projet'!$B$16,Paramètres!$A$1:$I$89,3,0)*0.475*44/12</f>
        <v>5.773027233469576</v>
      </c>
      <c r="FS106" s="23">
        <f>EXP(-LN(2)/2)*FS105+(1-EXP(-LN(2)/2))/(LN(2)/2)*FM106*FP106*VLOOKUP('Données projet'!$B$16,Paramètres!$A$1:$I$89,3,0)*0.475*44/12</f>
        <v>1.7220139577609664E-5</v>
      </c>
      <c r="FT106" s="24">
        <f t="shared" si="78"/>
        <v>87.840696115235119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1.7053025658242404E-13</v>
      </c>
      <c r="GA106" s="18">
        <f>FZ106*VLOOKUP('Données projet'!$B$17,Paramètres!$A$1:$I$89,3,0)*VLOOKUP('Données projet'!$B$17,Paramètres!$A$1:$I$89,5,0)</f>
        <v>1.1439169611549005E-13</v>
      </c>
      <c r="GB106" s="14">
        <f t="shared" si="103"/>
        <v>1.6918016515029816E-12</v>
      </c>
      <c r="GC106" s="22">
        <f t="shared" si="79"/>
        <v>3.1457867471021712E-12</v>
      </c>
      <c r="GD106" s="62">
        <f t="shared" si="80"/>
        <v>293.33333333333644</v>
      </c>
      <c r="GE106" s="62">
        <f ca="1">AVERAGE(OFFSET($GD$3,0,0,'Données projet'!$E$17+1,1))-AVERAGE(OFFSET($H$3,0,0,'Données projet'!$E$17+1,1))</f>
        <v>218.89895999738746</v>
      </c>
      <c r="GF106" s="62">
        <f t="shared" si="104"/>
        <v>145.64042897395763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86.991710761323517</v>
      </c>
      <c r="GM106" s="23">
        <f>EXP(-LN(2)/25)*GM105+(1-EXP(-LN(2)/25))/(LN(2)/25)*Calculateur!GH106*Calculateur!GJ106*VLOOKUP('Données projet'!$B$17,Paramètres!$A$1:$I$89,3,0)*0.475*44/12</f>
        <v>6.1194088674777527</v>
      </c>
      <c r="GN106" s="23">
        <f>EXP(-LN(2)/2)*GN105+(1-EXP(-LN(2)/2))/(LN(2)/2)*GH106*GK106*VLOOKUP('Données projet'!$B$17,Paramètres!$A$1:$I$89,3,0)*0.475*44/12</f>
        <v>1.4809320036744357E-5</v>
      </c>
      <c r="GO106" s="23">
        <f t="shared" si="81"/>
        <v>93.111134438121312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1.7053025658242404E-13</v>
      </c>
      <c r="GV106" s="18">
        <f>GU106*VLOOKUP('Données projet'!$B$18,Paramètres!$A$1:$I$89,3,0)*VLOOKUP('Données projet'!$B$18,Paramètres!$A$1:$I$89,5,0)</f>
        <v>1.8355876818532125E-13</v>
      </c>
      <c r="GW106" s="14">
        <f t="shared" si="105"/>
        <v>2.5693529898865504E-12</v>
      </c>
      <c r="GX106" s="22">
        <f t="shared" si="82"/>
        <v>4.7946546453085093E-12</v>
      </c>
      <c r="GY106" s="62">
        <f t="shared" si="83"/>
        <v>293.33333333333809</v>
      </c>
      <c r="GZ106" s="62">
        <f ca="1">AVERAGE(OFFSET($GY$3,0,0,'Données projet'!$E$18+1,1))-AVERAGE(OFFSET($H$3,0,0,'Données projet'!$E$18+1,1))</f>
        <v>331.3579800635751</v>
      </c>
      <c r="HA106" s="62">
        <f t="shared" si="106"/>
        <v>209.40702003535273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113.25335929304376</v>
      </c>
      <c r="HH106" s="23">
        <f>EXP(-LN(2)/25)*HH105+(1-EXP(-LN(2)/25))/(LN(2)/25)*Calculateur!HC106*Calculateur!HE106*VLOOKUP('Données projet'!$B$18,Paramètres!$A$1:$I$89,3,0)*0.475*44/12</f>
        <v>7.9667775821880218</v>
      </c>
      <c r="HI106" s="23">
        <f>EXP(-LN(2)/2)*HI105+(1-EXP(-LN(2)/2))/(LN(2)/2)*HC106*HF106*VLOOKUP('Données projet'!$B$18,Paramètres!$A$1:$I$89,3,0)*0.475*44/12</f>
        <v>2.3763792617101343E-5</v>
      </c>
      <c r="HJ106" s="24">
        <f t="shared" si="84"/>
        <v>121.22016063902439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57.880714285714312</v>
      </c>
      <c r="N107" s="14">
        <f>IF('Données projet'!$A$36&gt;35,N106+M107-V106,IF(A107&lt;'Données projet'!$A$36,$K$205^A107,IF(A107='Données projet'!$A$36,'Données projet'!$B$36,N106+M107-V106)))</f>
        <v>2111.9249999999997</v>
      </c>
      <c r="O107" s="14">
        <f>N107*VLOOKUP('Données projet'!$B$9,Paramètres!$A$1:$I$89,3,0)*VLOOKUP('Données projet'!$B$9,Paramètres!$A$1:$I$89,5,0)</f>
        <v>1910.8697399999999</v>
      </c>
      <c r="P107" s="14">
        <f t="shared" si="87"/>
        <v>365.46673210573107</v>
      </c>
      <c r="Q107" s="22">
        <f t="shared" si="107"/>
        <v>3964.6193555841478</v>
      </c>
      <c r="R107" s="62">
        <f t="shared" si="55"/>
        <v>4257.9526889174813</v>
      </c>
      <c r="S107" s="62">
        <f ca="1">AVERAGE(OFFSET($R$3,0,0,'Données projet'!$E$9+1,1))-AVERAGE(OFFSET($H$3,0,0,'Données projet'!$E$9+1,1))</f>
        <v>2472.5049373954762</v>
      </c>
      <c r="T107" s="62">
        <f t="shared" si="88"/>
        <v>286.98388307318311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208.05972580551889</v>
      </c>
      <c r="AA107" s="23">
        <f>EXP(-LN(2)/25)*AA106+(1-EXP(-LN(2)/25))/(LN(2)/25)*Calculateur!V107*Calculateur!X107*VLOOKUP('Données projet'!$B$9,Paramètres!$A$1:$I$89,3,0)*0.475*44/12</f>
        <v>21.253833484937232</v>
      </c>
      <c r="AB107" s="23">
        <f>EXP(-LN(2)/2)*AB106+(1-EXP(-LN(2)/2))/(LN(2)/2)*V107*Y107*VLOOKUP('Données projet'!$B$9,Paramètres!$A$1:$I$89,3,0)*0.475*44/12</f>
        <v>2.9211669204198367</v>
      </c>
      <c r="AC107" s="24">
        <f t="shared" si="57"/>
        <v>232.23472621087595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57.880714285714312</v>
      </c>
      <c r="AI107" s="14">
        <f>IF('Données projet'!$A$62&gt;35,AI106+AH107-AQ106,IF(A107&lt;'Données projet'!$A$62,$AF$205^A107,IF(A107='Données projet'!$A$62,'Données projet'!$B$62,AI106+AH107-AQ106)))</f>
        <v>2111.9249999999997</v>
      </c>
      <c r="AJ107" s="14">
        <f>AI107*VLOOKUP('Données projet'!$B$10,Paramètres!$A$1:$I$89,3,0)*VLOOKUP('Données projet'!$B$10,Paramètres!$A$1:$I$89,5,0)</f>
        <v>2141.4919499999996</v>
      </c>
      <c r="AK107" s="14">
        <f t="shared" si="89"/>
        <v>404.17841524871238</v>
      </c>
      <c r="AL107" s="22">
        <f t="shared" si="58"/>
        <v>4433.7092194748402</v>
      </c>
      <c r="AM107" s="62">
        <f t="shared" si="59"/>
        <v>4727.0425528081732</v>
      </c>
      <c r="AN107" s="62">
        <f ca="1">AVERAGE(OFFSET($AM$3,0,0,'Données projet'!$E$10+1,1))-AVERAGE(OFFSET($H$3,0,0,'Données projet'!$E$10+1,1))</f>
        <v>2761.1400657295467</v>
      </c>
      <c r="AO107" s="62">
        <f t="shared" si="90"/>
        <v>316.41877504316409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233.17038236825397</v>
      </c>
      <c r="AV107" s="23">
        <f>EXP(-LN(2)/25)*AV106+(1-EXP(-LN(2)/25))/(LN(2)/25)*Calculateur!AQ107*Calculateur!AS107*VLOOKUP('Données projet'!$B$10,Paramètres!$A$1:$I$89,3,0)*0.475*44/12</f>
        <v>23.818951319326207</v>
      </c>
      <c r="AW107" s="23">
        <f>EXP(-LN(2)/2)*AW106+(1-EXP(-LN(2)/2))/(LN(2)/2)*AQ107*AT107*VLOOKUP('Données projet'!$B$10,Paramètres!$A$1:$I$89,3,0)*0.475*44/12</f>
        <v>3.2737215487463684</v>
      </c>
      <c r="AX107" s="23">
        <f t="shared" si="60"/>
        <v>260.26305523632658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57.880714285714312</v>
      </c>
      <c r="BD107" s="13">
        <f>IF('Données projet'!$A$88&gt;35,BD106+BC107-BL106,IF(A107&lt;'Données projet'!$A$88,$BA$205^A107,IF(A107='Données projet'!$A$88,'Données projet'!$B$88,BD106+BC107-BL106)))</f>
        <v>2111.9249999999997</v>
      </c>
      <c r="BE107" s="14">
        <f>BD107*VLOOKUP('Données projet'!$B$11,Paramètres!$A$1:$I$89,3,0)*VLOOKUP('Données projet'!$B$11,Paramètres!$A$1:$I$89,5,0)</f>
        <v>2207.3840100000002</v>
      </c>
      <c r="BF107" s="14">
        <f t="shared" si="91"/>
        <v>415.14763717372591</v>
      </c>
      <c r="BG107" s="22">
        <f t="shared" si="61"/>
        <v>4567.5759521609061</v>
      </c>
      <c r="BH107" s="62">
        <f t="shared" si="62"/>
        <v>4860.9092854942392</v>
      </c>
      <c r="BI107" s="62">
        <f ca="1">AVERAGE(OFFSET($BH$3,0,0,'Données projet'!$E$11+1,1))-AVERAGE(OFFSET($H$3,0,0,'Données projet'!$E$11+1,1))</f>
        <v>2843.5086223152098</v>
      </c>
      <c r="BJ107" s="62">
        <f t="shared" si="92"/>
        <v>324.81562437645522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240.3448556718925</v>
      </c>
      <c r="BQ107" s="23">
        <f>EXP(-LN(2)/25)*BQ106+(1-EXP(-LN(2)/25))/(LN(2)/25)*Calculateur!BL107*Calculateur!BN107*VLOOKUP('Données projet'!$B$11,Paramètres!$A$1:$I$89,3,0)*0.475*44/12</f>
        <v>24.551842129151627</v>
      </c>
      <c r="BR107" s="23">
        <f>EXP(-LN(2)/2)*BR106+(1-EXP(-LN(2)/2))/(LN(2)/2)*BL107*BO107*VLOOKUP('Données projet'!$B$11,Paramètres!$A$1:$I$89,3,0)*0.475*44/12</f>
        <v>3.3744514425539474</v>
      </c>
      <c r="BS107" s="24">
        <f t="shared" si="63"/>
        <v>268.27114924359807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57.880714285714312</v>
      </c>
      <c r="BY107" s="13">
        <f>IF('Données projet'!$A$114&gt;35,BY106+BX107-CG106,IF(A107&lt;'Données projet'!$A$114,$BV$205^A107,IF(A107='Données projet'!$A$114,'Données projet'!$B$114,BY106+BX107-CG106)))</f>
        <v>2111.9249999999997</v>
      </c>
      <c r="BZ107" s="14">
        <f>BY107*VLOOKUP('Données projet'!$B$12,Paramètres!$A$1:$I$89,3,0)*VLOOKUP('Données projet'!$B$12,Paramètres!$A$1:$I$89,5,0)</f>
        <v>2108.54592</v>
      </c>
      <c r="CA107" s="14">
        <f t="shared" si="93"/>
        <v>398.67912810980715</v>
      </c>
      <c r="CB107" s="22">
        <f t="shared" si="64"/>
        <v>4366.7502921245805</v>
      </c>
      <c r="CC107" s="62">
        <f t="shared" si="65"/>
        <v>4660.0836254579135</v>
      </c>
      <c r="CD107" s="62">
        <f ca="1">AVERAGE(OFFSET($CC$3,0,0,'Données projet'!$E$12+1,1))-AVERAGE(OFFSET($H$3,0,0,'Données projet'!$E$12+1,1))</f>
        <v>2719.939926994799</v>
      </c>
      <c r="CE107" s="62">
        <f t="shared" si="94"/>
        <v>312.21824046329749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229.58314571643464</v>
      </c>
      <c r="CL107" s="23">
        <f>EXP(-LN(2)/25)*CL106+(1-EXP(-LN(2)/25))/(LN(2)/25)*Calculateur!CG107*Calculateur!CI107*VLOOKUP('Données projet'!$B$12,Paramètres!$A$1:$I$89,3,0)*0.475*44/12</f>
        <v>23.452505914413493</v>
      </c>
      <c r="CM107" s="23">
        <f>EXP(-LN(2)/2)*CM106+(1-EXP(-LN(2)/2))/(LN(2)/2)*CG107*CJ107*VLOOKUP('Données projet'!$B$12,Paramètres!$A$1:$I$89,3,0)*0.475*44/12</f>
        <v>3.2233566018425783</v>
      </c>
      <c r="CN107" s="24">
        <f t="shared" si="66"/>
        <v>256.25900823269069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1.1368683772161603E-12</v>
      </c>
      <c r="CU107" s="18">
        <f>CT107*VLOOKUP('Données projet'!$B$13,Paramètres!$A$1:$I$89,3,0)*VLOOKUP('Données projet'!$B$13,Paramètres!$A$1:$I$89,5,0)</f>
        <v>9.9316821433603771E-13</v>
      </c>
      <c r="CV107" s="14">
        <f t="shared" si="95"/>
        <v>1.1421454694498936E-11</v>
      </c>
      <c r="CW107" s="22">
        <f t="shared" si="67"/>
        <v>2.1622134899554243E-11</v>
      </c>
      <c r="CX107" s="62">
        <f t="shared" si="68"/>
        <v>293.33333333335491</v>
      </c>
      <c r="CY107" s="62">
        <f ca="1">AVERAGE(OFFSET($CX$3,0,0,'Données projet'!$E$13+1,1))-AVERAGE(OFFSET($H$3,0,0,'Données projet'!$E$13+1,1))</f>
        <v>1036.0130072090849</v>
      </c>
      <c r="CZ107" s="62">
        <f t="shared" si="96"/>
        <v>346.56593355696174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416.33909381010761</v>
      </c>
      <c r="DG107" s="23">
        <f>EXP(-LN(2)/25)*DG106+(1-EXP(-LN(2)/25))/(LN(2)/25)*Calculateur!DB107*Calculateur!DD107*VLOOKUP('Données projet'!$B$13,Paramètres!$A$1:$I$89,3,0)*0.475*44/12</f>
        <v>21.755664008276927</v>
      </c>
      <c r="DH107" s="23">
        <f>EXP(-LN(2)/2)*DH106+(1-EXP(-LN(2)/2))/(LN(2)/2)*DB107*DE107*VLOOKUP('Données projet'!$B$13,Paramètres!$A$1:$I$89,3,0)*0.475*44/12</f>
        <v>2.206421279264165E-2</v>
      </c>
      <c r="DI107" s="24">
        <f t="shared" si="69"/>
        <v>438.11682203117721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6.8212102632969618E-13</v>
      </c>
      <c r="DP107" s="18">
        <f>DO107*VLOOKUP('Données projet'!$B$14,Paramètres!$A$1:$I$89,3,0)*VLOOKUP('Données projet'!$B$14,Paramètres!$A$1:$I$89,5,0)</f>
        <v>3.8130565371830017E-13</v>
      </c>
      <c r="DQ107" s="14">
        <f t="shared" si="97"/>
        <v>4.9019074112354236E-12</v>
      </c>
      <c r="DR107" s="22">
        <f t="shared" si="70"/>
        <v>9.2015960881277352E-12</v>
      </c>
      <c r="DS107" s="62">
        <f t="shared" si="71"/>
        <v>293.33333333334252</v>
      </c>
      <c r="DT107" s="62">
        <f ca="1">AVERAGE(OFFSET($DS$3,0,0,'Données projet'!$E$14+1,1))-AVERAGE(OFFSET($H$3,0,0,'Données projet'!$E$14+1,1))</f>
        <v>446.48069057792151</v>
      </c>
      <c r="DU107" s="62">
        <f t="shared" si="98"/>
        <v>561.75656782935948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77.256847105018849</v>
      </c>
      <c r="EB107" s="23">
        <f>EXP(-LN(2)/25)*EB106+(1-EXP(-LN(2)/25))/(LN(2)/25)*Calculateur!DW107*Calculateur!DY107*VLOOKUP('Données projet'!$B$14,Paramètres!$A$1:$I$89,3,0)*0.475*44/12</f>
        <v>23.925320708976852</v>
      </c>
      <c r="EC107" s="23">
        <f>EXP(-LN(2)/2)*EC106+(1-EXP(-LN(2)/2))/(LN(2)/2)*DW107*DZ107*VLOOKUP('Données projet'!$B$14,Paramètres!$A$1:$I$89,3,0)*0.475*44/12</f>
        <v>3.199223802143021E-5</v>
      </c>
      <c r="ED107" s="24">
        <f t="shared" si="72"/>
        <v>101.18219980623373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1.7053025658242404E-13</v>
      </c>
      <c r="EK107" s="18">
        <f>EJ107*VLOOKUP('Données projet'!$B$15,Paramètres!$A$1:$I$89,3,0)*VLOOKUP('Données projet'!$B$15,Paramètres!$A$1:$I$89,5,0)</f>
        <v>1.6493686416652052E-13</v>
      </c>
      <c r="EL107" s="14">
        <f t="shared" si="99"/>
        <v>2.3376205369651282E-12</v>
      </c>
      <c r="EM107" s="22">
        <f t="shared" si="73"/>
        <v>4.3586208069709543E-12</v>
      </c>
      <c r="EN107" s="62">
        <f t="shared" si="74"/>
        <v>293.33333333333769</v>
      </c>
      <c r="EO107" s="62">
        <f ca="1">AVERAGE(OFFSET($EN$3,0,0,'Données projet'!$E$15+1,1))-AVERAGE(OFFSET($H$3,0,0,'Données projet'!$E$15+1,1))</f>
        <v>301.18531163828169</v>
      </c>
      <c r="EP107" s="62">
        <f t="shared" si="100"/>
        <v>192.30530273268101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99.768360285394266</v>
      </c>
      <c r="EW107" s="23">
        <f>EXP(-LN(2)/25)*EW106+(1-EXP(-LN(2)/25))/(LN(2)/25)*Calculateur!ER107*Calculateur!ET107*VLOOKUP('Données projet'!$B$15,Paramètres!$A$1:$I$89,3,0)*0.475*44/12</f>
        <v>6.9628027402232595</v>
      </c>
      <c r="EX107" s="23">
        <f>EXP(-LN(2)/2)*EX106+(1-EXP(-LN(2)/2))/(LN(2)/2)*ER107*EU107*VLOOKUP('Données projet'!$B$15,Paramètres!$A$1:$I$89,3,0)*0.475*44/12</f>
        <v>1.5098832060700284E-5</v>
      </c>
      <c r="EY107" s="24">
        <f t="shared" si="75"/>
        <v>106.73117812444958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1.7053025658242404E-13</v>
      </c>
      <c r="FF107" s="18">
        <f>FE107*VLOOKUP('Données projet'!$B$16,Paramètres!$A$1:$I$89,3,0)*VLOOKUP('Données projet'!$B$16,Paramètres!$A$1:$I$89,5,0)</f>
        <v>1.3301360013429075E-13</v>
      </c>
      <c r="FG107" s="14">
        <f t="shared" si="101"/>
        <v>1.9329766731057041E-12</v>
      </c>
      <c r="FH107" s="22">
        <f t="shared" si="76"/>
        <v>3.5982663925596575E-12</v>
      </c>
      <c r="FI107" s="62">
        <f t="shared" si="77"/>
        <v>293.3333333333369</v>
      </c>
      <c r="FJ107" s="62">
        <f ca="1">AVERAGE(OFFSET($FI$3,0,0,'Données projet'!$E$16+1,1))-AVERAGE(OFFSET($H$3,0,0,'Données projet'!$E$16+1,1))</f>
        <v>249.2899297828755</v>
      </c>
      <c r="FK107" s="62">
        <f t="shared" si="102"/>
        <v>162.88011837476813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80.458355068866339</v>
      </c>
      <c r="FR107" s="23">
        <f>EXP(-LN(2)/25)*FR106+(1-EXP(-LN(2)/25))/(LN(2)/25)*Calculateur!FM107*Calculateur!FO107*VLOOKUP('Données projet'!$B$16,Paramètres!$A$1:$I$89,3,0)*0.475*44/12</f>
        <v>5.6151635001800431</v>
      </c>
      <c r="FS107" s="23">
        <f>EXP(-LN(2)/2)*FS106+(1-EXP(-LN(2)/2))/(LN(2)/2)*FM107*FP107*VLOOKUP('Données projet'!$B$16,Paramètres!$A$1:$I$89,3,0)*0.475*44/12</f>
        <v>1.2176477468306644E-5</v>
      </c>
      <c r="FT107" s="24">
        <f t="shared" si="78"/>
        <v>86.073530745523854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1.7053025658242404E-13</v>
      </c>
      <c r="GA107" s="18">
        <f>FZ107*VLOOKUP('Données projet'!$B$17,Paramètres!$A$1:$I$89,3,0)*VLOOKUP('Données projet'!$B$17,Paramètres!$A$1:$I$89,5,0)</f>
        <v>1.1439169611549005E-13</v>
      </c>
      <c r="GB107" s="14">
        <f t="shared" si="103"/>
        <v>1.6918016515029816E-12</v>
      </c>
      <c r="GC107" s="22">
        <f t="shared" si="79"/>
        <v>3.1457867471021712E-12</v>
      </c>
      <c r="GD107" s="62">
        <f t="shared" si="80"/>
        <v>293.33333333333644</v>
      </c>
      <c r="GE107" s="62">
        <f ca="1">AVERAGE(OFFSET($GD$3,0,0,'Données projet'!$E$17+1,1))-AVERAGE(OFFSET($H$3,0,0,'Données projet'!$E$17+1,1))</f>
        <v>218.89895999738746</v>
      </c>
      <c r="GF107" s="62">
        <f t="shared" si="104"/>
        <v>145.64042897395763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85.28585637299831</v>
      </c>
      <c r="GM107" s="23">
        <f>EXP(-LN(2)/25)*GM106+(1-EXP(-LN(2)/25))/(LN(2)/25)*Calculateur!GH107*Calculateur!GJ107*VLOOKUP('Données projet'!$B$17,Paramètres!$A$1:$I$89,3,0)*0.475*44/12</f>
        <v>5.9520733101908476</v>
      </c>
      <c r="GN107" s="23">
        <f>EXP(-LN(2)/2)*GN106+(1-EXP(-LN(2)/2))/(LN(2)/2)*GH107*GK107*VLOOKUP('Données projet'!$B$17,Paramètres!$A$1:$I$89,3,0)*0.475*44/12</f>
        <v>1.0471770622743747E-5</v>
      </c>
      <c r="GO107" s="23">
        <f t="shared" si="81"/>
        <v>91.237940154959773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1.7053025658242404E-13</v>
      </c>
      <c r="GV107" s="18">
        <f>GU107*VLOOKUP('Données projet'!$B$18,Paramètres!$A$1:$I$89,3,0)*VLOOKUP('Données projet'!$B$18,Paramètres!$A$1:$I$89,5,0)</f>
        <v>1.8355876818532125E-13</v>
      </c>
      <c r="GW107" s="14">
        <f t="shared" si="105"/>
        <v>2.5693529898865504E-12</v>
      </c>
      <c r="GX107" s="22">
        <f t="shared" si="82"/>
        <v>4.7946546453085093E-12</v>
      </c>
      <c r="GY107" s="62">
        <f t="shared" si="83"/>
        <v>293.33333333333809</v>
      </c>
      <c r="GZ107" s="62">
        <f ca="1">AVERAGE(OFFSET($GY$3,0,0,'Données projet'!$E$18+1,1))-AVERAGE(OFFSET($H$3,0,0,'Données projet'!$E$18+1,1))</f>
        <v>331.3579800635751</v>
      </c>
      <c r="HA107" s="62">
        <f t="shared" si="106"/>
        <v>209.40702003535273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111.03252999503547</v>
      </c>
      <c r="HH107" s="23">
        <f>EXP(-LN(2)/25)*HH106+(1-EXP(-LN(2)/25))/(LN(2)/25)*Calculateur!HC107*Calculateur!HE107*VLOOKUP('Données projet'!$B$18,Paramètres!$A$1:$I$89,3,0)*0.475*44/12</f>
        <v>7.7489256302484657</v>
      </c>
      <c r="HI107" s="23">
        <f>EXP(-LN(2)/2)*HI106+(1-EXP(-LN(2)/2))/(LN(2)/2)*HC107*HF107*VLOOKUP('Données projet'!$B$18,Paramètres!$A$1:$I$89,3,0)*0.475*44/12</f>
        <v>1.6803538906263173E-5</v>
      </c>
      <c r="HJ107" s="24">
        <f t="shared" si="84"/>
        <v>118.78147242882285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57.880714285714312</v>
      </c>
      <c r="N108" s="14">
        <f>IF('Données projet'!$A$36&gt;35,N107+M108-V107,IF(A108&lt;'Données projet'!$A$36,$K$205^A108,IF(A108='Données projet'!$A$36,'Données projet'!$B$36,N107+M108-V107)))</f>
        <v>2169.8057142857142</v>
      </c>
      <c r="O108" s="14">
        <f>N108*VLOOKUP('Données projet'!$B$9,Paramètres!$A$1:$I$89,3,0)*VLOOKUP('Données projet'!$B$9,Paramètres!$A$1:$I$89,5,0)</f>
        <v>1963.2402102857141</v>
      </c>
      <c r="P108" s="14">
        <f t="shared" si="87"/>
        <v>374.30307666808841</v>
      </c>
      <c r="Q108" s="22">
        <f t="shared" si="107"/>
        <v>4071.221224777873</v>
      </c>
      <c r="R108" s="62">
        <f t="shared" si="55"/>
        <v>4364.5545581112065</v>
      </c>
      <c r="S108" s="62">
        <f ca="1">AVERAGE(OFFSET($R$3,0,0,'Données projet'!$E$9+1,1))-AVERAGE(OFFSET($H$3,0,0,'Données projet'!$E$9+1,1))</f>
        <v>2472.5049373954762</v>
      </c>
      <c r="T108" s="62">
        <f t="shared" si="88"/>
        <v>286.98388307318311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203.9798014863747</v>
      </c>
      <c r="AA108" s="23">
        <f>EXP(-LN(2)/25)*AA107+(1-EXP(-LN(2)/25))/(LN(2)/25)*Calculateur!V108*Calculateur!X108*VLOOKUP('Données projet'!$B$9,Paramètres!$A$1:$I$89,3,0)*0.475*44/12</f>
        <v>20.672646290601097</v>
      </c>
      <c r="AB108" s="23">
        <f>EXP(-LN(2)/2)*AB107+(1-EXP(-LN(2)/2))/(LN(2)/2)*V108*Y108*VLOOKUP('Données projet'!$B$9,Paramètres!$A$1:$I$89,3,0)*0.475*44/12</f>
        <v>2.0655769384066907</v>
      </c>
      <c r="AC108" s="24">
        <f t="shared" si="57"/>
        <v>226.71802471538248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57.880714285714312</v>
      </c>
      <c r="AI108" s="14">
        <f>IF('Données projet'!$A$62&gt;35,AI107+AH108-AQ107,IF(A108&lt;'Données projet'!$A$62,$AF$205^A108,IF(A108='Données projet'!$A$62,'Données projet'!$B$62,AI107+AH108-AQ107)))</f>
        <v>2169.8057142857142</v>
      </c>
      <c r="AJ108" s="14">
        <f>AI108*VLOOKUP('Données projet'!$B$10,Paramètres!$A$1:$I$89,3,0)*VLOOKUP('Données projet'!$B$10,Paramètres!$A$1:$I$89,5,0)</f>
        <v>2200.1829942857144</v>
      </c>
      <c r="AK108" s="14">
        <f t="shared" si="89"/>
        <v>413.95074041009508</v>
      </c>
      <c r="AL108" s="22">
        <f t="shared" si="58"/>
        <v>4552.9495879285341</v>
      </c>
      <c r="AM108" s="62">
        <f t="shared" si="59"/>
        <v>4846.2829212618672</v>
      </c>
      <c r="AN108" s="62">
        <f ca="1">AVERAGE(OFFSET($AM$3,0,0,'Données projet'!$E$10+1,1))-AVERAGE(OFFSET($H$3,0,0,'Données projet'!$E$10+1,1))</f>
        <v>2761.1400657295467</v>
      </c>
      <c r="AO108" s="62">
        <f t="shared" si="90"/>
        <v>316.41877504316409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228.5980533899027</v>
      </c>
      <c r="AV108" s="23">
        <f>EXP(-LN(2)/25)*AV107+(1-EXP(-LN(2)/25))/(LN(2)/25)*Calculateur!AQ108*Calculateur!AS108*VLOOKUP('Données projet'!$B$10,Paramètres!$A$1:$I$89,3,0)*0.475*44/12</f>
        <v>23.167620842915021</v>
      </c>
      <c r="AW108" s="23">
        <f>EXP(-LN(2)/2)*AW107+(1-EXP(-LN(2)/2))/(LN(2)/2)*AQ108*AT108*VLOOKUP('Données projet'!$B$10,Paramètres!$A$1:$I$89,3,0)*0.475*44/12</f>
        <v>2.3148707068350838</v>
      </c>
      <c r="AX108" s="23">
        <f t="shared" si="60"/>
        <v>254.08054493965281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57.880714285714312</v>
      </c>
      <c r="BD108" s="13">
        <f>IF('Données projet'!$A$88&gt;35,BD107+BC108-BL107,IF(A108&lt;'Données projet'!$A$88,$BA$205^A108,IF(A108='Données projet'!$A$88,'Données projet'!$B$88,BD107+BC108-BL107)))</f>
        <v>2169.8057142857142</v>
      </c>
      <c r="BE108" s="14">
        <f>BD108*VLOOKUP('Données projet'!$B$11,Paramètres!$A$1:$I$89,3,0)*VLOOKUP('Données projet'!$B$11,Paramètres!$A$1:$I$89,5,0)</f>
        <v>2267.8809325714287</v>
      </c>
      <c r="BF108" s="14">
        <f t="shared" si="91"/>
        <v>425.18517888150097</v>
      </c>
      <c r="BG108" s="22">
        <f t="shared" si="61"/>
        <v>4690.4234774471852</v>
      </c>
      <c r="BH108" s="62">
        <f t="shared" si="62"/>
        <v>4983.7568107805182</v>
      </c>
      <c r="BI108" s="62">
        <f ca="1">AVERAGE(OFFSET($BH$3,0,0,'Données projet'!$E$11+1,1))-AVERAGE(OFFSET($H$3,0,0,'Données projet'!$E$11+1,1))</f>
        <v>2843.5086223152098</v>
      </c>
      <c r="BJ108" s="62">
        <f t="shared" si="92"/>
        <v>324.81562437645522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235.6318396480535</v>
      </c>
      <c r="BQ108" s="23">
        <f>EXP(-LN(2)/25)*BQ107+(1-EXP(-LN(2)/25))/(LN(2)/25)*Calculateur!BL108*Calculateur!BN108*VLOOKUP('Données projet'!$B$11,Paramètres!$A$1:$I$89,3,0)*0.475*44/12</f>
        <v>23.880470715004712</v>
      </c>
      <c r="BR108" s="23">
        <f>EXP(-LN(2)/2)*BR107+(1-EXP(-LN(2)/2))/(LN(2)/2)*BL108*BO108*VLOOKUP('Données projet'!$B$11,Paramètres!$A$1:$I$89,3,0)*0.475*44/12</f>
        <v>2.3860974978146237</v>
      </c>
      <c r="BS108" s="24">
        <f t="shared" si="63"/>
        <v>261.89840786087279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57.880714285714312</v>
      </c>
      <c r="BY108" s="13">
        <f>IF('Données projet'!$A$114&gt;35,BY107+BX108-CG107,IF(A108&lt;'Données projet'!$A$114,$BV$205^A108,IF(A108='Données projet'!$A$114,'Données projet'!$B$114,BY107+BX108-CG107)))</f>
        <v>2169.8057142857142</v>
      </c>
      <c r="BZ108" s="14">
        <f>BY108*VLOOKUP('Données projet'!$B$12,Paramètres!$A$1:$I$89,3,0)*VLOOKUP('Données projet'!$B$12,Paramètres!$A$1:$I$89,5,0)</f>
        <v>2166.3340251428572</v>
      </c>
      <c r="CA108" s="14">
        <f t="shared" si="93"/>
        <v>408.31849015379044</v>
      </c>
      <c r="CB108" s="22">
        <f t="shared" si="64"/>
        <v>4484.1864641416614</v>
      </c>
      <c r="CC108" s="62">
        <f t="shared" si="65"/>
        <v>4777.5197974749944</v>
      </c>
      <c r="CD108" s="62">
        <f ca="1">AVERAGE(OFFSET($CC$3,0,0,'Données projet'!$E$12+1,1))-AVERAGE(OFFSET($H$3,0,0,'Données projet'!$E$12+1,1))</f>
        <v>2719.939926994799</v>
      </c>
      <c r="CE108" s="62">
        <f t="shared" si="94"/>
        <v>312.21824046329749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225.08116026082723</v>
      </c>
      <c r="CL108" s="23">
        <f>EXP(-LN(2)/25)*CL107+(1-EXP(-LN(2)/25))/(LN(2)/25)*Calculateur!CG108*Calculateur!CI108*VLOOKUP('Données projet'!$B$12,Paramètres!$A$1:$I$89,3,0)*0.475*44/12</f>
        <v>22.811195906870172</v>
      </c>
      <c r="CM108" s="23">
        <f>EXP(-LN(2)/2)*CM107+(1-EXP(-LN(2)/2))/(LN(2)/2)*CG108*CJ108*VLOOKUP('Données projet'!$B$12,Paramètres!$A$1:$I$89,3,0)*0.475*44/12</f>
        <v>2.2792573113453134</v>
      </c>
      <c r="CN108" s="24">
        <f t="shared" si="66"/>
        <v>250.17161347904272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1.1368683772161603E-12</v>
      </c>
      <c r="CU108" s="18">
        <f>CT108*VLOOKUP('Données projet'!$B$13,Paramètres!$A$1:$I$89,3,0)*VLOOKUP('Données projet'!$B$13,Paramètres!$A$1:$I$89,5,0)</f>
        <v>9.9316821433603771E-13</v>
      </c>
      <c r="CV108" s="14">
        <f t="shared" si="95"/>
        <v>1.1421454694498936E-11</v>
      </c>
      <c r="CW108" s="22">
        <f t="shared" si="67"/>
        <v>2.1622134899554243E-11</v>
      </c>
      <c r="CX108" s="62">
        <f t="shared" si="68"/>
        <v>293.33333333335491</v>
      </c>
      <c r="CY108" s="62">
        <f ca="1">AVERAGE(OFFSET($CX$3,0,0,'Données projet'!$E$13+1,1))-AVERAGE(OFFSET($H$3,0,0,'Données projet'!$E$13+1,1))</f>
        <v>1036.0130072090849</v>
      </c>
      <c r="CZ108" s="62">
        <f t="shared" si="96"/>
        <v>346.56593355696174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408.17493812226394</v>
      </c>
      <c r="DG108" s="23">
        <f>EXP(-LN(2)/25)*DG107+(1-EXP(-LN(2)/25))/(LN(2)/25)*Calculateur!DB108*Calculateur!DD108*VLOOKUP('Données projet'!$B$13,Paramètres!$A$1:$I$89,3,0)*0.475*44/12</f>
        <v>21.160754231889946</v>
      </c>
      <c r="DH108" s="23">
        <f>EXP(-LN(2)/2)*DH107+(1-EXP(-LN(2)/2))/(LN(2)/2)*DB108*DE108*VLOOKUP('Données projet'!$B$13,Paramètres!$A$1:$I$89,3,0)*0.475*44/12</f>
        <v>1.5601754487219883E-2</v>
      </c>
      <c r="DI108" s="24">
        <f t="shared" si="69"/>
        <v>429.35129410864107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6.8212102632969618E-13</v>
      </c>
      <c r="DP108" s="18">
        <f>DO108*VLOOKUP('Données projet'!$B$14,Paramètres!$A$1:$I$89,3,0)*VLOOKUP('Données projet'!$B$14,Paramètres!$A$1:$I$89,5,0)</f>
        <v>3.8130565371830017E-13</v>
      </c>
      <c r="DQ108" s="14">
        <f t="shared" si="97"/>
        <v>4.9019074112354236E-12</v>
      </c>
      <c r="DR108" s="22">
        <f t="shared" si="70"/>
        <v>9.2015960881277352E-12</v>
      </c>
      <c r="DS108" s="62">
        <f t="shared" si="71"/>
        <v>293.33333333334252</v>
      </c>
      <c r="DT108" s="62">
        <f ca="1">AVERAGE(OFFSET($DS$3,0,0,'Données projet'!$E$14+1,1))-AVERAGE(OFFSET($H$3,0,0,'Données projet'!$E$14+1,1))</f>
        <v>446.48069057792151</v>
      </c>
      <c r="DU108" s="62">
        <f t="shared" si="98"/>
        <v>561.75656782935948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75.741887455313247</v>
      </c>
      <c r="EB108" s="23">
        <f>EXP(-LN(2)/25)*EB107+(1-EXP(-LN(2)/25))/(LN(2)/25)*Calculateur!DW108*Calculateur!DY108*VLOOKUP('Données projet'!$B$14,Paramètres!$A$1:$I$89,3,0)*0.475*44/12</f>
        <v>23.271081556011946</v>
      </c>
      <c r="EC108" s="23">
        <f>EXP(-LN(2)/2)*EC107+(1-EXP(-LN(2)/2))/(LN(2)/2)*DW108*DZ108*VLOOKUP('Données projet'!$B$14,Paramètres!$A$1:$I$89,3,0)*0.475*44/12</f>
        <v>2.2621928450287398E-5</v>
      </c>
      <c r="ED108" s="24">
        <f t="shared" si="72"/>
        <v>99.012991633253648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1.7053025658242404E-13</v>
      </c>
      <c r="EK108" s="18">
        <f>EJ108*VLOOKUP('Données projet'!$B$15,Paramètres!$A$1:$I$89,3,0)*VLOOKUP('Données projet'!$B$15,Paramètres!$A$1:$I$89,5,0)</f>
        <v>1.6493686416652052E-13</v>
      </c>
      <c r="EL108" s="14">
        <f t="shared" si="99"/>
        <v>2.3376205369651282E-12</v>
      </c>
      <c r="EM108" s="22">
        <f t="shared" si="73"/>
        <v>4.3586208069709543E-12</v>
      </c>
      <c r="EN108" s="62">
        <f t="shared" si="74"/>
        <v>293.33333333333769</v>
      </c>
      <c r="EO108" s="62">
        <f ca="1">AVERAGE(OFFSET($EN$3,0,0,'Données projet'!$E$15+1,1))-AVERAGE(OFFSET($H$3,0,0,'Données projet'!$E$15+1,1))</f>
        <v>301.18531163828169</v>
      </c>
      <c r="EP108" s="62">
        <f t="shared" si="100"/>
        <v>192.30530273268101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97.811963592888759</v>
      </c>
      <c r="EW108" s="23">
        <f>EXP(-LN(2)/25)*EW107+(1-EXP(-LN(2)/25))/(LN(2)/25)*Calculateur!ER108*Calculateur!ET108*VLOOKUP('Données projet'!$B$15,Paramètres!$A$1:$I$89,3,0)*0.475*44/12</f>
        <v>6.7724045331339724</v>
      </c>
      <c r="EX108" s="23">
        <f>EXP(-LN(2)/2)*EX107+(1-EXP(-LN(2)/2))/(LN(2)/2)*ER108*EU108*VLOOKUP('Données projet'!$B$15,Paramètres!$A$1:$I$89,3,0)*0.475*44/12</f>
        <v>1.0676486538118026E-5</v>
      </c>
      <c r="EY108" s="24">
        <f t="shared" si="75"/>
        <v>104.58437880250926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1.7053025658242404E-13</v>
      </c>
      <c r="FF108" s="18">
        <f>FE108*VLOOKUP('Données projet'!$B$16,Paramètres!$A$1:$I$89,3,0)*VLOOKUP('Données projet'!$B$16,Paramètres!$A$1:$I$89,5,0)</f>
        <v>1.3301360013429075E-13</v>
      </c>
      <c r="FG108" s="14">
        <f t="shared" si="101"/>
        <v>1.9329766731057041E-12</v>
      </c>
      <c r="FH108" s="22">
        <f t="shared" si="76"/>
        <v>3.5982663925596575E-12</v>
      </c>
      <c r="FI108" s="62">
        <f t="shared" si="77"/>
        <v>293.3333333333369</v>
      </c>
      <c r="FJ108" s="62">
        <f ca="1">AVERAGE(OFFSET($FI$3,0,0,'Données projet'!$E$16+1,1))-AVERAGE(OFFSET($H$3,0,0,'Données projet'!$E$16+1,1))</f>
        <v>249.2899297828755</v>
      </c>
      <c r="FK108" s="62">
        <f t="shared" si="102"/>
        <v>162.88011837476813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78.88061580071674</v>
      </c>
      <c r="FR108" s="23">
        <f>EXP(-LN(2)/25)*FR107+(1-EXP(-LN(2)/25))/(LN(2)/25)*Calculateur!FM108*Calculateur!FO108*VLOOKUP('Données projet'!$B$16,Paramètres!$A$1:$I$89,3,0)*0.475*44/12</f>
        <v>5.4616165589790047</v>
      </c>
      <c r="FS108" s="23">
        <f>EXP(-LN(2)/2)*FS107+(1-EXP(-LN(2)/2))/(LN(2)/2)*FM108*FP108*VLOOKUP('Données projet'!$B$16,Paramètres!$A$1:$I$89,3,0)*0.475*44/12</f>
        <v>8.6100697888048321E-6</v>
      </c>
      <c r="FT108" s="24">
        <f t="shared" si="78"/>
        <v>84.342240969765527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1.7053025658242404E-13</v>
      </c>
      <c r="GA108" s="18">
        <f>FZ108*VLOOKUP('Données projet'!$B$17,Paramètres!$A$1:$I$89,3,0)*VLOOKUP('Données projet'!$B$17,Paramètres!$A$1:$I$89,5,0)</f>
        <v>1.1439169611549005E-13</v>
      </c>
      <c r="GB108" s="14">
        <f t="shared" si="103"/>
        <v>1.6918016515029816E-12</v>
      </c>
      <c r="GC108" s="22">
        <f t="shared" si="79"/>
        <v>3.1457867471021712E-12</v>
      </c>
      <c r="GD108" s="62">
        <f t="shared" si="80"/>
        <v>293.33333333333644</v>
      </c>
      <c r="GE108" s="62">
        <f ca="1">AVERAGE(OFFSET($GD$3,0,0,'Données projet'!$E$17+1,1))-AVERAGE(OFFSET($H$3,0,0,'Données projet'!$E$17+1,1))</f>
        <v>218.89895999738746</v>
      </c>
      <c r="GF108" s="62">
        <f t="shared" si="104"/>
        <v>145.64042897395763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83.613452748759727</v>
      </c>
      <c r="GM108" s="23">
        <f>EXP(-LN(2)/25)*GM107+(1-EXP(-LN(2)/25))/(LN(2)/25)*Calculateur!GH108*Calculateur!GJ108*VLOOKUP('Données projet'!$B$17,Paramètres!$A$1:$I$89,3,0)*0.475*44/12</f>
        <v>5.789313552517747</v>
      </c>
      <c r="GN108" s="23">
        <f>EXP(-LN(2)/2)*GN107+(1-EXP(-LN(2)/2))/(LN(2)/2)*GH108*GK108*VLOOKUP('Données projet'!$B$17,Paramètres!$A$1:$I$89,3,0)*0.475*44/12</f>
        <v>7.4046600183721795E-6</v>
      </c>
      <c r="GO108" s="23">
        <f t="shared" si="81"/>
        <v>89.402773705937491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1.7053025658242404E-13</v>
      </c>
      <c r="GV108" s="18">
        <f>GU108*VLOOKUP('Données projet'!$B$18,Paramètres!$A$1:$I$89,3,0)*VLOOKUP('Données projet'!$B$18,Paramètres!$A$1:$I$89,5,0)</f>
        <v>1.8355876818532125E-13</v>
      </c>
      <c r="GW108" s="14">
        <f t="shared" si="105"/>
        <v>2.5693529898865504E-12</v>
      </c>
      <c r="GX108" s="22">
        <f t="shared" si="82"/>
        <v>4.7946546453085093E-12</v>
      </c>
      <c r="GY108" s="62">
        <f t="shared" si="83"/>
        <v>293.33333333333809</v>
      </c>
      <c r="GZ108" s="62">
        <f ca="1">AVERAGE(OFFSET($GY$3,0,0,'Données projet'!$E$18+1,1))-AVERAGE(OFFSET($H$3,0,0,'Données projet'!$E$18+1,1))</f>
        <v>331.3579800635751</v>
      </c>
      <c r="HA108" s="62">
        <f t="shared" si="106"/>
        <v>209.40702003535273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108.85524980498901</v>
      </c>
      <c r="HH108" s="23">
        <f>EXP(-LN(2)/25)*HH107+(1-EXP(-LN(2)/25))/(LN(2)/25)*Calculateur!HC108*Calculateur!HE108*VLOOKUP('Données projet'!$B$18,Paramètres!$A$1:$I$89,3,0)*0.475*44/12</f>
        <v>7.5370308513910329</v>
      </c>
      <c r="HI108" s="23">
        <f>EXP(-LN(2)/2)*HI107+(1-EXP(-LN(2)/2))/(LN(2)/2)*HC108*HF108*VLOOKUP('Données projet'!$B$18,Paramètres!$A$1:$I$89,3,0)*0.475*44/12</f>
        <v>1.1881896308550672E-5</v>
      </c>
      <c r="HJ108" s="24">
        <f t="shared" si="84"/>
        <v>116.39229253827637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57.880714285714312</v>
      </c>
      <c r="N109" s="14">
        <f>IF('Données projet'!$A$36&gt;35,N108+M109-V108,IF(A109&lt;'Données projet'!$A$36,$K$205^A109,IF(A109='Données projet'!$A$36,'Données projet'!$B$36,N108+M109-V108)))</f>
        <v>2227.6864285714287</v>
      </c>
      <c r="O109" s="14">
        <f>N109*VLOOKUP('Données projet'!$B$9,Paramètres!$A$1:$I$89,3,0)*VLOOKUP('Données projet'!$B$9,Paramètres!$A$1:$I$89,5,0)</f>
        <v>2015.6106805714287</v>
      </c>
      <c r="P109" s="14">
        <f t="shared" si="87"/>
        <v>383.11202322084972</v>
      </c>
      <c r="Q109" s="22">
        <f t="shared" si="107"/>
        <v>4177.7753757715518</v>
      </c>
      <c r="R109" s="62">
        <f t="shared" si="55"/>
        <v>4471.1087091048848</v>
      </c>
      <c r="S109" s="62">
        <f ca="1">AVERAGE(OFFSET($R$3,0,0,'Données projet'!$E$9+1,1))-AVERAGE(OFFSET($H$3,0,0,'Données projet'!$E$9+1,1))</f>
        <v>2472.5049373954762</v>
      </c>
      <c r="T109" s="62">
        <f t="shared" si="88"/>
        <v>286.98388307318311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199.9798819946208</v>
      </c>
      <c r="AA109" s="23">
        <f>EXP(-LN(2)/25)*AA108+(1-EXP(-LN(2)/25))/(LN(2)/25)*Calculateur!V109*Calculateur!X109*VLOOKUP('Données projet'!$B$9,Paramètres!$A$1:$I$89,3,0)*0.475*44/12</f>
        <v>20.107351690657389</v>
      </c>
      <c r="AB109" s="23">
        <f>EXP(-LN(2)/2)*AB108+(1-EXP(-LN(2)/2))/(LN(2)/2)*V109*Y109*VLOOKUP('Données projet'!$B$9,Paramètres!$A$1:$I$89,3,0)*0.475*44/12</f>
        <v>1.4605834602099186</v>
      </c>
      <c r="AC109" s="24">
        <f t="shared" si="57"/>
        <v>221.54781714548812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57.880714285714312</v>
      </c>
      <c r="AI109" s="14">
        <f>IF('Données projet'!$A$62&gt;35,AI108+AH109-AQ108,IF(A109&lt;'Données projet'!$A$62,$AF$205^A109,IF(A109='Données projet'!$A$62,'Données projet'!$B$62,AI108+AH109-AQ108)))</f>
        <v>2227.6864285714287</v>
      </c>
      <c r="AJ109" s="14">
        <f>AI109*VLOOKUP('Données projet'!$B$10,Paramètres!$A$1:$I$89,3,0)*VLOOKUP('Données projet'!$B$10,Paramètres!$A$1:$I$89,5,0)</f>
        <v>2258.8740385714291</v>
      </c>
      <c r="AK109" s="14">
        <f t="shared" si="89"/>
        <v>423.692765456237</v>
      </c>
      <c r="AL109" s="22">
        <f t="shared" si="58"/>
        <v>4672.1371836815188</v>
      </c>
      <c r="AM109" s="62">
        <f t="shared" si="59"/>
        <v>4965.4705170148518</v>
      </c>
      <c r="AN109" s="62">
        <f ca="1">AVERAGE(OFFSET($AM$3,0,0,'Données projet'!$E$10+1,1))-AVERAGE(OFFSET($H$3,0,0,'Données projet'!$E$10+1,1))</f>
        <v>2761.1400657295467</v>
      </c>
      <c r="AO109" s="62">
        <f t="shared" si="90"/>
        <v>316.41877504316409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224.11538499397162</v>
      </c>
      <c r="AV109" s="23">
        <f>EXP(-LN(2)/25)*AV108+(1-EXP(-LN(2)/25))/(LN(2)/25)*Calculateur!AQ109*Calculateur!AS109*VLOOKUP('Données projet'!$B$10,Paramètres!$A$1:$I$89,3,0)*0.475*44/12</f>
        <v>22.534101032633281</v>
      </c>
      <c r="AW109" s="23">
        <f>EXP(-LN(2)/2)*AW108+(1-EXP(-LN(2)/2))/(LN(2)/2)*AQ109*AT109*VLOOKUP('Données projet'!$B$10,Paramètres!$A$1:$I$89,3,0)*0.475*44/12</f>
        <v>1.6368607743731842</v>
      </c>
      <c r="AX109" s="23">
        <f t="shared" si="60"/>
        <v>248.28634680097809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57.880714285714312</v>
      </c>
      <c r="BD109" s="13">
        <f>IF('Données projet'!$A$88&gt;35,BD108+BC109-BL108,IF(A109&lt;'Données projet'!$A$88,$BA$205^A109,IF(A109='Données projet'!$A$88,'Données projet'!$B$88,BD108+BC109-BL108)))</f>
        <v>2227.6864285714287</v>
      </c>
      <c r="BE109" s="14">
        <f>BD109*VLOOKUP('Données projet'!$B$11,Paramètres!$A$1:$I$89,3,0)*VLOOKUP('Données projet'!$B$11,Paramètres!$A$1:$I$89,5,0)</f>
        <v>2328.3778551428577</v>
      </c>
      <c r="BF109" s="14">
        <f t="shared" si="91"/>
        <v>435.19159814242119</v>
      </c>
      <c r="BG109" s="22">
        <f t="shared" si="61"/>
        <v>4813.2167978051939</v>
      </c>
      <c r="BH109" s="62">
        <f t="shared" si="62"/>
        <v>5106.5501311385269</v>
      </c>
      <c r="BI109" s="62">
        <f ca="1">AVERAGE(OFFSET($BH$3,0,0,'Données projet'!$E$11+1,1))-AVERAGE(OFFSET($H$3,0,0,'Données projet'!$E$11+1,1))</f>
        <v>2843.5086223152098</v>
      </c>
      <c r="BJ109" s="62">
        <f t="shared" si="92"/>
        <v>324.81562437645522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231.01124299378606</v>
      </c>
      <c r="BQ109" s="23">
        <f>EXP(-LN(2)/25)*BQ108+(1-EXP(-LN(2)/25))/(LN(2)/25)*Calculateur!BL109*Calculateur!BN109*VLOOKUP('Données projet'!$B$11,Paramètres!$A$1:$I$89,3,0)*0.475*44/12</f>
        <v>23.227457987483533</v>
      </c>
      <c r="BR109" s="23">
        <f>EXP(-LN(2)/2)*BR108+(1-EXP(-LN(2)/2))/(LN(2)/2)*BL109*BO109*VLOOKUP('Données projet'!$B$11,Paramètres!$A$1:$I$89,3,0)*0.475*44/12</f>
        <v>1.6872257212769737</v>
      </c>
      <c r="BS109" s="24">
        <f t="shared" si="63"/>
        <v>255.92592670254655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57.880714285714312</v>
      </c>
      <c r="BY109" s="13">
        <f>IF('Données projet'!$A$114&gt;35,BY108+BX109-CG108,IF(A109&lt;'Données projet'!$A$114,$BV$205^A109,IF(A109='Données projet'!$A$114,'Données projet'!$B$114,BY108+BX109-CG108)))</f>
        <v>2227.6864285714287</v>
      </c>
      <c r="BZ109" s="14">
        <f>BY109*VLOOKUP('Données projet'!$B$12,Paramètres!$A$1:$I$89,3,0)*VLOOKUP('Données projet'!$B$12,Paramètres!$A$1:$I$89,5,0)</f>
        <v>2224.1221302857143</v>
      </c>
      <c r="CA109" s="14">
        <f t="shared" si="93"/>
        <v>417.92796434857053</v>
      </c>
      <c r="CB109" s="22">
        <f t="shared" si="64"/>
        <v>4601.5705814880466</v>
      </c>
      <c r="CC109" s="62">
        <f t="shared" si="65"/>
        <v>4894.9039148213797</v>
      </c>
      <c r="CD109" s="62">
        <f ca="1">AVERAGE(OFFSET($CC$3,0,0,'Données projet'!$E$12+1,1))-AVERAGE(OFFSET($H$3,0,0,'Données projet'!$E$12+1,1))</f>
        <v>2719.939926994799</v>
      </c>
      <c r="CE109" s="62">
        <f t="shared" si="94"/>
        <v>312.21824046329749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220.66745599406431</v>
      </c>
      <c r="CL109" s="23">
        <f>EXP(-LN(2)/25)*CL108+(1-EXP(-LN(2)/25))/(LN(2)/25)*Calculateur!CG109*Calculateur!CI109*VLOOKUP('Données projet'!$B$12,Paramètres!$A$1:$I$89,3,0)*0.475*44/12</f>
        <v>22.187422555208151</v>
      </c>
      <c r="CM109" s="23">
        <f>EXP(-LN(2)/2)*CM108+(1-EXP(-LN(2)/2))/(LN(2)/2)*CG109*CJ109*VLOOKUP('Données projet'!$B$12,Paramètres!$A$1:$I$89,3,0)*0.475*44/12</f>
        <v>1.6116783009212892</v>
      </c>
      <c r="CN109" s="24">
        <f t="shared" si="66"/>
        <v>244.46655685019374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1.1368683772161603E-12</v>
      </c>
      <c r="CU109" s="18">
        <f>CT109*VLOOKUP('Données projet'!$B$13,Paramètres!$A$1:$I$89,3,0)*VLOOKUP('Données projet'!$B$13,Paramètres!$A$1:$I$89,5,0)</f>
        <v>9.9316821433603771E-13</v>
      </c>
      <c r="CV109" s="14">
        <f t="shared" si="95"/>
        <v>1.1421454694498936E-11</v>
      </c>
      <c r="CW109" s="22">
        <f t="shared" si="67"/>
        <v>2.1622134899554243E-11</v>
      </c>
      <c r="CX109" s="62">
        <f t="shared" si="68"/>
        <v>293.33333333335491</v>
      </c>
      <c r="CY109" s="62">
        <f ca="1">AVERAGE(OFFSET($CX$3,0,0,'Données projet'!$E$13+1,1))-AVERAGE(OFFSET($H$3,0,0,'Données projet'!$E$13+1,1))</f>
        <v>1036.0130072090849</v>
      </c>
      <c r="CZ109" s="62">
        <f t="shared" si="96"/>
        <v>346.56593355696174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400.17087654781562</v>
      </c>
      <c r="DG109" s="23">
        <f>EXP(-LN(2)/25)*DG108+(1-EXP(-LN(2)/25))/(LN(2)/25)*Calculateur!DB109*Calculateur!DD109*VLOOKUP('Données projet'!$B$13,Paramètres!$A$1:$I$89,3,0)*0.475*44/12</f>
        <v>20.582112294623215</v>
      </c>
      <c r="DH109" s="23">
        <f>EXP(-LN(2)/2)*DH108+(1-EXP(-LN(2)/2))/(LN(2)/2)*DB109*DE109*VLOOKUP('Données projet'!$B$13,Paramètres!$A$1:$I$89,3,0)*0.475*44/12</f>
        <v>1.1032106396320827E-2</v>
      </c>
      <c r="DI109" s="24">
        <f t="shared" si="69"/>
        <v>420.7640209488352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6.8212102632969618E-13</v>
      </c>
      <c r="DP109" s="18">
        <f>DO109*VLOOKUP('Données projet'!$B$14,Paramètres!$A$1:$I$89,3,0)*VLOOKUP('Données projet'!$B$14,Paramètres!$A$1:$I$89,5,0)</f>
        <v>3.8130565371830017E-13</v>
      </c>
      <c r="DQ109" s="14">
        <f t="shared" si="97"/>
        <v>4.9019074112354236E-12</v>
      </c>
      <c r="DR109" s="22">
        <f t="shared" si="70"/>
        <v>9.2015960881277352E-12</v>
      </c>
      <c r="DS109" s="62">
        <f t="shared" si="71"/>
        <v>293.33333333334252</v>
      </c>
      <c r="DT109" s="62">
        <f ca="1">AVERAGE(OFFSET($DS$3,0,0,'Données projet'!$E$14+1,1))-AVERAGE(OFFSET($H$3,0,0,'Données projet'!$E$14+1,1))</f>
        <v>446.48069057792151</v>
      </c>
      <c r="DU109" s="62">
        <f t="shared" si="98"/>
        <v>561.75656782935948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74.256635240304234</v>
      </c>
      <c r="EB109" s="23">
        <f>EXP(-LN(2)/25)*EB108+(1-EXP(-LN(2)/25))/(LN(2)/25)*Calculateur!DW109*Calculateur!DY109*VLOOKUP('Données projet'!$B$14,Paramètres!$A$1:$I$89,3,0)*0.475*44/12</f>
        <v>22.634732607089809</v>
      </c>
      <c r="EC109" s="23">
        <f>EXP(-LN(2)/2)*EC108+(1-EXP(-LN(2)/2))/(LN(2)/2)*DW109*DZ109*VLOOKUP('Données projet'!$B$14,Paramètres!$A$1:$I$89,3,0)*0.475*44/12</f>
        <v>1.5996119010715105E-5</v>
      </c>
      <c r="ED109" s="24">
        <f t="shared" si="72"/>
        <v>96.891383843513054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1.7053025658242404E-13</v>
      </c>
      <c r="EK109" s="18">
        <f>EJ109*VLOOKUP('Données projet'!$B$15,Paramètres!$A$1:$I$89,3,0)*VLOOKUP('Données projet'!$B$15,Paramètres!$A$1:$I$89,5,0)</f>
        <v>1.6493686416652052E-13</v>
      </c>
      <c r="EL109" s="14">
        <f t="shared" si="99"/>
        <v>2.3376205369651282E-12</v>
      </c>
      <c r="EM109" s="22">
        <f t="shared" si="73"/>
        <v>4.3586208069709543E-12</v>
      </c>
      <c r="EN109" s="62">
        <f t="shared" si="74"/>
        <v>293.33333333333769</v>
      </c>
      <c r="EO109" s="62">
        <f ca="1">AVERAGE(OFFSET($EN$3,0,0,'Données projet'!$E$15+1,1))-AVERAGE(OFFSET($H$3,0,0,'Données projet'!$E$15+1,1))</f>
        <v>301.18531163828169</v>
      </c>
      <c r="EP109" s="62">
        <f t="shared" si="100"/>
        <v>192.30530273268101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95.893930646239127</v>
      </c>
      <c r="EW109" s="23">
        <f>EXP(-LN(2)/25)*EW108+(1-EXP(-LN(2)/25))/(LN(2)/25)*Calculateur!ER109*Calculateur!ET109*VLOOKUP('Données projet'!$B$15,Paramètres!$A$1:$I$89,3,0)*0.475*44/12</f>
        <v>6.5872127750301477</v>
      </c>
      <c r="EX109" s="23">
        <f>EXP(-LN(2)/2)*EX108+(1-EXP(-LN(2)/2))/(LN(2)/2)*ER109*EU109*VLOOKUP('Données projet'!$B$15,Paramètres!$A$1:$I$89,3,0)*0.475*44/12</f>
        <v>7.5494160303501439E-6</v>
      </c>
      <c r="EY109" s="24">
        <f t="shared" si="75"/>
        <v>102.48115097068531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1.7053025658242404E-13</v>
      </c>
      <c r="FF109" s="18">
        <f>FE109*VLOOKUP('Données projet'!$B$16,Paramètres!$A$1:$I$89,3,0)*VLOOKUP('Données projet'!$B$16,Paramètres!$A$1:$I$89,5,0)</f>
        <v>1.3301360013429075E-13</v>
      </c>
      <c r="FG109" s="14">
        <f t="shared" si="101"/>
        <v>1.9329766731057041E-12</v>
      </c>
      <c r="FH109" s="22">
        <f t="shared" si="76"/>
        <v>3.5982663925596575E-12</v>
      </c>
      <c r="FI109" s="62">
        <f t="shared" si="77"/>
        <v>293.3333333333369</v>
      </c>
      <c r="FJ109" s="62">
        <f ca="1">AVERAGE(OFFSET($FI$3,0,0,'Données projet'!$E$16+1,1))-AVERAGE(OFFSET($H$3,0,0,'Données projet'!$E$16+1,1))</f>
        <v>249.2899297828755</v>
      </c>
      <c r="FK109" s="62">
        <f t="shared" si="102"/>
        <v>162.88011837476813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77.333815037289611</v>
      </c>
      <c r="FR109" s="23">
        <f>EXP(-LN(2)/25)*FR108+(1-EXP(-LN(2)/25))/(LN(2)/25)*Calculateur!FM109*Calculateur!FO109*VLOOKUP('Données projet'!$B$16,Paramètres!$A$1:$I$89,3,0)*0.475*44/12</f>
        <v>5.3122683669597919</v>
      </c>
      <c r="FS109" s="23">
        <f>EXP(-LN(2)/2)*FS108+(1-EXP(-LN(2)/2))/(LN(2)/2)*FM109*FP109*VLOOKUP('Données projet'!$B$16,Paramètres!$A$1:$I$89,3,0)*0.475*44/12</f>
        <v>6.088238734153322E-6</v>
      </c>
      <c r="FT109" s="24">
        <f t="shared" si="78"/>
        <v>82.64608949248813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1.7053025658242404E-13</v>
      </c>
      <c r="GA109" s="18">
        <f>FZ109*VLOOKUP('Données projet'!$B$17,Paramètres!$A$1:$I$89,3,0)*VLOOKUP('Données projet'!$B$17,Paramètres!$A$1:$I$89,5,0)</f>
        <v>1.1439169611549005E-13</v>
      </c>
      <c r="GB109" s="14">
        <f t="shared" si="103"/>
        <v>1.6918016515029816E-12</v>
      </c>
      <c r="GC109" s="22">
        <f t="shared" si="79"/>
        <v>3.1457867471021712E-12</v>
      </c>
      <c r="GD109" s="62">
        <f t="shared" si="80"/>
        <v>293.33333333333644</v>
      </c>
      <c r="GE109" s="62">
        <f ca="1">AVERAGE(OFFSET($GD$3,0,0,'Données projet'!$E$17+1,1))-AVERAGE(OFFSET($H$3,0,0,'Données projet'!$E$17+1,1))</f>
        <v>218.89895999738746</v>
      </c>
      <c r="GF109" s="62">
        <f t="shared" si="104"/>
        <v>145.64042897395763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81.973843939526972</v>
      </c>
      <c r="GM109" s="23">
        <f>EXP(-LN(2)/25)*GM108+(1-EXP(-LN(2)/25))/(LN(2)/25)*Calculateur!GH109*Calculateur!GJ109*VLOOKUP('Données projet'!$B$17,Paramètres!$A$1:$I$89,3,0)*0.475*44/12</f>
        <v>5.6310044689773813</v>
      </c>
      <c r="GN109" s="23">
        <f>EXP(-LN(2)/2)*GN108+(1-EXP(-LN(2)/2))/(LN(2)/2)*GH109*GK109*VLOOKUP('Données projet'!$B$17,Paramètres!$A$1:$I$89,3,0)*0.475*44/12</f>
        <v>5.2358853113718745E-6</v>
      </c>
      <c r="GO109" s="23">
        <f t="shared" si="81"/>
        <v>87.604853644389664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1.7053025658242404E-13</v>
      </c>
      <c r="GV109" s="18">
        <f>GU109*VLOOKUP('Données projet'!$B$18,Paramètres!$A$1:$I$89,3,0)*VLOOKUP('Données projet'!$B$18,Paramètres!$A$1:$I$89,5,0)</f>
        <v>1.8355876818532125E-13</v>
      </c>
      <c r="GW109" s="14">
        <f t="shared" si="105"/>
        <v>2.5693529898865504E-12</v>
      </c>
      <c r="GX109" s="22">
        <f t="shared" si="82"/>
        <v>4.7946546453085093E-12</v>
      </c>
      <c r="GY109" s="62">
        <f t="shared" si="83"/>
        <v>293.33333333333809</v>
      </c>
      <c r="GZ109" s="62">
        <f ca="1">AVERAGE(OFFSET($GY$3,0,0,'Données projet'!$E$18+1,1))-AVERAGE(OFFSET($H$3,0,0,'Données projet'!$E$18+1,1))</f>
        <v>331.3579800635751</v>
      </c>
      <c r="HA109" s="62">
        <f t="shared" si="106"/>
        <v>209.40702003535273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106.72066475145958</v>
      </c>
      <c r="HH109" s="23">
        <f>EXP(-LN(2)/25)*HH108+(1-EXP(-LN(2)/25))/(LN(2)/25)*Calculateur!HC109*Calculateur!HE109*VLOOKUP('Données projet'!$B$18,Paramètres!$A$1:$I$89,3,0)*0.475*44/12</f>
        <v>7.3309303464045188</v>
      </c>
      <c r="HI109" s="23">
        <f>EXP(-LN(2)/2)*HI108+(1-EXP(-LN(2)/2))/(LN(2)/2)*HC109*HF109*VLOOKUP('Données projet'!$B$18,Paramètres!$A$1:$I$89,3,0)*0.475*44/12</f>
        <v>8.4017694531315864E-6</v>
      </c>
      <c r="HJ109" s="24">
        <f t="shared" si="84"/>
        <v>114.05160349963354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57.880714285714312</v>
      </c>
      <c r="N110" s="14">
        <f>IF('Données projet'!$A$36&gt;35,N109+M110-V109,IF(A110&lt;'Données projet'!$A$36,$K$205^A110,IF(A110='Données projet'!$A$36,'Données projet'!$B$36,N109+M110-V109)))</f>
        <v>2285.5671428571432</v>
      </c>
      <c r="O110" s="14">
        <f>N110*VLOOKUP('Données projet'!$B$9,Paramètres!$A$1:$I$89,3,0)*VLOOKUP('Données projet'!$B$9,Paramètres!$A$1:$I$89,5,0)</f>
        <v>2067.9811508571429</v>
      </c>
      <c r="P110" s="14">
        <f t="shared" si="87"/>
        <v>391.89436547247561</v>
      </c>
      <c r="Q110" s="22">
        <f t="shared" si="107"/>
        <v>4284.2831909407523</v>
      </c>
      <c r="R110" s="62">
        <f t="shared" si="55"/>
        <v>4577.6165242740854</v>
      </c>
      <c r="S110" s="62">
        <f ca="1">AVERAGE(OFFSET($R$3,0,0,'Données projet'!$E$9+1,1))-AVERAGE(OFFSET($H$3,0,0,'Données projet'!$E$9+1,1))</f>
        <v>2472.5049373954762</v>
      </c>
      <c r="T110" s="62">
        <f t="shared" si="88"/>
        <v>286.98388307318311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196.05839848439021</v>
      </c>
      <c r="AA110" s="23">
        <f>EXP(-LN(2)/25)*AA109+(1-EXP(-LN(2)/25))/(LN(2)/25)*Calculateur!V110*Calculateur!X110*VLOOKUP('Données projet'!$B$9,Paramètres!$A$1:$I$89,3,0)*0.475*44/12</f>
        <v>19.557515101276692</v>
      </c>
      <c r="AB110" s="23">
        <f>EXP(-LN(2)/2)*AB109+(1-EXP(-LN(2)/2))/(LN(2)/2)*V110*Y110*VLOOKUP('Données projet'!$B$9,Paramètres!$A$1:$I$89,3,0)*0.475*44/12</f>
        <v>1.0327884692033453</v>
      </c>
      <c r="AC110" s="24">
        <f t="shared" si="57"/>
        <v>216.64870205487026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57.880714285714312</v>
      </c>
      <c r="AI110" s="14">
        <f>IF('Données projet'!$A$62&gt;35,AI109+AH110-AQ109,IF(A110&lt;'Données projet'!$A$62,$AF$205^A110,IF(A110='Données projet'!$A$62,'Données projet'!$B$62,AI109+AH110-AQ109)))</f>
        <v>2285.5671428571432</v>
      </c>
      <c r="AJ110" s="14">
        <f>AI110*VLOOKUP('Données projet'!$B$10,Paramètres!$A$1:$I$89,3,0)*VLOOKUP('Données projet'!$B$10,Paramètres!$A$1:$I$89,5,0)</f>
        <v>2317.5650828571434</v>
      </c>
      <c r="AK110" s="14">
        <f t="shared" si="89"/>
        <v>433.40536816834157</v>
      </c>
      <c r="AL110" s="22">
        <f t="shared" si="58"/>
        <v>4791.2735355360528</v>
      </c>
      <c r="AM110" s="62">
        <f t="shared" si="59"/>
        <v>5084.6068688693858</v>
      </c>
      <c r="AN110" s="62">
        <f ca="1">AVERAGE(OFFSET($AM$3,0,0,'Données projet'!$E$10+1,1))-AVERAGE(OFFSET($H$3,0,0,'Données projet'!$E$10+1,1))</f>
        <v>2761.1400657295467</v>
      </c>
      <c r="AO110" s="62">
        <f t="shared" si="90"/>
        <v>316.41877504316409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219.72061899112697</v>
      </c>
      <c r="AV110" s="23">
        <f>EXP(-LN(2)/25)*AV109+(1-EXP(-LN(2)/25))/(LN(2)/25)*Calculateur!AQ110*Calculateur!AS110*VLOOKUP('Données projet'!$B$10,Paramètres!$A$1:$I$89,3,0)*0.475*44/12</f>
        <v>21.917904854879051</v>
      </c>
      <c r="AW110" s="23">
        <f>EXP(-LN(2)/2)*AW109+(1-EXP(-LN(2)/2))/(LN(2)/2)*AQ110*AT110*VLOOKUP('Données projet'!$B$10,Paramètres!$A$1:$I$89,3,0)*0.475*44/12</f>
        <v>1.1574353534175419</v>
      </c>
      <c r="AX110" s="23">
        <f t="shared" si="60"/>
        <v>242.79595919942358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57.880714285714312</v>
      </c>
      <c r="BD110" s="13">
        <f>IF('Données projet'!$A$88&gt;35,BD109+BC110-BL109,IF(A110&lt;'Données projet'!$A$88,$BA$205^A110,IF(A110='Données projet'!$A$88,'Données projet'!$B$88,BD109+BC110-BL109)))</f>
        <v>2285.5671428571432</v>
      </c>
      <c r="BE110" s="14">
        <f>BD110*VLOOKUP('Données projet'!$B$11,Paramètres!$A$1:$I$89,3,0)*VLOOKUP('Données projet'!$B$11,Paramètres!$A$1:$I$89,5,0)</f>
        <v>2388.8747777142862</v>
      </c>
      <c r="BF110" s="14">
        <f t="shared" si="91"/>
        <v>445.16779656028109</v>
      </c>
      <c r="BG110" s="22">
        <f t="shared" si="61"/>
        <v>4935.9574835282046</v>
      </c>
      <c r="BH110" s="62">
        <f t="shared" si="62"/>
        <v>5229.2908168615377</v>
      </c>
      <c r="BI110" s="62">
        <f ca="1">AVERAGE(OFFSET($BH$3,0,0,'Données projet'!$E$11+1,1))-AVERAGE(OFFSET($H$3,0,0,'Données projet'!$E$11+1,1))</f>
        <v>2843.5086223152098</v>
      </c>
      <c r="BJ110" s="62">
        <f t="shared" si="92"/>
        <v>324.81562437645522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226.48125342162314</v>
      </c>
      <c r="BQ110" s="23">
        <f>EXP(-LN(2)/25)*BQ109+(1-EXP(-LN(2)/25))/(LN(2)/25)*Calculateur!BL110*Calculateur!BN110*VLOOKUP('Données projet'!$B$11,Paramètres!$A$1:$I$89,3,0)*0.475*44/12</f>
        <v>22.592301927336866</v>
      </c>
      <c r="BR110" s="23">
        <f>EXP(-LN(2)/2)*BR109+(1-EXP(-LN(2)/2))/(LN(2)/2)*BL110*BO110*VLOOKUP('Données projet'!$B$11,Paramètres!$A$1:$I$89,3,0)*0.475*44/12</f>
        <v>1.1930487489073118</v>
      </c>
      <c r="BS110" s="24">
        <f t="shared" si="63"/>
        <v>250.26660409786732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57.880714285714312</v>
      </c>
      <c r="BY110" s="13">
        <f>IF('Données projet'!$A$114&gt;35,BY109+BX110-CG109,IF(A110&lt;'Données projet'!$A$114,$BV$205^A110,IF(A110='Données projet'!$A$114,'Données projet'!$B$114,BY109+BX110-CG109)))</f>
        <v>2285.5671428571432</v>
      </c>
      <c r="BZ110" s="14">
        <f>BY110*VLOOKUP('Données projet'!$B$12,Paramètres!$A$1:$I$89,3,0)*VLOOKUP('Données projet'!$B$12,Paramètres!$A$1:$I$89,5,0)</f>
        <v>2281.9102354285719</v>
      </c>
      <c r="CA110" s="14">
        <f t="shared" si="93"/>
        <v>427.50841653218396</v>
      </c>
      <c r="CB110" s="22">
        <f t="shared" si="64"/>
        <v>4718.9041521649833</v>
      </c>
      <c r="CC110" s="62">
        <f t="shared" si="65"/>
        <v>5012.2374854983163</v>
      </c>
      <c r="CD110" s="62">
        <f ca="1">AVERAGE(OFFSET($CC$3,0,0,'Données projet'!$E$12+1,1))-AVERAGE(OFFSET($H$3,0,0,'Données projet'!$E$12+1,1))</f>
        <v>2719.939926994799</v>
      </c>
      <c r="CE110" s="62">
        <f t="shared" si="94"/>
        <v>312.21824046329749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216.34030177587883</v>
      </c>
      <c r="CL110" s="23">
        <f>EXP(-LN(2)/25)*CL109+(1-EXP(-LN(2)/25))/(LN(2)/25)*Calculateur!CG110*Calculateur!CI110*VLOOKUP('Données projet'!$B$12,Paramètres!$A$1:$I$89,3,0)*0.475*44/12</f>
        <v>21.580706318650144</v>
      </c>
      <c r="CM110" s="23">
        <f>EXP(-LN(2)/2)*CM109+(1-EXP(-LN(2)/2))/(LN(2)/2)*CG110*CJ110*VLOOKUP('Données projet'!$B$12,Paramètres!$A$1:$I$89,3,0)*0.475*44/12</f>
        <v>1.1396286556726567</v>
      </c>
      <c r="CN110" s="24">
        <f t="shared" si="66"/>
        <v>239.06063675020164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1.1368683772161603E-12</v>
      </c>
      <c r="CU110" s="18">
        <f>CT110*VLOOKUP('Données projet'!$B$13,Paramètres!$A$1:$I$89,3,0)*VLOOKUP('Données projet'!$B$13,Paramètres!$A$1:$I$89,5,0)</f>
        <v>9.9316821433603771E-13</v>
      </c>
      <c r="CV110" s="14">
        <f t="shared" si="95"/>
        <v>1.1421454694498936E-11</v>
      </c>
      <c r="CW110" s="22">
        <f t="shared" si="67"/>
        <v>2.1622134899554243E-11</v>
      </c>
      <c r="CX110" s="62">
        <f t="shared" si="68"/>
        <v>293.33333333335491</v>
      </c>
      <c r="CY110" s="62">
        <f ca="1">AVERAGE(OFFSET($CX$3,0,0,'Données projet'!$E$13+1,1))-AVERAGE(OFFSET($H$3,0,0,'Données projet'!$E$13+1,1))</f>
        <v>1036.0130072090849</v>
      </c>
      <c r="CZ110" s="62">
        <f t="shared" si="96"/>
        <v>346.56593355696174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392.32376973884675</v>
      </c>
      <c r="DG110" s="23">
        <f>EXP(-LN(2)/25)*DG109+(1-EXP(-LN(2)/25))/(LN(2)/25)*Calculateur!DB110*Calculateur!DD110*VLOOKUP('Données projet'!$B$13,Paramètres!$A$1:$I$89,3,0)*0.475*44/12</f>
        <v>20.019293351560499</v>
      </c>
      <c r="DH110" s="23">
        <f>EXP(-LN(2)/2)*DH109+(1-EXP(-LN(2)/2))/(LN(2)/2)*DB110*DE110*VLOOKUP('Données projet'!$B$13,Paramètres!$A$1:$I$89,3,0)*0.475*44/12</f>
        <v>7.8008772436099424E-3</v>
      </c>
      <c r="DI110" s="24">
        <f t="shared" si="69"/>
        <v>412.35086396765087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6.8212102632969618E-13</v>
      </c>
      <c r="DP110" s="18">
        <f>DO110*VLOOKUP('Données projet'!$B$14,Paramètres!$A$1:$I$89,3,0)*VLOOKUP('Données projet'!$B$14,Paramètres!$A$1:$I$89,5,0)</f>
        <v>3.8130565371830017E-13</v>
      </c>
      <c r="DQ110" s="14">
        <f t="shared" si="97"/>
        <v>4.9019074112354236E-12</v>
      </c>
      <c r="DR110" s="22">
        <f t="shared" si="70"/>
        <v>9.2015960881277352E-12</v>
      </c>
      <c r="DS110" s="62">
        <f t="shared" si="71"/>
        <v>293.33333333334252</v>
      </c>
      <c r="DT110" s="62">
        <f ca="1">AVERAGE(OFFSET($DS$3,0,0,'Données projet'!$E$14+1,1))-AVERAGE(OFFSET($H$3,0,0,'Données projet'!$E$14+1,1))</f>
        <v>446.48069057792151</v>
      </c>
      <c r="DU110" s="62">
        <f t="shared" si="98"/>
        <v>561.75656782935948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72.800507915317141</v>
      </c>
      <c r="EB110" s="23">
        <f>EXP(-LN(2)/25)*EB109+(1-EXP(-LN(2)/25))/(LN(2)/25)*Calculateur!DW110*Calculateur!DY110*VLOOKUP('Données projet'!$B$14,Paramètres!$A$1:$I$89,3,0)*0.475*44/12</f>
        <v>22.015784653640083</v>
      </c>
      <c r="EC110" s="23">
        <f>EXP(-LN(2)/2)*EC109+(1-EXP(-LN(2)/2))/(LN(2)/2)*DW110*DZ110*VLOOKUP('Données projet'!$B$14,Paramètres!$A$1:$I$89,3,0)*0.475*44/12</f>
        <v>1.1310964225143699E-5</v>
      </c>
      <c r="ED110" s="24">
        <f t="shared" si="72"/>
        <v>94.816303879921449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1.7053025658242404E-13</v>
      </c>
      <c r="EK110" s="18">
        <f>EJ110*VLOOKUP('Données projet'!$B$15,Paramètres!$A$1:$I$89,3,0)*VLOOKUP('Données projet'!$B$15,Paramètres!$A$1:$I$89,5,0)</f>
        <v>1.6493686416652052E-13</v>
      </c>
      <c r="EL110" s="14">
        <f t="shared" si="99"/>
        <v>2.3376205369651282E-12</v>
      </c>
      <c r="EM110" s="22">
        <f t="shared" si="73"/>
        <v>4.3586208069709543E-12</v>
      </c>
      <c r="EN110" s="62">
        <f t="shared" si="74"/>
        <v>293.33333333333769</v>
      </c>
      <c r="EO110" s="62">
        <f ca="1">AVERAGE(OFFSET($EN$3,0,0,'Données projet'!$E$15+1,1))-AVERAGE(OFFSET($H$3,0,0,'Données projet'!$E$15+1,1))</f>
        <v>301.18531163828169</v>
      </c>
      <c r="EP110" s="62">
        <f t="shared" si="100"/>
        <v>192.30530273268101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94.013509155788711</v>
      </c>
      <c r="EW110" s="23">
        <f>EXP(-LN(2)/25)*EW109+(1-EXP(-LN(2)/25))/(LN(2)/25)*Calculateur!ER110*Calculateur!ET110*VLOOKUP('Données projet'!$B$15,Paramètres!$A$1:$I$89,3,0)*0.475*44/12</f>
        <v>6.4070850952904834</v>
      </c>
      <c r="EX110" s="23">
        <f>EXP(-LN(2)/2)*EX109+(1-EXP(-LN(2)/2))/(LN(2)/2)*ER110*EU110*VLOOKUP('Données projet'!$B$15,Paramètres!$A$1:$I$89,3,0)*0.475*44/12</f>
        <v>5.3382432690590138E-6</v>
      </c>
      <c r="EY110" s="24">
        <f t="shared" si="75"/>
        <v>100.42059958932246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1.7053025658242404E-13</v>
      </c>
      <c r="FF110" s="18">
        <f>FE110*VLOOKUP('Données projet'!$B$16,Paramètres!$A$1:$I$89,3,0)*VLOOKUP('Données projet'!$B$16,Paramètres!$A$1:$I$89,5,0)</f>
        <v>1.3301360013429075E-13</v>
      </c>
      <c r="FG110" s="14">
        <f t="shared" si="101"/>
        <v>1.9329766731057041E-12</v>
      </c>
      <c r="FH110" s="22">
        <f t="shared" si="76"/>
        <v>3.5982663925596575E-12</v>
      </c>
      <c r="FI110" s="62">
        <f t="shared" si="77"/>
        <v>293.3333333333369</v>
      </c>
      <c r="FJ110" s="62">
        <f ca="1">AVERAGE(OFFSET($FI$3,0,0,'Données projet'!$E$16+1,1))-AVERAGE(OFFSET($H$3,0,0,'Données projet'!$E$16+1,1))</f>
        <v>249.2899297828755</v>
      </c>
      <c r="FK110" s="62">
        <f t="shared" si="102"/>
        <v>162.88011837476813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75.817346093377992</v>
      </c>
      <c r="FR110" s="23">
        <f>EXP(-LN(2)/25)*FR109+(1-EXP(-LN(2)/25))/(LN(2)/25)*Calculateur!FM110*Calculateur!FO110*VLOOKUP('Données projet'!$B$16,Paramètres!$A$1:$I$89,3,0)*0.475*44/12</f>
        <v>5.1670041091052239</v>
      </c>
      <c r="FS110" s="23">
        <f>EXP(-LN(2)/2)*FS109+(1-EXP(-LN(2)/2))/(LN(2)/2)*FM110*FP110*VLOOKUP('Données projet'!$B$16,Paramètres!$A$1:$I$89,3,0)*0.475*44/12</f>
        <v>4.3050348944024161E-6</v>
      </c>
      <c r="FT110" s="24">
        <f t="shared" si="78"/>
        <v>80.984354507518105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1.7053025658242404E-13</v>
      </c>
      <c r="GA110" s="18">
        <f>FZ110*VLOOKUP('Données projet'!$B$17,Paramètres!$A$1:$I$89,3,0)*VLOOKUP('Données projet'!$B$17,Paramètres!$A$1:$I$89,5,0)</f>
        <v>1.1439169611549005E-13</v>
      </c>
      <c r="GB110" s="14">
        <f t="shared" si="103"/>
        <v>1.6918016515029816E-12</v>
      </c>
      <c r="GC110" s="22">
        <f t="shared" si="79"/>
        <v>3.1457867471021712E-12</v>
      </c>
      <c r="GD110" s="62">
        <f t="shared" si="80"/>
        <v>293.33333333333644</v>
      </c>
      <c r="GE110" s="62">
        <f ca="1">AVERAGE(OFFSET($GD$3,0,0,'Données projet'!$E$17+1,1))-AVERAGE(OFFSET($H$3,0,0,'Données projet'!$E$17+1,1))</f>
        <v>218.89895999738746</v>
      </c>
      <c r="GF110" s="62">
        <f t="shared" si="104"/>
        <v>145.64042897395763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80.366386858980647</v>
      </c>
      <c r="GM110" s="23">
        <f>EXP(-LN(2)/25)*GM109+(1-EXP(-LN(2)/25))/(LN(2)/25)*Calculateur!GH110*Calculateur!GJ110*VLOOKUP('Données projet'!$B$17,Paramètres!$A$1:$I$89,3,0)*0.475*44/12</f>
        <v>5.4770243556515394</v>
      </c>
      <c r="GN110" s="23">
        <f>EXP(-LN(2)/2)*GN109+(1-EXP(-LN(2)/2))/(LN(2)/2)*GH110*GK110*VLOOKUP('Données projet'!$B$17,Paramètres!$A$1:$I$89,3,0)*0.475*44/12</f>
        <v>3.7023300091860906E-6</v>
      </c>
      <c r="GO110" s="23">
        <f t="shared" si="81"/>
        <v>85.843414916962189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1.7053025658242404E-13</v>
      </c>
      <c r="GV110" s="18">
        <f>GU110*VLOOKUP('Données projet'!$B$18,Paramètres!$A$1:$I$89,3,0)*VLOOKUP('Données projet'!$B$18,Paramètres!$A$1:$I$89,5,0)</f>
        <v>1.8355876818532125E-13</v>
      </c>
      <c r="GW110" s="14">
        <f t="shared" si="105"/>
        <v>2.5693529898865504E-12</v>
      </c>
      <c r="GX110" s="22">
        <f t="shared" si="82"/>
        <v>4.7946546453085093E-12</v>
      </c>
      <c r="GY110" s="62">
        <f t="shared" si="83"/>
        <v>293.33333333333809</v>
      </c>
      <c r="GZ110" s="62">
        <f ca="1">AVERAGE(OFFSET($GY$3,0,0,'Données projet'!$E$18+1,1))-AVERAGE(OFFSET($H$3,0,0,'Données projet'!$E$18+1,1))</f>
        <v>331.3579800635751</v>
      </c>
      <c r="HA110" s="62">
        <f t="shared" si="106"/>
        <v>209.40702003535273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104.62793760886154</v>
      </c>
      <c r="HH110" s="23">
        <f>EXP(-LN(2)/25)*HH109+(1-EXP(-LN(2)/25))/(LN(2)/25)*Calculateur!HC110*Calculateur!HE110*VLOOKUP('Données projet'!$B$18,Paramètres!$A$1:$I$89,3,0)*0.475*44/12</f>
        <v>7.130465670565215</v>
      </c>
      <c r="HI110" s="23">
        <f>EXP(-LN(2)/2)*HI109+(1-EXP(-LN(2)/2))/(LN(2)/2)*HC110*HF110*VLOOKUP('Données projet'!$B$18,Paramètres!$A$1:$I$89,3,0)*0.475*44/12</f>
        <v>5.9409481542753358E-6</v>
      </c>
      <c r="HJ110" s="24">
        <f t="shared" si="84"/>
        <v>111.75840922037492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57.880714285714312</v>
      </c>
      <c r="N111" s="14">
        <f>IF('Données projet'!$A$36&gt;35,N110+M111-V110,IF(A111&lt;'Données projet'!$A$36,$K$205^A111,IF(A111='Données projet'!$A$36,'Données projet'!$B$36,N110+M111-V110)))</f>
        <v>2343.4478571428576</v>
      </c>
      <c r="O111" s="14">
        <f>N111*VLOOKUP('Données projet'!$B$9,Paramètres!$A$1:$I$89,3,0)*VLOOKUP('Données projet'!$B$9,Paramètres!$A$1:$I$89,5,0)</f>
        <v>2120.3516211428578</v>
      </c>
      <c r="P111" s="14">
        <f t="shared" si="87"/>
        <v>400.65085464025526</v>
      </c>
      <c r="Q111" s="22">
        <f t="shared" si="107"/>
        <v>4390.7459786555883</v>
      </c>
      <c r="R111" s="62">
        <f t="shared" si="55"/>
        <v>4684.0793119889213</v>
      </c>
      <c r="S111" s="62">
        <f ca="1">AVERAGE(OFFSET($R$3,0,0,'Données projet'!$E$9+1,1))-AVERAGE(OFFSET($H$3,0,0,'Données projet'!$E$9+1,1))</f>
        <v>2472.5049373954762</v>
      </c>
      <c r="T111" s="62">
        <f t="shared" si="88"/>
        <v>286.98388307318311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192.21381287392649</v>
      </c>
      <c r="AA111" s="23">
        <f>EXP(-LN(2)/25)*AA110+(1-EXP(-LN(2)/25))/(LN(2)/25)*Calculateur!V111*Calculateur!X111*VLOOKUP('Données projet'!$B$9,Paramètres!$A$1:$I$89,3,0)*0.475*44/12</f>
        <v>19.02271382234726</v>
      </c>
      <c r="AB111" s="23">
        <f>EXP(-LN(2)/2)*AB110+(1-EXP(-LN(2)/2))/(LN(2)/2)*V111*Y111*VLOOKUP('Données projet'!$B$9,Paramètres!$A$1:$I$89,3,0)*0.475*44/12</f>
        <v>0.73029173010495929</v>
      </c>
      <c r="AC111" s="24">
        <f t="shared" si="57"/>
        <v>211.96681842637872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57.880714285714312</v>
      </c>
      <c r="AI111" s="14">
        <f>IF('Données projet'!$A$62&gt;35,AI110+AH111-AQ110,IF(A111&lt;'Données projet'!$A$62,$AF$205^A111,IF(A111='Données projet'!$A$62,'Données projet'!$B$62,AI110+AH111-AQ110)))</f>
        <v>2343.4478571428576</v>
      </c>
      <c r="AJ111" s="14">
        <f>AI111*VLOOKUP('Données projet'!$B$10,Paramètres!$A$1:$I$89,3,0)*VLOOKUP('Données projet'!$B$10,Paramètres!$A$1:$I$89,5,0)</f>
        <v>2376.2561271428581</v>
      </c>
      <c r="AK111" s="14">
        <f t="shared" si="89"/>
        <v>443.089379335606</v>
      </c>
      <c r="AL111" s="22">
        <f t="shared" si="58"/>
        <v>4910.3600904499908</v>
      </c>
      <c r="AM111" s="62">
        <f t="shared" si="59"/>
        <v>5203.6934237833239</v>
      </c>
      <c r="AN111" s="62">
        <f ca="1">AVERAGE(OFFSET($AM$3,0,0,'Données projet'!$E$10+1,1))-AVERAGE(OFFSET($H$3,0,0,'Données projet'!$E$10+1,1))</f>
        <v>2761.1400657295467</v>
      </c>
      <c r="AO111" s="62">
        <f t="shared" si="90"/>
        <v>316.41877504316409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215.41203166905555</v>
      </c>
      <c r="AV111" s="23">
        <f>EXP(-LN(2)/25)*AV110+(1-EXP(-LN(2)/25))/(LN(2)/25)*Calculateur!AQ111*Calculateur!AS111*VLOOKUP('Données projet'!$B$10,Paramètres!$A$1:$I$89,3,0)*0.475*44/12</f>
        <v>21.318558594009861</v>
      </c>
      <c r="AW111" s="23">
        <f>EXP(-LN(2)/2)*AW110+(1-EXP(-LN(2)/2))/(LN(2)/2)*AQ111*AT111*VLOOKUP('Données projet'!$B$10,Paramètres!$A$1:$I$89,3,0)*0.475*44/12</f>
        <v>0.81843038718659211</v>
      </c>
      <c r="AX111" s="23">
        <f t="shared" si="60"/>
        <v>237.549020650252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57.880714285714312</v>
      </c>
      <c r="BD111" s="13">
        <f>IF('Données projet'!$A$88&gt;35,BD110+BC111-BL110,IF(A111&lt;'Données projet'!$A$88,$BA$205^A111,IF(A111='Données projet'!$A$88,'Données projet'!$B$88,BD110+BC111-BL110)))</f>
        <v>2343.4478571428576</v>
      </c>
      <c r="BE111" s="14">
        <f>BD111*VLOOKUP('Données projet'!$B$11,Paramètres!$A$1:$I$89,3,0)*VLOOKUP('Données projet'!$B$11,Paramètres!$A$1:$I$89,5,0)</f>
        <v>2449.3717002857152</v>
      </c>
      <c r="BF111" s="14">
        <f t="shared" si="91"/>
        <v>455.11462747152581</v>
      </c>
      <c r="BG111" s="22">
        <f t="shared" si="61"/>
        <v>5058.6470208438614</v>
      </c>
      <c r="BH111" s="62">
        <f t="shared" si="62"/>
        <v>5351.9803541771944</v>
      </c>
      <c r="BI111" s="62">
        <f ca="1">AVERAGE(OFFSET($BH$3,0,0,'Données projet'!$E$11+1,1))-AVERAGE(OFFSET($H$3,0,0,'Données projet'!$E$11+1,1))</f>
        <v>2843.5086223152098</v>
      </c>
      <c r="BJ111" s="62">
        <f t="shared" si="92"/>
        <v>324.81562437645522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222.04009418194951</v>
      </c>
      <c r="BQ111" s="23">
        <f>EXP(-LN(2)/25)*BQ110+(1-EXP(-LN(2)/25))/(LN(2)/25)*Calculateur!BL111*Calculateur!BN111*VLOOKUP('Données projet'!$B$11,Paramètres!$A$1:$I$89,3,0)*0.475*44/12</f>
        <v>21.974514243056316</v>
      </c>
      <c r="BR111" s="23">
        <f>EXP(-LN(2)/2)*BR110+(1-EXP(-LN(2)/2))/(LN(2)/2)*BL111*BO111*VLOOKUP('Données projet'!$B$11,Paramètres!$A$1:$I$89,3,0)*0.475*44/12</f>
        <v>0.84361286063848684</v>
      </c>
      <c r="BS111" s="24">
        <f t="shared" si="63"/>
        <v>244.8582212856443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57.880714285714312</v>
      </c>
      <c r="BY111" s="13">
        <f>IF('Données projet'!$A$114&gt;35,BY110+BX111-CG110,IF(A111&lt;'Données projet'!$A$114,$BV$205^A111,IF(A111='Données projet'!$A$114,'Données projet'!$B$114,BY110+BX111-CG110)))</f>
        <v>2343.4478571428576</v>
      </c>
      <c r="BZ111" s="14">
        <f>BY111*VLOOKUP('Données projet'!$B$12,Paramètres!$A$1:$I$89,3,0)*VLOOKUP('Données projet'!$B$12,Paramètres!$A$1:$I$89,5,0)</f>
        <v>2339.6983405714291</v>
      </c>
      <c r="CA111" s="14">
        <f t="shared" si="93"/>
        <v>437.06066619003548</v>
      </c>
      <c r="CB111" s="22">
        <f t="shared" si="64"/>
        <v>4836.1886034428835</v>
      </c>
      <c r="CC111" s="62">
        <f t="shared" si="65"/>
        <v>5129.5219367762165</v>
      </c>
      <c r="CD111" s="62">
        <f ca="1">AVERAGE(OFFSET($CC$3,0,0,'Données projet'!$E$12+1,1))-AVERAGE(OFFSET($H$3,0,0,'Données projet'!$E$12+1,1))</f>
        <v>2719.939926994799</v>
      </c>
      <c r="CE111" s="62">
        <f t="shared" si="94"/>
        <v>312.21824046329749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212.09800041260849</v>
      </c>
      <c r="CL111" s="23">
        <f>EXP(-LN(2)/25)*CL110+(1-EXP(-LN(2)/25))/(LN(2)/25)*Calculateur!CG111*Calculateur!CI111*VLOOKUP('Données projet'!$B$12,Paramètres!$A$1:$I$89,3,0)*0.475*44/12</f>
        <v>20.990580769486634</v>
      </c>
      <c r="CM111" s="23">
        <f>EXP(-LN(2)/2)*CM110+(1-EXP(-LN(2)/2))/(LN(2)/2)*CG111*CJ111*VLOOKUP('Données projet'!$B$12,Paramètres!$A$1:$I$89,3,0)*0.475*44/12</f>
        <v>0.80583915046064458</v>
      </c>
      <c r="CN111" s="24">
        <f t="shared" si="66"/>
        <v>233.89442033255577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1.1368683772161603E-12</v>
      </c>
      <c r="CU111" s="18">
        <f>CT111*VLOOKUP('Données projet'!$B$13,Paramètres!$A$1:$I$89,3,0)*VLOOKUP('Données projet'!$B$13,Paramètres!$A$1:$I$89,5,0)</f>
        <v>9.9316821433603771E-13</v>
      </c>
      <c r="CV111" s="14">
        <f t="shared" si="95"/>
        <v>1.1421454694498936E-11</v>
      </c>
      <c r="CW111" s="22">
        <f t="shared" si="67"/>
        <v>2.1622134899554243E-11</v>
      </c>
      <c r="CX111" s="62">
        <f t="shared" si="68"/>
        <v>293.33333333335491</v>
      </c>
      <c r="CY111" s="62">
        <f ca="1">AVERAGE(OFFSET($CX$3,0,0,'Données projet'!$E$13+1,1))-AVERAGE(OFFSET($H$3,0,0,'Données projet'!$E$13+1,1))</f>
        <v>1036.0130072090849</v>
      </c>
      <c r="CZ111" s="62">
        <f t="shared" si="96"/>
        <v>346.56593355696174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384.63053990813921</v>
      </c>
      <c r="DG111" s="23">
        <f>EXP(-LN(2)/25)*DG110+(1-EXP(-LN(2)/25))/(LN(2)/25)*Calculateur!DB111*Calculateur!DD111*VLOOKUP('Données projet'!$B$13,Paramètres!$A$1:$I$89,3,0)*0.475*44/12</f>
        <v>19.471864722093194</v>
      </c>
      <c r="DH111" s="23">
        <f>EXP(-LN(2)/2)*DH110+(1-EXP(-LN(2)/2))/(LN(2)/2)*DB111*DE111*VLOOKUP('Données projet'!$B$13,Paramètres!$A$1:$I$89,3,0)*0.475*44/12</f>
        <v>5.5160531981604142E-3</v>
      </c>
      <c r="DI111" s="24">
        <f t="shared" si="69"/>
        <v>404.10792068343056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6.8212102632969618E-13</v>
      </c>
      <c r="DP111" s="18">
        <f>DO111*VLOOKUP('Données projet'!$B$14,Paramètres!$A$1:$I$89,3,0)*VLOOKUP('Données projet'!$B$14,Paramètres!$A$1:$I$89,5,0)</f>
        <v>3.8130565371830017E-13</v>
      </c>
      <c r="DQ111" s="14">
        <f t="shared" si="97"/>
        <v>4.9019074112354236E-12</v>
      </c>
      <c r="DR111" s="22">
        <f t="shared" si="70"/>
        <v>9.2015960881277352E-12</v>
      </c>
      <c r="DS111" s="62">
        <f t="shared" si="71"/>
        <v>293.33333333334252</v>
      </c>
      <c r="DT111" s="62">
        <f ca="1">AVERAGE(OFFSET($DS$3,0,0,'Données projet'!$E$14+1,1))-AVERAGE(OFFSET($H$3,0,0,'Données projet'!$E$14+1,1))</f>
        <v>446.48069057792151</v>
      </c>
      <c r="DU111" s="62">
        <f t="shared" si="98"/>
        <v>561.75656782935948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71.372934359023077</v>
      </c>
      <c r="EB111" s="23">
        <f>EXP(-LN(2)/25)*EB110+(1-EXP(-LN(2)/25))/(LN(2)/25)*Calculateur!DW111*Calculateur!DY111*VLOOKUP('Données projet'!$B$14,Paramètres!$A$1:$I$89,3,0)*0.475*44/12</f>
        <v>21.413761864526496</v>
      </c>
      <c r="EC111" s="23">
        <f>EXP(-LN(2)/2)*EC110+(1-EXP(-LN(2)/2))/(LN(2)/2)*DW111*DZ111*VLOOKUP('Données projet'!$B$14,Paramètres!$A$1:$I$89,3,0)*0.475*44/12</f>
        <v>7.9980595053575526E-6</v>
      </c>
      <c r="ED111" s="24">
        <f t="shared" si="72"/>
        <v>92.786704221609071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1.7053025658242404E-13</v>
      </c>
      <c r="EK111" s="18">
        <f>EJ111*VLOOKUP('Données projet'!$B$15,Paramètres!$A$1:$I$89,3,0)*VLOOKUP('Données projet'!$B$15,Paramètres!$A$1:$I$89,5,0)</f>
        <v>1.6493686416652052E-13</v>
      </c>
      <c r="EL111" s="14">
        <f t="shared" si="99"/>
        <v>2.3376205369651282E-12</v>
      </c>
      <c r="EM111" s="22">
        <f t="shared" si="73"/>
        <v>4.3586208069709543E-12</v>
      </c>
      <c r="EN111" s="62">
        <f t="shared" si="74"/>
        <v>293.33333333333769</v>
      </c>
      <c r="EO111" s="62">
        <f ca="1">AVERAGE(OFFSET($EN$3,0,0,'Données projet'!$E$15+1,1))-AVERAGE(OFFSET($H$3,0,0,'Données projet'!$E$15+1,1))</f>
        <v>301.18531163828169</v>
      </c>
      <c r="EP111" s="62">
        <f t="shared" si="100"/>
        <v>192.30530273268101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92.169961583822172</v>
      </c>
      <c r="EW111" s="23">
        <f>EXP(-LN(2)/25)*EW110+(1-EXP(-LN(2)/25))/(LN(2)/25)*Calculateur!ER111*Calculateur!ET111*VLOOKUP('Données projet'!$B$15,Paramètres!$A$1:$I$89,3,0)*0.475*44/12</f>
        <v>6.2318830164258037</v>
      </c>
      <c r="EX111" s="23">
        <f>EXP(-LN(2)/2)*EX110+(1-EXP(-LN(2)/2))/(LN(2)/2)*ER111*EU111*VLOOKUP('Données projet'!$B$15,Paramètres!$A$1:$I$89,3,0)*0.475*44/12</f>
        <v>3.7747080151750724E-6</v>
      </c>
      <c r="EY111" s="24">
        <f t="shared" si="75"/>
        <v>98.401848374955989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1.7053025658242404E-13</v>
      </c>
      <c r="FF111" s="18">
        <f>FE111*VLOOKUP('Données projet'!$B$16,Paramètres!$A$1:$I$89,3,0)*VLOOKUP('Données projet'!$B$16,Paramètres!$A$1:$I$89,5,0)</f>
        <v>1.3301360013429075E-13</v>
      </c>
      <c r="FG111" s="14">
        <f t="shared" si="101"/>
        <v>1.9329766731057041E-12</v>
      </c>
      <c r="FH111" s="22">
        <f t="shared" si="76"/>
        <v>3.5982663925596575E-12</v>
      </c>
      <c r="FI111" s="62">
        <f t="shared" si="77"/>
        <v>293.3333333333369</v>
      </c>
      <c r="FJ111" s="62">
        <f ca="1">AVERAGE(OFFSET($FI$3,0,0,'Données projet'!$E$16+1,1))-AVERAGE(OFFSET($H$3,0,0,'Données projet'!$E$16+1,1))</f>
        <v>249.2899297828755</v>
      </c>
      <c r="FK111" s="62">
        <f t="shared" si="102"/>
        <v>162.88011837476813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74.330614180501755</v>
      </c>
      <c r="FR111" s="23">
        <f>EXP(-LN(2)/25)*FR110+(1-EXP(-LN(2)/25))/(LN(2)/25)*Calculateur!FM111*Calculateur!FO111*VLOOKUP('Données projet'!$B$16,Paramètres!$A$1:$I$89,3,0)*0.475*44/12</f>
        <v>5.0257121100208044</v>
      </c>
      <c r="FS111" s="23">
        <f>EXP(-LN(2)/2)*FS110+(1-EXP(-LN(2)/2))/(LN(2)/2)*FM111*FP111*VLOOKUP('Données projet'!$B$16,Paramètres!$A$1:$I$89,3,0)*0.475*44/12</f>
        <v>3.044119367076661E-6</v>
      </c>
      <c r="FT111" s="24">
        <f t="shared" si="78"/>
        <v>79.356329334641927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1.7053025658242404E-13</v>
      </c>
      <c r="GA111" s="18">
        <f>FZ111*VLOOKUP('Données projet'!$B$17,Paramètres!$A$1:$I$89,3,0)*VLOOKUP('Données projet'!$B$17,Paramètres!$A$1:$I$89,5,0)</f>
        <v>1.1439169611549005E-13</v>
      </c>
      <c r="GB111" s="14">
        <f t="shared" si="103"/>
        <v>1.6918016515029816E-12</v>
      </c>
      <c r="GC111" s="22">
        <f t="shared" si="79"/>
        <v>3.1457867471021712E-12</v>
      </c>
      <c r="GD111" s="62">
        <f t="shared" si="80"/>
        <v>293.33333333333644</v>
      </c>
      <c r="GE111" s="62">
        <f ca="1">AVERAGE(OFFSET($GD$3,0,0,'Données projet'!$E$17+1,1))-AVERAGE(OFFSET($H$3,0,0,'Données projet'!$E$17+1,1))</f>
        <v>218.89895999738746</v>
      </c>
      <c r="GF111" s="62">
        <f t="shared" si="104"/>
        <v>145.64042897395763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78.790451031331827</v>
      </c>
      <c r="GM111" s="23">
        <f>EXP(-LN(2)/25)*GM110+(1-EXP(-LN(2)/25))/(LN(2)/25)*Calculateur!GH111*Calculateur!GJ111*VLOOKUP('Données projet'!$B$17,Paramètres!$A$1:$I$89,3,0)*0.475*44/12</f>
        <v>5.3272548366220551</v>
      </c>
      <c r="GN111" s="23">
        <f>EXP(-LN(2)/2)*GN110+(1-EXP(-LN(2)/2))/(LN(2)/2)*GH111*GK111*VLOOKUP('Données projet'!$B$17,Paramètres!$A$1:$I$89,3,0)*0.475*44/12</f>
        <v>2.6179426556859377E-6</v>
      </c>
      <c r="GO111" s="23">
        <f t="shared" si="81"/>
        <v>84.117708485896543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1.7053025658242404E-13</v>
      </c>
      <c r="GV111" s="18">
        <f>GU111*VLOOKUP('Données projet'!$B$18,Paramètres!$A$1:$I$89,3,0)*VLOOKUP('Données projet'!$B$18,Paramètres!$A$1:$I$89,5,0)</f>
        <v>1.8355876818532125E-13</v>
      </c>
      <c r="GW111" s="14">
        <f t="shared" si="105"/>
        <v>2.5693529898865504E-12</v>
      </c>
      <c r="GX111" s="22">
        <f t="shared" si="82"/>
        <v>4.7946546453085093E-12</v>
      </c>
      <c r="GY111" s="62">
        <f t="shared" si="83"/>
        <v>293.33333333333809</v>
      </c>
      <c r="GZ111" s="62">
        <f ca="1">AVERAGE(OFFSET($GY$3,0,0,'Données projet'!$E$18+1,1))-AVERAGE(OFFSET($H$3,0,0,'Données projet'!$E$18+1,1))</f>
        <v>331.3579800635751</v>
      </c>
      <c r="HA111" s="62">
        <f t="shared" si="106"/>
        <v>209.40702003535273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102.57624756909233</v>
      </c>
      <c r="HH111" s="23">
        <f>EXP(-LN(2)/25)*HH110+(1-EXP(-LN(2)/25))/(LN(2)/25)*Calculateur!HC111*Calculateur!HE111*VLOOKUP('Données projet'!$B$18,Paramètres!$A$1:$I$89,3,0)*0.475*44/12</f>
        <v>6.9354827118287163</v>
      </c>
      <c r="HI111" s="23">
        <f>EXP(-LN(2)/2)*HI110+(1-EXP(-LN(2)/2))/(LN(2)/2)*HC111*HF111*VLOOKUP('Données projet'!$B$18,Paramètres!$A$1:$I$89,3,0)*0.475*44/12</f>
        <v>4.2008847265657932E-6</v>
      </c>
      <c r="HJ111" s="24">
        <f t="shared" si="84"/>
        <v>109.51173448180577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57.880714285714312</v>
      </c>
      <c r="N112" s="14">
        <f>IF('Données projet'!$A$36&gt;35,N111+M112-V111,IF(A112&lt;'Données projet'!$A$36,$K$205^A112,IF(A112='Données projet'!$A$36,'Données projet'!$B$36,N111+M112-V111)))</f>
        <v>2401.3285714285721</v>
      </c>
      <c r="O112" s="14">
        <f>N112*VLOOKUP('Données projet'!$B$9,Paramètres!$A$1:$I$89,3,0)*VLOOKUP('Données projet'!$B$9,Paramètres!$A$1:$I$89,5,0)</f>
        <v>2172.7220914285717</v>
      </c>
      <c r="P112" s="14">
        <f t="shared" si="87"/>
        <v>409.38220271756603</v>
      </c>
      <c r="Q112" s="22">
        <f t="shared" si="107"/>
        <v>4497.1649789711901</v>
      </c>
      <c r="R112" s="62">
        <f t="shared" si="55"/>
        <v>4790.4983123045231</v>
      </c>
      <c r="S112" s="62">
        <f ca="1">AVERAGE(OFFSET($R$3,0,0,'Données projet'!$E$9+1,1))-AVERAGE(OFFSET($H$3,0,0,'Données projet'!$E$9+1,1))</f>
        <v>2472.5049373954762</v>
      </c>
      <c r="T112" s="62">
        <f t="shared" si="88"/>
        <v>286.98388307318311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188.44461724231826</v>
      </c>
      <c r="AA112" s="23">
        <f>EXP(-LN(2)/25)*AA111+(1-EXP(-LN(2)/25))/(LN(2)/25)*Calculateur!V112*Calculateur!X112*VLOOKUP('Données projet'!$B$9,Paramètres!$A$1:$I$89,3,0)*0.475*44/12</f>
        <v>18.502536712514132</v>
      </c>
      <c r="AB112" s="23">
        <f>EXP(-LN(2)/2)*AB111+(1-EXP(-LN(2)/2))/(LN(2)/2)*V112*Y112*VLOOKUP('Données projet'!$B$9,Paramètres!$A$1:$I$89,3,0)*0.475*44/12</f>
        <v>0.51639423460167266</v>
      </c>
      <c r="AC112" s="24">
        <f t="shared" si="57"/>
        <v>207.46354818943408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57.880714285714312</v>
      </c>
      <c r="AI112" s="14">
        <f>IF('Données projet'!$A$62&gt;35,AI111+AH112-AQ111,IF(A112&lt;'Données projet'!$A$62,$AF$205^A112,IF(A112='Données projet'!$A$62,'Données projet'!$B$62,AI111+AH112-AQ111)))</f>
        <v>2401.3285714285721</v>
      </c>
      <c r="AJ112" s="14">
        <f>AI112*VLOOKUP('Données projet'!$B$10,Paramètres!$A$1:$I$89,3,0)*VLOOKUP('Données projet'!$B$10,Paramètres!$A$1:$I$89,5,0)</f>
        <v>2434.9471714285723</v>
      </c>
      <c r="AK112" s="14">
        <f t="shared" si="89"/>
        <v>452.74558636856671</v>
      </c>
      <c r="AL112" s="22">
        <f t="shared" si="58"/>
        <v>5029.3982198300173</v>
      </c>
      <c r="AM112" s="62">
        <f t="shared" si="59"/>
        <v>5322.7315531633503</v>
      </c>
      <c r="AN112" s="62">
        <f ca="1">AVERAGE(OFFSET($AM$3,0,0,'Données projet'!$E$10+1,1))-AVERAGE(OFFSET($H$3,0,0,'Données projet'!$E$10+1,1))</f>
        <v>2761.1400657295467</v>
      </c>
      <c r="AO112" s="62">
        <f t="shared" si="90"/>
        <v>316.41877504316409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211.18793311639118</v>
      </c>
      <c r="AV112" s="23">
        <f>EXP(-LN(2)/25)*AV111+(1-EXP(-LN(2)/25))/(LN(2)/25)*Calculateur!AQ112*Calculateur!AS112*VLOOKUP('Données projet'!$B$10,Paramètres!$A$1:$I$89,3,0)*0.475*44/12</f>
        <v>20.735601488162388</v>
      </c>
      <c r="AW112" s="23">
        <f>EXP(-LN(2)/2)*AW111+(1-EXP(-LN(2)/2))/(LN(2)/2)*AQ112*AT112*VLOOKUP('Données projet'!$B$10,Paramètres!$A$1:$I$89,3,0)*0.475*44/12</f>
        <v>0.57871767670877095</v>
      </c>
      <c r="AX112" s="23">
        <f t="shared" si="60"/>
        <v>232.50225228126234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57.880714285714312</v>
      </c>
      <c r="BD112" s="13">
        <f>IF('Données projet'!$A$88&gt;35,BD111+BC112-BL111,IF(A112&lt;'Données projet'!$A$88,$BA$205^A112,IF(A112='Données projet'!$A$88,'Données projet'!$B$88,BD111+BC112-BL111)))</f>
        <v>2401.3285714285721</v>
      </c>
      <c r="BE112" s="14">
        <f>BD112*VLOOKUP('Données projet'!$B$11,Paramètres!$A$1:$I$89,3,0)*VLOOKUP('Données projet'!$B$11,Paramètres!$A$1:$I$89,5,0)</f>
        <v>2509.8686228571437</v>
      </c>
      <c r="BF112" s="14">
        <f t="shared" si="91"/>
        <v>465.03289965666249</v>
      </c>
      <c r="BG112" s="22">
        <f t="shared" si="61"/>
        <v>5181.286818378213</v>
      </c>
      <c r="BH112" s="62">
        <f t="shared" si="62"/>
        <v>5474.620151711546</v>
      </c>
      <c r="BI112" s="62">
        <f ca="1">AVERAGE(OFFSET($BH$3,0,0,'Données projet'!$E$11+1,1))-AVERAGE(OFFSET($H$3,0,0,'Données projet'!$E$11+1,1))</f>
        <v>2843.5086223152098</v>
      </c>
      <c r="BJ112" s="62">
        <f t="shared" si="92"/>
        <v>324.81562437645522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217.68602336612622</v>
      </c>
      <c r="BQ112" s="23">
        <f>EXP(-LN(2)/25)*BQ111+(1-EXP(-LN(2)/25))/(LN(2)/25)*Calculateur!BL112*Calculateur!BN112*VLOOKUP('Données projet'!$B$11,Paramètres!$A$1:$I$89,3,0)*0.475*44/12</f>
        <v>21.373619995490461</v>
      </c>
      <c r="BR112" s="23">
        <f>EXP(-LN(2)/2)*BR111+(1-EXP(-LN(2)/2))/(LN(2)/2)*BL112*BO112*VLOOKUP('Données projet'!$B$11,Paramètres!$A$1:$I$89,3,0)*0.475*44/12</f>
        <v>0.59652437445365591</v>
      </c>
      <c r="BS112" s="24">
        <f t="shared" si="63"/>
        <v>239.65616773607033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57.880714285714312</v>
      </c>
      <c r="BY112" s="13">
        <f>IF('Données projet'!$A$114&gt;35,BY111+BX112-CG111,IF(A112&lt;'Données projet'!$A$114,$BV$205^A112,IF(A112='Données projet'!$A$114,'Données projet'!$B$114,BY111+BX112-CG111)))</f>
        <v>2401.3285714285721</v>
      </c>
      <c r="BZ112" s="14">
        <f>BY112*VLOOKUP('Données projet'!$B$12,Paramètres!$A$1:$I$89,3,0)*VLOOKUP('Données projet'!$B$12,Paramètres!$A$1:$I$89,5,0)</f>
        <v>2397.4864457142867</v>
      </c>
      <c r="CA112" s="14">
        <f t="shared" si="93"/>
        <v>446.58549001908534</v>
      </c>
      <c r="CB112" s="22">
        <f t="shared" si="64"/>
        <v>4953.4252880689555</v>
      </c>
      <c r="CC112" s="62">
        <f t="shared" si="65"/>
        <v>5246.7586214022886</v>
      </c>
      <c r="CD112" s="62">
        <f ca="1">AVERAGE(OFFSET($CC$3,0,0,'Données projet'!$E$12+1,1))-AVERAGE(OFFSET($H$3,0,0,'Données projet'!$E$12+1,1))</f>
        <v>2719.939926994799</v>
      </c>
      <c r="CE112" s="62">
        <f t="shared" si="94"/>
        <v>312.21824046329749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207.93888799152356</v>
      </c>
      <c r="CL112" s="23">
        <f>EXP(-LN(2)/25)*CL111+(1-EXP(-LN(2)/25))/(LN(2)/25)*Calculateur!CG112*Calculateur!CI112*VLOOKUP('Données projet'!$B$12,Paramètres!$A$1:$I$89,3,0)*0.475*44/12</f>
        <v>20.416592234498353</v>
      </c>
      <c r="CM112" s="23">
        <f>EXP(-LN(2)/2)*CM111+(1-EXP(-LN(2)/2))/(LN(2)/2)*CG112*CJ112*VLOOKUP('Données projet'!$B$12,Paramètres!$A$1:$I$89,3,0)*0.475*44/12</f>
        <v>0.56981432783632835</v>
      </c>
      <c r="CN112" s="24">
        <f t="shared" si="66"/>
        <v>228.92529455385824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1.1368683772161603E-12</v>
      </c>
      <c r="CU112" s="18">
        <f>CT112*VLOOKUP('Données projet'!$B$13,Paramètres!$A$1:$I$89,3,0)*VLOOKUP('Données projet'!$B$13,Paramètres!$A$1:$I$89,5,0)</f>
        <v>9.9316821433603771E-13</v>
      </c>
      <c r="CV112" s="14">
        <f t="shared" si="95"/>
        <v>1.1421454694498936E-11</v>
      </c>
      <c r="CW112" s="22">
        <f t="shared" si="67"/>
        <v>2.1622134899554243E-11</v>
      </c>
      <c r="CX112" s="62">
        <f t="shared" si="68"/>
        <v>293.33333333335491</v>
      </c>
      <c r="CY112" s="62">
        <f ca="1">AVERAGE(OFFSET($CX$3,0,0,'Données projet'!$E$13+1,1))-AVERAGE(OFFSET($H$3,0,0,'Données projet'!$E$13+1,1))</f>
        <v>1036.0130072090849</v>
      </c>
      <c r="CZ112" s="62">
        <f t="shared" si="96"/>
        <v>346.56593355696174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377.08816962200495</v>
      </c>
      <c r="DG112" s="23">
        <f>EXP(-LN(2)/25)*DG111+(1-EXP(-LN(2)/25))/(LN(2)/25)*Calculateur!DB112*Calculateur!DD112*VLOOKUP('Données projet'!$B$13,Paramètres!$A$1:$I$89,3,0)*0.475*44/12</f>
        <v>18.939405557286694</v>
      </c>
      <c r="DH112" s="23">
        <f>EXP(-LN(2)/2)*DH111+(1-EXP(-LN(2)/2))/(LN(2)/2)*DB112*DE112*VLOOKUP('Données projet'!$B$13,Paramètres!$A$1:$I$89,3,0)*0.475*44/12</f>
        <v>3.9004386218049721E-3</v>
      </c>
      <c r="DI112" s="24">
        <f t="shared" si="69"/>
        <v>396.03147561791349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6.8212102632969618E-13</v>
      </c>
      <c r="DP112" s="18">
        <f>DO112*VLOOKUP('Données projet'!$B$14,Paramètres!$A$1:$I$89,3,0)*VLOOKUP('Données projet'!$B$14,Paramètres!$A$1:$I$89,5,0)</f>
        <v>3.8130565371830017E-13</v>
      </c>
      <c r="DQ112" s="14">
        <f t="shared" si="97"/>
        <v>4.9019074112354236E-12</v>
      </c>
      <c r="DR112" s="22">
        <f t="shared" si="70"/>
        <v>9.2015960881277352E-12</v>
      </c>
      <c r="DS112" s="62">
        <f t="shared" si="71"/>
        <v>293.33333333334252</v>
      </c>
      <c r="DT112" s="62">
        <f ca="1">AVERAGE(OFFSET($DS$3,0,0,'Données projet'!$E$14+1,1))-AVERAGE(OFFSET($H$3,0,0,'Données projet'!$E$14+1,1))</f>
        <v>446.48069057792151</v>
      </c>
      <c r="DU112" s="62">
        <f t="shared" si="98"/>
        <v>561.75656782935948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69.973354649434043</v>
      </c>
      <c r="EB112" s="23">
        <f>EXP(-LN(2)/25)*EB111+(1-EXP(-LN(2)/25))/(LN(2)/25)*Calculateur!DW112*Calculateur!DY112*VLOOKUP('Données projet'!$B$14,Paramètres!$A$1:$I$89,3,0)*0.475*44/12</f>
        <v>20.828201420240223</v>
      </c>
      <c r="EC112" s="23">
        <f>EXP(-LN(2)/2)*EC111+(1-EXP(-LN(2)/2))/(LN(2)/2)*DW112*DZ112*VLOOKUP('Données projet'!$B$14,Paramètres!$A$1:$I$89,3,0)*0.475*44/12</f>
        <v>5.6554821125718495E-6</v>
      </c>
      <c r="ED112" s="24">
        <f t="shared" si="72"/>
        <v>90.801561725156375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1.7053025658242404E-13</v>
      </c>
      <c r="EK112" s="18">
        <f>EJ112*VLOOKUP('Données projet'!$B$15,Paramètres!$A$1:$I$89,3,0)*VLOOKUP('Données projet'!$B$15,Paramètres!$A$1:$I$89,5,0)</f>
        <v>1.6493686416652052E-13</v>
      </c>
      <c r="EL112" s="14">
        <f t="shared" si="99"/>
        <v>2.3376205369651282E-12</v>
      </c>
      <c r="EM112" s="22">
        <f t="shared" si="73"/>
        <v>4.3586208069709543E-12</v>
      </c>
      <c r="EN112" s="62">
        <f t="shared" si="74"/>
        <v>293.33333333333769</v>
      </c>
      <c r="EO112" s="62">
        <f ca="1">AVERAGE(OFFSET($EN$3,0,0,'Données projet'!$E$15+1,1))-AVERAGE(OFFSET($H$3,0,0,'Données projet'!$E$15+1,1))</f>
        <v>301.18531163828169</v>
      </c>
      <c r="EP112" s="62">
        <f t="shared" si="100"/>
        <v>192.30530273268101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90.362564855288909</v>
      </c>
      <c r="EW112" s="23">
        <f>EXP(-LN(2)/25)*EW111+(1-EXP(-LN(2)/25))/(LN(2)/25)*Calculateur!ER112*Calculateur!ET112*VLOOKUP('Données projet'!$B$15,Paramètres!$A$1:$I$89,3,0)*0.475*44/12</f>
        <v>6.0614718476211555</v>
      </c>
      <c r="EX112" s="23">
        <f>EXP(-LN(2)/2)*EX111+(1-EXP(-LN(2)/2))/(LN(2)/2)*ER112*EU112*VLOOKUP('Données projet'!$B$15,Paramètres!$A$1:$I$89,3,0)*0.475*44/12</f>
        <v>2.6691216345295073E-6</v>
      </c>
      <c r="EY112" s="24">
        <f t="shared" si="75"/>
        <v>96.424039372031686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1.7053025658242404E-13</v>
      </c>
      <c r="FF112" s="18">
        <f>FE112*VLOOKUP('Données projet'!$B$16,Paramètres!$A$1:$I$89,3,0)*VLOOKUP('Données projet'!$B$16,Paramètres!$A$1:$I$89,5,0)</f>
        <v>1.3301360013429075E-13</v>
      </c>
      <c r="FG112" s="14">
        <f t="shared" si="101"/>
        <v>1.9329766731057041E-12</v>
      </c>
      <c r="FH112" s="22">
        <f t="shared" si="76"/>
        <v>3.5982663925596575E-12</v>
      </c>
      <c r="FI112" s="62">
        <f t="shared" si="77"/>
        <v>293.3333333333369</v>
      </c>
      <c r="FJ112" s="62">
        <f ca="1">AVERAGE(OFFSET($FI$3,0,0,'Données projet'!$E$16+1,1))-AVERAGE(OFFSET($H$3,0,0,'Données projet'!$E$16+1,1))</f>
        <v>249.2899297828755</v>
      </c>
      <c r="FK112" s="62">
        <f t="shared" si="102"/>
        <v>162.88011837476813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72.873036173620093</v>
      </c>
      <c r="FR112" s="23">
        <f>EXP(-LN(2)/25)*FR111+(1-EXP(-LN(2)/25))/(LN(2)/25)*Calculateur!FM112*Calculateur!FO112*VLOOKUP('Données projet'!$B$16,Paramètres!$A$1:$I$89,3,0)*0.475*44/12</f>
        <v>4.8882837480815722</v>
      </c>
      <c r="FS112" s="23">
        <f>EXP(-LN(2)/2)*FS111+(1-EXP(-LN(2)/2))/(LN(2)/2)*FM112*FP112*VLOOKUP('Données projet'!$B$16,Paramètres!$A$1:$I$89,3,0)*0.475*44/12</f>
        <v>2.152517447201208E-6</v>
      </c>
      <c r="FT112" s="24">
        <f t="shared" si="78"/>
        <v>77.761322074219123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1.7053025658242404E-13</v>
      </c>
      <c r="GA112" s="18">
        <f>FZ112*VLOOKUP('Données projet'!$B$17,Paramètres!$A$1:$I$89,3,0)*VLOOKUP('Données projet'!$B$17,Paramètres!$A$1:$I$89,5,0)</f>
        <v>1.1439169611549005E-13</v>
      </c>
      <c r="GB112" s="14">
        <f t="shared" si="103"/>
        <v>1.6918016515029816E-12</v>
      </c>
      <c r="GC112" s="22">
        <f t="shared" si="79"/>
        <v>3.1457867471021712E-12</v>
      </c>
      <c r="GD112" s="62">
        <f t="shared" si="80"/>
        <v>293.33333333333644</v>
      </c>
      <c r="GE112" s="62">
        <f ca="1">AVERAGE(OFFSET($GD$3,0,0,'Données projet'!$E$17+1,1))-AVERAGE(OFFSET($H$3,0,0,'Données projet'!$E$17+1,1))</f>
        <v>218.89895999738746</v>
      </c>
      <c r="GF112" s="62">
        <f t="shared" si="104"/>
        <v>145.64042897395763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77.245418344037262</v>
      </c>
      <c r="GM112" s="23">
        <f>EXP(-LN(2)/25)*GM111+(1-EXP(-LN(2)/25))/(LN(2)/25)*Calculateur!GH112*Calculateur!GJ112*VLOOKUP('Données projet'!$B$17,Paramètres!$A$1:$I$89,3,0)*0.475*44/12</f>
        <v>5.1815807729664689</v>
      </c>
      <c r="GN112" s="23">
        <f>EXP(-LN(2)/2)*GN111+(1-EXP(-LN(2)/2))/(LN(2)/2)*GH112*GK112*VLOOKUP('Données projet'!$B$17,Paramètres!$A$1:$I$89,3,0)*0.475*44/12</f>
        <v>1.8511650045930455E-6</v>
      </c>
      <c r="GO112" s="23">
        <f t="shared" si="81"/>
        <v>82.427000968168741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1.7053025658242404E-13</v>
      </c>
      <c r="GV112" s="18">
        <f>GU112*VLOOKUP('Données projet'!$B$18,Paramètres!$A$1:$I$89,3,0)*VLOOKUP('Données projet'!$B$18,Paramètres!$A$1:$I$89,5,0)</f>
        <v>1.8355876818532125E-13</v>
      </c>
      <c r="GW112" s="14">
        <f t="shared" si="105"/>
        <v>2.5693529898865504E-12</v>
      </c>
      <c r="GX112" s="22">
        <f t="shared" si="82"/>
        <v>4.7946546453085093E-12</v>
      </c>
      <c r="GY112" s="62">
        <f t="shared" si="83"/>
        <v>293.33333333333809</v>
      </c>
      <c r="GZ112" s="62">
        <f ca="1">AVERAGE(OFFSET($GY$3,0,0,'Données projet'!$E$18+1,1))-AVERAGE(OFFSET($H$3,0,0,'Données projet'!$E$18+1,1))</f>
        <v>331.3579800635751</v>
      </c>
      <c r="HA112" s="62">
        <f t="shared" si="106"/>
        <v>209.40702003535273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100.56478991959564</v>
      </c>
      <c r="HH112" s="23">
        <f>EXP(-LN(2)/25)*HH111+(1-EXP(-LN(2)/25))/(LN(2)/25)*Calculateur!HC112*Calculateur!HE112*VLOOKUP('Données projet'!$B$18,Paramètres!$A$1:$I$89,3,0)*0.475*44/12</f>
        <v>6.7458315723525759</v>
      </c>
      <c r="HI112" s="23">
        <f>EXP(-LN(2)/2)*HI111+(1-EXP(-LN(2)/2))/(LN(2)/2)*HC112*HF112*VLOOKUP('Données projet'!$B$18,Paramètres!$A$1:$I$89,3,0)*0.475*44/12</f>
        <v>2.9704740771376679E-6</v>
      </c>
      <c r="HJ112" s="24">
        <f t="shared" si="84"/>
        <v>107.31062446242228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57.880714285714312</v>
      </c>
      <c r="N113" s="14">
        <f>IF('Données projet'!$A$36&gt;35,N112+M113-V112,IF(A113&lt;'Données projet'!$A$36,$K$205^A113,IF(A113='Données projet'!$A$36,'Données projet'!$B$36,N112+M113-V112)))</f>
        <v>2459.2092857142866</v>
      </c>
      <c r="O113" s="14">
        <f>N113*VLOOKUP('Données projet'!$B$9,Paramètres!$A$1:$I$89,3,0)*VLOOKUP('Données projet'!$B$9,Paramètres!$A$1:$I$89,5,0)</f>
        <v>2225.0925617142866</v>
      </c>
      <c r="P113" s="14">
        <f t="shared" si="87"/>
        <v>418.08908541726106</v>
      </c>
      <c r="Q113" s="22">
        <f t="shared" si="107"/>
        <v>4603.5413687541122</v>
      </c>
      <c r="R113" s="62">
        <f t="shared" si="55"/>
        <v>4896.8747020874453</v>
      </c>
      <c r="S113" s="62">
        <f ca="1">AVERAGE(OFFSET($R$3,0,0,'Données projet'!$E$9+1,1))-AVERAGE(OFFSET($H$3,0,0,'Données projet'!$E$9+1,1))</f>
        <v>2472.5049373954762</v>
      </c>
      <c r="T113" s="62">
        <f t="shared" si="88"/>
        <v>286.98388307318311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184.74933323806354</v>
      </c>
      <c r="AA113" s="23">
        <f>EXP(-LN(2)/25)*AA112+(1-EXP(-LN(2)/25))/(LN(2)/25)*Calculateur!V113*Calculateur!X113*VLOOKUP('Données projet'!$B$9,Paramètres!$A$1:$I$89,3,0)*0.475*44/12</f>
        <v>17.996583873104317</v>
      </c>
      <c r="AB113" s="23">
        <f>EXP(-LN(2)/2)*AB112+(1-EXP(-LN(2)/2))/(LN(2)/2)*V113*Y113*VLOOKUP('Données projet'!$B$9,Paramètres!$A$1:$I$89,3,0)*0.475*44/12</f>
        <v>0.36514586505247965</v>
      </c>
      <c r="AC113" s="24">
        <f t="shared" si="57"/>
        <v>203.11106297622035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57.880714285714312</v>
      </c>
      <c r="AI113" s="14">
        <f>IF('Données projet'!$A$62&gt;35,AI112+AH113-AQ112,IF(A113&lt;'Données projet'!$A$62,$AF$205^A113,IF(A113='Données projet'!$A$62,'Données projet'!$B$62,AI112+AH113-AQ112)))</f>
        <v>2459.2092857142866</v>
      </c>
      <c r="AJ113" s="14">
        <f>AI113*VLOOKUP('Données projet'!$B$10,Paramètres!$A$1:$I$89,3,0)*VLOOKUP('Données projet'!$B$10,Paramètres!$A$1:$I$89,5,0)</f>
        <v>2493.6382157142866</v>
      </c>
      <c r="AK113" s="14">
        <f t="shared" si="89"/>
        <v>462.37473655425561</v>
      </c>
      <c r="AL113" s="22">
        <f t="shared" si="58"/>
        <v>5148.3892252010437</v>
      </c>
      <c r="AM113" s="62">
        <f t="shared" si="59"/>
        <v>5441.7225585343767</v>
      </c>
      <c r="AN113" s="62">
        <f ca="1">AVERAGE(OFFSET($AM$3,0,0,'Données projet'!$E$10+1,1))-AVERAGE(OFFSET($H$3,0,0,'Données projet'!$E$10+1,1))</f>
        <v>2761.1400657295467</v>
      </c>
      <c r="AO113" s="62">
        <f t="shared" si="90"/>
        <v>316.41877504316409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207.04666655989882</v>
      </c>
      <c r="AV113" s="23">
        <f>EXP(-LN(2)/25)*AV112+(1-EXP(-LN(2)/25))/(LN(2)/25)*Calculateur!AQ113*Calculateur!AS113*VLOOKUP('Données projet'!$B$10,Paramètres!$A$1:$I$89,3,0)*0.475*44/12</f>
        <v>20.168585375030698</v>
      </c>
      <c r="AW113" s="23">
        <f>EXP(-LN(2)/2)*AW112+(1-EXP(-LN(2)/2))/(LN(2)/2)*AQ113*AT113*VLOOKUP('Données projet'!$B$10,Paramètres!$A$1:$I$89,3,0)*0.475*44/12</f>
        <v>0.40921519359329606</v>
      </c>
      <c r="AX113" s="23">
        <f t="shared" si="60"/>
        <v>227.62446712852281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57.880714285714312</v>
      </c>
      <c r="BD113" s="13">
        <f>IF('Données projet'!$A$88&gt;35,BD112+BC113-BL112,IF(A113&lt;'Données projet'!$A$88,$BA$205^A113,IF(A113='Données projet'!$A$88,'Données projet'!$B$88,BD112+BC113-BL112)))</f>
        <v>2459.2092857142866</v>
      </c>
      <c r="BE113" s="14">
        <f>BD113*VLOOKUP('Données projet'!$B$11,Paramètres!$A$1:$I$89,3,0)*VLOOKUP('Données projet'!$B$11,Paramètres!$A$1:$I$89,5,0)</f>
        <v>2570.3655454285727</v>
      </c>
      <c r="BF113" s="14">
        <f t="shared" si="91"/>
        <v>474.92338068376034</v>
      </c>
      <c r="BG113" s="22">
        <f t="shared" si="61"/>
        <v>5303.8782129789797</v>
      </c>
      <c r="BH113" s="62">
        <f t="shared" si="62"/>
        <v>5597.2115463123127</v>
      </c>
      <c r="BI113" s="62">
        <f ca="1">AVERAGE(OFFSET($BH$3,0,0,'Données projet'!$E$11+1,1))-AVERAGE(OFFSET($H$3,0,0,'Données projet'!$E$11+1,1))</f>
        <v>2843.5086223152098</v>
      </c>
      <c r="BJ113" s="62">
        <f t="shared" si="92"/>
        <v>324.81562437645522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213.41733322328025</v>
      </c>
      <c r="BQ113" s="23">
        <f>EXP(-LN(2)/25)*BQ112+(1-EXP(-LN(2)/25))/(LN(2)/25)*Calculateur!BL113*Calculateur!BN113*VLOOKUP('Données projet'!$B$11,Paramètres!$A$1:$I$89,3,0)*0.475*44/12</f>
        <v>20.789157232723948</v>
      </c>
      <c r="BR113" s="23">
        <f>EXP(-LN(2)/2)*BR112+(1-EXP(-LN(2)/2))/(LN(2)/2)*BL113*BO113*VLOOKUP('Données projet'!$B$11,Paramètres!$A$1:$I$89,3,0)*0.475*44/12</f>
        <v>0.42180643031924342</v>
      </c>
      <c r="BS113" s="24">
        <f t="shared" si="63"/>
        <v>234.62829688632343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57.880714285714312</v>
      </c>
      <c r="BY113" s="13">
        <f>IF('Données projet'!$A$114&gt;35,BY112+BX113-CG112,IF(A113&lt;'Données projet'!$A$114,$BV$205^A113,IF(A113='Données projet'!$A$114,'Données projet'!$B$114,BY112+BX113-CG112)))</f>
        <v>2459.2092857142866</v>
      </c>
      <c r="BZ113" s="14">
        <f>BY113*VLOOKUP('Données projet'!$B$12,Paramètres!$A$1:$I$89,3,0)*VLOOKUP('Données projet'!$B$12,Paramètres!$A$1:$I$89,5,0)</f>
        <v>2455.2745508571438</v>
      </c>
      <c r="CA113" s="14">
        <f t="shared" si="93"/>
        <v>456.08362513871242</v>
      </c>
      <c r="CB113" s="22">
        <f t="shared" si="64"/>
        <v>5070.6154898594496</v>
      </c>
      <c r="CC113" s="62">
        <f t="shared" si="65"/>
        <v>5363.9488231927826</v>
      </c>
      <c r="CD113" s="62">
        <f ca="1">AVERAGE(OFFSET($CC$3,0,0,'Données projet'!$E$12+1,1))-AVERAGE(OFFSET($H$3,0,0,'Données projet'!$E$12+1,1))</f>
        <v>2719.939926994799</v>
      </c>
      <c r="CE113" s="62">
        <f t="shared" si="94"/>
        <v>312.21824046329749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203.86133322820803</v>
      </c>
      <c r="CL113" s="23">
        <f>EXP(-LN(2)/25)*CL112+(1-EXP(-LN(2)/25))/(LN(2)/25)*Calculateur!CG113*Calculateur!CI113*VLOOKUP('Données projet'!$B$12,Paramètres!$A$1:$I$89,3,0)*0.475*44/12</f>
        <v>19.858299446184073</v>
      </c>
      <c r="CM113" s="23">
        <f>EXP(-LN(2)/2)*CM112+(1-EXP(-LN(2)/2))/(LN(2)/2)*CG113*CJ113*VLOOKUP('Données projet'!$B$12,Paramètres!$A$1:$I$89,3,0)*0.475*44/12</f>
        <v>0.40291957523032229</v>
      </c>
      <c r="CN113" s="24">
        <f t="shared" si="66"/>
        <v>224.12255224962243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1.1368683772161603E-12</v>
      </c>
      <c r="CU113" s="18">
        <f>CT113*VLOOKUP('Données projet'!$B$13,Paramètres!$A$1:$I$89,3,0)*VLOOKUP('Données projet'!$B$13,Paramètres!$A$1:$I$89,5,0)</f>
        <v>9.9316821433603771E-13</v>
      </c>
      <c r="CV113" s="14">
        <f t="shared" si="95"/>
        <v>1.1421454694498936E-11</v>
      </c>
      <c r="CW113" s="22">
        <f t="shared" si="67"/>
        <v>2.1622134899554243E-11</v>
      </c>
      <c r="CX113" s="62">
        <f t="shared" si="68"/>
        <v>293.33333333335491</v>
      </c>
      <c r="CY113" s="62">
        <f ca="1">AVERAGE(OFFSET($CX$3,0,0,'Données projet'!$E$13+1,1))-AVERAGE(OFFSET($H$3,0,0,'Données projet'!$E$13+1,1))</f>
        <v>1036.0130072090849</v>
      </c>
      <c r="CZ113" s="62">
        <f t="shared" si="96"/>
        <v>346.56593355696174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369.69370061679018</v>
      </c>
      <c r="DG113" s="23">
        <f>EXP(-LN(2)/25)*DG112+(1-EXP(-LN(2)/25))/(LN(2)/25)*Calculateur!DB113*Calculateur!DD113*VLOOKUP('Données projet'!$B$13,Paramètres!$A$1:$I$89,3,0)*0.475*44/12</f>
        <v>18.421506516342639</v>
      </c>
      <c r="DH113" s="23">
        <f>EXP(-LN(2)/2)*DH112+(1-EXP(-LN(2)/2))/(LN(2)/2)*DB113*DE113*VLOOKUP('Données projet'!$B$13,Paramètres!$A$1:$I$89,3,0)*0.475*44/12</f>
        <v>2.7580265990802075E-3</v>
      </c>
      <c r="DI113" s="24">
        <f t="shared" si="69"/>
        <v>388.11796515973185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6.8212102632969618E-13</v>
      </c>
      <c r="DP113" s="18">
        <f>DO113*VLOOKUP('Données projet'!$B$14,Paramètres!$A$1:$I$89,3,0)*VLOOKUP('Données projet'!$B$14,Paramètres!$A$1:$I$89,5,0)</f>
        <v>3.8130565371830017E-13</v>
      </c>
      <c r="DQ113" s="14">
        <f t="shared" si="97"/>
        <v>4.9019074112354236E-12</v>
      </c>
      <c r="DR113" s="22">
        <f t="shared" si="70"/>
        <v>9.2015960881277352E-12</v>
      </c>
      <c r="DS113" s="62">
        <f t="shared" si="71"/>
        <v>293.33333333334252</v>
      </c>
      <c r="DT113" s="62">
        <f ca="1">AVERAGE(OFFSET($DS$3,0,0,'Données projet'!$E$14+1,1))-AVERAGE(OFFSET($H$3,0,0,'Données projet'!$E$14+1,1))</f>
        <v>446.48069057792151</v>
      </c>
      <c r="DU113" s="62">
        <f t="shared" si="98"/>
        <v>561.75656782935948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68.601219844290725</v>
      </c>
      <c r="EB113" s="23">
        <f>EXP(-LN(2)/25)*EB112+(1-EXP(-LN(2)/25))/(LN(2)/25)*Calculateur!DW113*Calculateur!DY113*VLOOKUP('Données projet'!$B$14,Paramètres!$A$1:$I$89,3,0)*0.475*44/12</f>
        <v>20.258653157096244</v>
      </c>
      <c r="EC113" s="23">
        <f>EXP(-LN(2)/2)*EC112+(1-EXP(-LN(2)/2))/(LN(2)/2)*DW113*DZ113*VLOOKUP('Données projet'!$B$14,Paramètres!$A$1:$I$89,3,0)*0.475*44/12</f>
        <v>3.9990297526787763E-6</v>
      </c>
      <c r="ED113" s="24">
        <f t="shared" si="72"/>
        <v>88.859877000416731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1.7053025658242404E-13</v>
      </c>
      <c r="EK113" s="18">
        <f>EJ113*VLOOKUP('Données projet'!$B$15,Paramètres!$A$1:$I$89,3,0)*VLOOKUP('Données projet'!$B$15,Paramètres!$A$1:$I$89,5,0)</f>
        <v>1.6493686416652052E-13</v>
      </c>
      <c r="EL113" s="14">
        <f t="shared" si="99"/>
        <v>2.3376205369651282E-12</v>
      </c>
      <c r="EM113" s="22">
        <f t="shared" si="73"/>
        <v>4.3586208069709543E-12</v>
      </c>
      <c r="EN113" s="62">
        <f t="shared" si="74"/>
        <v>293.33333333333769</v>
      </c>
      <c r="EO113" s="62">
        <f ca="1">AVERAGE(OFFSET($EN$3,0,0,'Données projet'!$E$15+1,1))-AVERAGE(OFFSET($H$3,0,0,'Données projet'!$E$15+1,1))</f>
        <v>301.18531163828169</v>
      </c>
      <c r="EP113" s="62">
        <f t="shared" si="100"/>
        <v>192.30530273268101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88.590610074199034</v>
      </c>
      <c r="EW113" s="23">
        <f>EXP(-LN(2)/25)*EW112+(1-EXP(-LN(2)/25))/(LN(2)/25)*Calculateur!ER113*Calculateur!ET113*VLOOKUP('Données projet'!$B$15,Paramètres!$A$1:$I$89,3,0)*0.475*44/12</f>
        <v>5.8957205811890043</v>
      </c>
      <c r="EX113" s="23">
        <f>EXP(-LN(2)/2)*EX112+(1-EXP(-LN(2)/2))/(LN(2)/2)*ER113*EU113*VLOOKUP('Données projet'!$B$15,Paramètres!$A$1:$I$89,3,0)*0.475*44/12</f>
        <v>1.8873540075875366E-6</v>
      </c>
      <c r="EY113" s="24">
        <f t="shared" si="75"/>
        <v>94.486332542742048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1.7053025658242404E-13</v>
      </c>
      <c r="FF113" s="18">
        <f>FE113*VLOOKUP('Données projet'!$B$16,Paramètres!$A$1:$I$89,3,0)*VLOOKUP('Données projet'!$B$16,Paramètres!$A$1:$I$89,5,0)</f>
        <v>1.3301360013429075E-13</v>
      </c>
      <c r="FG113" s="14">
        <f t="shared" si="101"/>
        <v>1.9329766731057041E-12</v>
      </c>
      <c r="FH113" s="22">
        <f t="shared" si="76"/>
        <v>3.5982663925596575E-12</v>
      </c>
      <c r="FI113" s="62">
        <f t="shared" si="77"/>
        <v>293.3333333333369</v>
      </c>
      <c r="FJ113" s="62">
        <f ca="1">AVERAGE(OFFSET($FI$3,0,0,'Données projet'!$E$16+1,1))-AVERAGE(OFFSET($H$3,0,0,'Données projet'!$E$16+1,1))</f>
        <v>249.2899297828755</v>
      </c>
      <c r="FK113" s="62">
        <f t="shared" si="102"/>
        <v>162.88011837476813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71.444040382418578</v>
      </c>
      <c r="FR113" s="23">
        <f>EXP(-LN(2)/25)*FR112+(1-EXP(-LN(2)/25))/(LN(2)/25)*Calculateur!FM113*Calculateur!FO113*VLOOKUP('Données projet'!$B$16,Paramètres!$A$1:$I$89,3,0)*0.475*44/12</f>
        <v>4.7546133719266113</v>
      </c>
      <c r="FS113" s="23">
        <f>EXP(-LN(2)/2)*FS112+(1-EXP(-LN(2)/2))/(LN(2)/2)*FM113*FP113*VLOOKUP('Données projet'!$B$16,Paramètres!$A$1:$I$89,3,0)*0.475*44/12</f>
        <v>1.5220596835383305E-6</v>
      </c>
      <c r="FT113" s="24">
        <f t="shared" si="78"/>
        <v>76.198655276404864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1.7053025658242404E-13</v>
      </c>
      <c r="GA113" s="18">
        <f>FZ113*VLOOKUP('Données projet'!$B$17,Paramètres!$A$1:$I$89,3,0)*VLOOKUP('Données projet'!$B$17,Paramètres!$A$1:$I$89,5,0)</f>
        <v>1.1439169611549005E-13</v>
      </c>
      <c r="GB113" s="14">
        <f t="shared" si="103"/>
        <v>1.6918016515029816E-12</v>
      </c>
      <c r="GC113" s="22">
        <f t="shared" si="79"/>
        <v>3.1457867471021712E-12</v>
      </c>
      <c r="GD113" s="62">
        <f t="shared" si="80"/>
        <v>293.33333333333644</v>
      </c>
      <c r="GE113" s="62">
        <f ca="1">AVERAGE(OFFSET($GD$3,0,0,'Données projet'!$E$17+1,1))-AVERAGE(OFFSET($H$3,0,0,'Données projet'!$E$17+1,1))</f>
        <v>218.89895999738746</v>
      </c>
      <c r="GF113" s="62">
        <f t="shared" si="104"/>
        <v>145.64042897395763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75.730682805363656</v>
      </c>
      <c r="GM113" s="23">
        <f>EXP(-LN(2)/25)*GM112+(1-EXP(-LN(2)/25))/(LN(2)/25)*Calculateur!GH113*Calculateur!GJ113*VLOOKUP('Données projet'!$B$17,Paramètres!$A$1:$I$89,3,0)*0.475*44/12</f>
        <v>5.0398901742422106</v>
      </c>
      <c r="GN113" s="23">
        <f>EXP(-LN(2)/2)*GN112+(1-EXP(-LN(2)/2))/(LN(2)/2)*GH113*GK113*VLOOKUP('Données projet'!$B$17,Paramètres!$A$1:$I$89,3,0)*0.475*44/12</f>
        <v>1.308971327842969E-6</v>
      </c>
      <c r="GO113" s="23">
        <f t="shared" si="81"/>
        <v>80.770574288577208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1.7053025658242404E-13</v>
      </c>
      <c r="GV113" s="18">
        <f>GU113*VLOOKUP('Données projet'!$B$18,Paramètres!$A$1:$I$89,3,0)*VLOOKUP('Données projet'!$B$18,Paramètres!$A$1:$I$89,5,0)</f>
        <v>1.8355876818532125E-13</v>
      </c>
      <c r="GW113" s="14">
        <f t="shared" si="105"/>
        <v>2.5693529898865504E-12</v>
      </c>
      <c r="GX113" s="22">
        <f t="shared" si="82"/>
        <v>4.7946546453085093E-12</v>
      </c>
      <c r="GY113" s="62">
        <f t="shared" si="83"/>
        <v>293.33333333333809</v>
      </c>
      <c r="GZ113" s="62">
        <f ca="1">AVERAGE(OFFSET($GY$3,0,0,'Données projet'!$E$18+1,1))-AVERAGE(OFFSET($H$3,0,0,'Données projet'!$E$18+1,1))</f>
        <v>331.3579800635751</v>
      </c>
      <c r="HA113" s="62">
        <f t="shared" si="106"/>
        <v>209.40702003535273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98.592775727737546</v>
      </c>
      <c r="HH113" s="23">
        <f>EXP(-LN(2)/25)*HH112+(1-EXP(-LN(2)/25))/(LN(2)/25)*Calculateur!HC113*Calculateur!HE113*VLOOKUP('Données projet'!$B$18,Paramètres!$A$1:$I$89,3,0)*0.475*44/12</f>
        <v>6.5613664532587306</v>
      </c>
      <c r="HI113" s="23">
        <f>EXP(-LN(2)/2)*HI112+(1-EXP(-LN(2)/2))/(LN(2)/2)*HC113*HF113*VLOOKUP('Données projet'!$B$18,Paramètres!$A$1:$I$89,3,0)*0.475*44/12</f>
        <v>2.1004423632828966E-6</v>
      </c>
      <c r="HJ113" s="24">
        <f t="shared" si="84"/>
        <v>105.15414428143863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>
        <f>VLOOKUP(A114,'Données projet'!$A$35:$I$55,2,0)</f>
        <v>2517.09</v>
      </c>
      <c r="L114" s="13">
        <f>VLOOKUP(A114,'Données projet'!$A$35:$I$55,9,0)</f>
        <v>57.880714285714312</v>
      </c>
      <c r="M114" s="13">
        <f t="array" ref="M114">INDEX(L:L,MIN(IF(ISNUMBER(L114:L310),ROW(L114:L310),"")))</f>
        <v>57.880714285714312</v>
      </c>
      <c r="N114" s="14">
        <f>IF('Données projet'!$A$36&gt;35,N113+M114-V113,IF(A114&lt;'Données projet'!$A$36,$K$205^A114,IF(A114='Données projet'!$A$36,'Données projet'!$B$36,N113+M114-V113)))</f>
        <v>2517.0900000000011</v>
      </c>
      <c r="O114" s="14">
        <f>N114*VLOOKUP('Données projet'!$B$9,Paramètres!$A$1:$I$89,3,0)*VLOOKUP('Données projet'!$B$9,Paramètres!$A$1:$I$89,5,0)</f>
        <v>2277.4630320000006</v>
      </c>
      <c r="P114" s="14">
        <f t="shared" si="87"/>
        <v>426.77214483013574</v>
      </c>
      <c r="Q114" s="22">
        <f t="shared" si="107"/>
        <v>4709.8762663124871</v>
      </c>
      <c r="R114" s="62">
        <f t="shared" si="55"/>
        <v>5003.2095996458202</v>
      </c>
      <c r="S114" s="62">
        <f ca="1">AVERAGE(OFFSET($R$3,0,0,'Données projet'!$E$9+1,1))-AVERAGE(OFFSET($H$3,0,0,'Données projet'!$E$9+1,1))</f>
        <v>2472.5049373954762</v>
      </c>
      <c r="T114" s="62">
        <f t="shared" si="88"/>
        <v>286.98388307318311</v>
      </c>
      <c r="U114" s="16">
        <f>IF(ISNA(VLOOKUP(A114,'Données projet'!$A$35:$I$55,3,0)),0,VLOOKUP(A114,'Données projet'!$A$35:$I$55,3,0))</f>
        <v>7</v>
      </c>
      <c r="V114" s="16">
        <f>IF(ISNA(VLOOKUP(A114,'Données projet'!$A$35:$I$55,4,0)),0,VLOOKUP(A114,'Données projet'!$A$35:$I$55,4,0))</f>
        <v>503.42</v>
      </c>
      <c r="W114" s="17">
        <f>IF(ISNA(VLOOKUP(A114,'Données projet'!$A$35:$I$55,5,0)),0%,VLOOKUP(A114,'Données projet'!$A$35:$I$55,5,0)*VLOOKUP('Données projet'!$B$9,Paramètres!$A$1:$I$89,7,0))</f>
        <v>0.34400000000000003</v>
      </c>
      <c r="X114" s="17">
        <f>IF(ISNA(VLOOKUP(A114,'Données projet'!$A$35:$I$55,6,0)),0%,VLOOKUP(A114,'Données projet'!$A$35:$I$55,6,0)*VLOOKUP('Données projet'!$B$9,Paramètres!$A$1:$I$89,7,0))</f>
        <v>1.72E-2</v>
      </c>
      <c r="Y114" s="17">
        <f>IF(ISNA(VLOOKUP(A114,'Données projet'!$A$35:$I$55,7,0)),0%,VLOOKUP(A114,'Données projet'!$A$35:$I$55,7,0))</f>
        <v>0.06</v>
      </c>
      <c r="Z114" s="23">
        <f>EXP(-LN(2)/35)*Z113+(1-EXP(-LN(2)/35))/(LN(2)/35)*V114*W114*VLOOKUP('Données projet'!$B$9,Paramètres!$A$1:$I$89,3,0)*0.475*44/12</f>
        <v>354.34275271537842</v>
      </c>
      <c r="AA114" s="23">
        <f>EXP(-LN(2)/25)*AA113+(1-EXP(-LN(2)/25))/(LN(2)/25)*Calculateur!V114*Calculateur!X114*VLOOKUP('Données projet'!$B$9,Paramètres!$A$1:$I$89,3,0)*0.475*44/12</f>
        <v>26.131177484390896</v>
      </c>
      <c r="AB114" s="23">
        <f>EXP(-LN(2)/2)*AB113+(1-EXP(-LN(2)/2))/(LN(2)/2)*V114*Y114*VLOOKUP('Données projet'!$B$9,Paramètres!$A$1:$I$89,3,0)*0.475*44/12</f>
        <v>26.044471574208625</v>
      </c>
      <c r="AC114" s="24">
        <f t="shared" si="57"/>
        <v>406.51840177397793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>
        <f>VLOOKUP(A114,'Données projet'!$A$61:$I$81,2,0)</f>
        <v>2517.09</v>
      </c>
      <c r="AG114" s="13">
        <f>VLOOKUP(A114,'Données projet'!$A$61:$I$81,9,0)</f>
        <v>57.880714285714312</v>
      </c>
      <c r="AH114" s="13">
        <f t="array" ref="AH114">INDEX(AG:AG,MIN(IF(ISNUMBER(AG114:AG310),ROW(AG114:AG310),"")))</f>
        <v>57.880714285714312</v>
      </c>
      <c r="AI114" s="14">
        <f>IF('Données projet'!$A$62&gt;35,AI113+AH114-AQ113,IF(A114&lt;'Données projet'!$A$62,$AF$205^A114,IF(A114='Données projet'!$A$62,'Données projet'!$B$62,AI113+AH114-AQ113)))</f>
        <v>2517.0900000000011</v>
      </c>
      <c r="AJ114" s="14">
        <f>AI114*VLOOKUP('Données projet'!$B$10,Paramètres!$A$1:$I$89,3,0)*VLOOKUP('Données projet'!$B$10,Paramètres!$A$1:$I$89,5,0)</f>
        <v>2552.3292600000013</v>
      </c>
      <c r="AK114" s="14">
        <f t="shared" si="89"/>
        <v>471.97753999626849</v>
      </c>
      <c r="AL114" s="22">
        <f t="shared" si="58"/>
        <v>5267.3343433268365</v>
      </c>
      <c r="AM114" s="62">
        <f t="shared" si="59"/>
        <v>5560.6676766601695</v>
      </c>
      <c r="AN114" s="62">
        <f ca="1">AVERAGE(OFFSET($AM$3,0,0,'Données projet'!$E$10+1,1))-AVERAGE(OFFSET($H$3,0,0,'Données projet'!$E$10+1,1))</f>
        <v>2761.1400657295467</v>
      </c>
      <c r="AO114" s="62">
        <f t="shared" si="90"/>
        <v>316.41877504316409</v>
      </c>
      <c r="AP114" s="16">
        <f>IF(ISNA(VLOOKUP(A114,'Données projet'!$A$61:$I$81,3,0)),0,VLOOKUP(A114,'Données projet'!$A$61:$I$81,3,0))</f>
        <v>7</v>
      </c>
      <c r="AQ114" s="16">
        <f>IF(ISNA(VLOOKUP(A114,'Données projet'!$A$61:$I$81,4,0)),0,VLOOKUP(A114,'Données projet'!$A$61:$I$81,4,0))</f>
        <v>503.42</v>
      </c>
      <c r="AR114" s="17">
        <f>IF(ISNA(VLOOKUP(A114,'Données projet'!$A$61:$I$81,5,0)),0%,VLOOKUP(A114,'Données projet'!$A$61:$I$81,5,0)*VLOOKUP('Données projet'!$B$10,Paramètres!$A$1:$I$89,7,0))</f>
        <v>0.34400000000000003</v>
      </c>
      <c r="AS114" s="17">
        <f>IF(ISNA(VLOOKUP(A114,'Données projet'!$A$61:$I$81,6,0)),0%,VLOOKUP(A114,'Données projet'!$A$61:$I$81,6,0)*VLOOKUP('Données projet'!$B$10,Paramètres!$A$1:$I$89,7,0))</f>
        <v>1.72E-2</v>
      </c>
      <c r="AT114" s="17">
        <f>IF(ISNA(VLOOKUP(A114,'Données projet'!$A$61:$I$81,7,0)),0%,VLOOKUP(A114,'Données projet'!$A$61:$I$81,7,0))</f>
        <v>0.06</v>
      </c>
      <c r="AU114" s="23">
        <f>EXP(-LN(2)/35)*AU113+(1-EXP(-LN(2)/35))/(LN(2)/35)*AQ114*AR114*VLOOKUP('Données projet'!$B$10,Paramètres!$A$1:$I$89,3,0)*0.475*44/12</f>
        <v>397.10825735344139</v>
      </c>
      <c r="AV114" s="23">
        <f>EXP(-LN(2)/25)*AV113+(1-EXP(-LN(2)/25))/(LN(2)/25)*Calculateur!AQ114*Calculateur!AS114*VLOOKUP('Données projet'!$B$10,Paramètres!$A$1:$I$89,3,0)*0.475*44/12</f>
        <v>29.284940284231176</v>
      </c>
      <c r="AW114" s="23">
        <f>EXP(-LN(2)/2)*AW113+(1-EXP(-LN(2)/2))/(LN(2)/2)*AQ114*AT114*VLOOKUP('Données projet'!$B$10,Paramètres!$A$1:$I$89,3,0)*0.475*44/12</f>
        <v>29.187769867647599</v>
      </c>
      <c r="AX114" s="23">
        <f t="shared" si="60"/>
        <v>455.58096750532019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>
        <f>VLOOKUP(A114,'Données projet'!$A$87:$I$107,2,0)</f>
        <v>2517.09</v>
      </c>
      <c r="BB114" s="13">
        <f>VLOOKUP(A114,'Données projet'!$A$87:$I$107,9,0)</f>
        <v>57.880714285714312</v>
      </c>
      <c r="BC114" s="13">
        <f t="array" ref="BC114">INDEX(BB:BB,MIN(IF(ISNUMBER(BB114:BB310),ROW(BB114:BB310),"")))</f>
        <v>57.880714285714312</v>
      </c>
      <c r="BD114" s="13">
        <f>IF('Données projet'!$A$88&gt;35,BD113+BC114-BL113,IF(A114&lt;'Données projet'!$A$88,$BA$205^A114,IF(A114='Données projet'!$A$88,'Données projet'!$B$88,BD113+BC114-BL113)))</f>
        <v>2517.0900000000011</v>
      </c>
      <c r="BE114" s="14">
        <f>BD114*VLOOKUP('Données projet'!$B$11,Paramètres!$A$1:$I$89,3,0)*VLOOKUP('Données projet'!$B$11,Paramètres!$A$1:$I$89,5,0)</f>
        <v>2630.8624680000016</v>
      </c>
      <c r="BF114" s="14">
        <f t="shared" si="91"/>
        <v>484.78679992830911</v>
      </c>
      <c r="BG114" s="22">
        <f t="shared" si="61"/>
        <v>5426.4224749751411</v>
      </c>
      <c r="BH114" s="62">
        <f t="shared" si="62"/>
        <v>5719.7558083084741</v>
      </c>
      <c r="BI114" s="62">
        <f ca="1">AVERAGE(OFFSET($BH$3,0,0,'Données projet'!$E$11+1,1))-AVERAGE(OFFSET($H$3,0,0,'Données projet'!$E$11+1,1))</f>
        <v>2843.5086223152098</v>
      </c>
      <c r="BJ114" s="62">
        <f t="shared" si="92"/>
        <v>324.81562437645522</v>
      </c>
      <c r="BK114" s="16">
        <f>IF(ISNA(VLOOKUP(A114,'Données projet'!$A$87:$I$107,3,0)),0,VLOOKUP(A114,'Données projet'!$A$87:$I$107,3,0))</f>
        <v>7</v>
      </c>
      <c r="BL114" s="16">
        <f>IF(ISNA(VLOOKUP(A114,'Données projet'!$A$87:$I$107,4,0)),0,VLOOKUP(A114,'Données projet'!$A$87:$I$107,4,0))</f>
        <v>503.42</v>
      </c>
      <c r="BM114" s="17">
        <f>IF(ISNA(VLOOKUP(A114,'Données projet'!$A$87:$I$107,5,0)),0%,VLOOKUP(A114,'Données projet'!$A$87:$I$107,5,0)*VLOOKUP('Données projet'!$B$11,Paramètres!$A$1:$I$89,7,0))</f>
        <v>0.34400000000000003</v>
      </c>
      <c r="BN114" s="17">
        <f>IF(ISNA(VLOOKUP(A114,'Données projet'!$A$87:$I$107,6,0)),0%,VLOOKUP(A114,'Données projet'!$A$87:$I$107,6,0)*VLOOKUP('Données projet'!$B$11,Paramètres!$A$1:$I$89,7,0))</f>
        <v>1.72E-2</v>
      </c>
      <c r="BO114" s="17">
        <f>IF(ISNA(VLOOKUP(A114,'Données projet'!$A$87:$I$107,7,0)),0%,VLOOKUP(A114,'Données projet'!$A$87:$I$107,7,0))</f>
        <v>0.06</v>
      </c>
      <c r="BP114" s="23">
        <f>EXP(-LN(2)/35)*BP113+(1-EXP(-LN(2)/35))/(LN(2)/35)*BL114*BM114*VLOOKUP('Données projet'!$B$11,Paramètres!$A$1:$I$89,3,0)*0.475*44/12</f>
        <v>409.3269729643165</v>
      </c>
      <c r="BQ114" s="23">
        <f>EXP(-LN(2)/25)*BQ113+(1-EXP(-LN(2)/25))/(LN(2)/25)*Calculateur!BL114*Calculateur!BN114*VLOOKUP('Données projet'!$B$11,Paramètres!$A$1:$I$89,3,0)*0.475*44/12</f>
        <v>30.186015369899827</v>
      </c>
      <c r="BR114" s="23">
        <f>EXP(-LN(2)/2)*BR113+(1-EXP(-LN(2)/2))/(LN(2)/2)*BL114*BO114*VLOOKUP('Données projet'!$B$11,Paramètres!$A$1:$I$89,3,0)*0.475*44/12</f>
        <v>30.085855094344453</v>
      </c>
      <c r="BS114" s="24">
        <f t="shared" si="63"/>
        <v>469.59884342856083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>
        <f>VLOOKUP(A114,'Données projet'!$A$113:$I$133,2,0)</f>
        <v>2517.09</v>
      </c>
      <c r="BW114" s="13">
        <f>VLOOKUP(A114,'Données projet'!$A$113:$I$133,9,0)</f>
        <v>57.880714285714312</v>
      </c>
      <c r="BX114" s="13">
        <f t="array" ref="BX114">INDEX(BW:BW,MIN(IF(ISNUMBER(BW114:BW310),ROW(BW114:BW310),"")))</f>
        <v>57.880714285714312</v>
      </c>
      <c r="BY114" s="13">
        <f>IF('Données projet'!$A$114&gt;35,BY113+BX114-CG113,IF(A114&lt;'Données projet'!$A$114,$BV$205^A114,IF(A114='Données projet'!$A$114,'Données projet'!$B$114,BY113+BX114-CG113)))</f>
        <v>2517.0900000000011</v>
      </c>
      <c r="BZ114" s="14">
        <f>BY114*VLOOKUP('Données projet'!$B$12,Paramètres!$A$1:$I$89,3,0)*VLOOKUP('Données projet'!$B$12,Paramètres!$A$1:$I$89,5,0)</f>
        <v>2513.062656000001</v>
      </c>
      <c r="CA114" s="14">
        <f t="shared" si="93"/>
        <v>465.55577199077908</v>
      </c>
      <c r="CB114" s="22">
        <f t="shared" si="64"/>
        <v>5187.7604287506083</v>
      </c>
      <c r="CC114" s="62">
        <f t="shared" si="65"/>
        <v>5481.0937620839413</v>
      </c>
      <c r="CD114" s="62">
        <f ca="1">AVERAGE(OFFSET($CC$3,0,0,'Données projet'!$E$12+1,1))-AVERAGE(OFFSET($H$3,0,0,'Données projet'!$E$12+1,1))</f>
        <v>2719.939926994799</v>
      </c>
      <c r="CE114" s="62">
        <f t="shared" si="94"/>
        <v>312.21824046329749</v>
      </c>
      <c r="CF114" s="16">
        <f>IF(ISNA(VLOOKUP(A114,'Données projet'!$A$113:$I$133,3,0)),0,VLOOKUP(A114,'Données projet'!$A$113:$I$133,3,0))</f>
        <v>7</v>
      </c>
      <c r="CG114" s="16">
        <f>IF(ISNA(VLOOKUP(A114,'Données projet'!$A$113:$I$133,4,0)),0,VLOOKUP(A114,'Données projet'!$A$113:$I$133,4,0))</f>
        <v>503.42</v>
      </c>
      <c r="CH114" s="17">
        <f>IF(ISNA(VLOOKUP(A114,'Données projet'!$A$113:$I$133,5,0)),0%,VLOOKUP(A114,'Données projet'!$A$113:$I$133,5,0)*VLOOKUP('Données projet'!$B$12,Paramètres!$A$1:$I$89,7,0))</f>
        <v>0.34400000000000003</v>
      </c>
      <c r="CI114" s="17">
        <f>IF(ISNA(VLOOKUP(A114,'Données projet'!$A$113:$I$133,6,0)),0%,VLOOKUP(A114,'Données projet'!$A$113:$I$133,6,0)*VLOOKUP('Données projet'!$B$12,Paramètres!$A$1:$I$89,7,0))</f>
        <v>1.72E-2</v>
      </c>
      <c r="CJ114" s="17">
        <f>IF(ISNA(VLOOKUP(A114,'Données projet'!$A$113:$I$133,7,0)),0%,VLOOKUP(A114,'Données projet'!$A$113:$I$133,7,0))</f>
        <v>0.06</v>
      </c>
      <c r="CK114" s="23">
        <f>EXP(-LN(2)/35)*CK113+(1-EXP(-LN(2)/35))/(LN(2)/35)*CG114*CH114*VLOOKUP('Données projet'!$B$12,Paramètres!$A$1:$I$89,3,0)*0.475*44/12</f>
        <v>390.99889954800375</v>
      </c>
      <c r="CL114" s="23">
        <f>EXP(-LN(2)/25)*CL113+(1-EXP(-LN(2)/25))/(LN(2)/25)*Calculateur!CG114*Calculateur!CI114*VLOOKUP('Données projet'!$B$12,Paramètres!$A$1:$I$89,3,0)*0.475*44/12</f>
        <v>28.83440274139685</v>
      </c>
      <c r="CM114" s="23">
        <f>EXP(-LN(2)/2)*CM113+(1-EXP(-LN(2)/2))/(LN(2)/2)*CG114*CJ114*VLOOKUP('Données projet'!$B$12,Paramètres!$A$1:$I$89,3,0)*0.475*44/12</f>
        <v>28.738727254299167</v>
      </c>
      <c r="CN114" s="24">
        <f t="shared" si="66"/>
        <v>448.57202954369978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1.1368683772161603E-12</v>
      </c>
      <c r="CU114" s="18">
        <f>CT114*VLOOKUP('Données projet'!$B$13,Paramètres!$A$1:$I$89,3,0)*VLOOKUP('Données projet'!$B$13,Paramètres!$A$1:$I$89,5,0)</f>
        <v>9.9316821433603771E-13</v>
      </c>
      <c r="CV114" s="14">
        <f t="shared" si="95"/>
        <v>1.1421454694498936E-11</v>
      </c>
      <c r="CW114" s="22">
        <f t="shared" si="67"/>
        <v>2.1622134899554243E-11</v>
      </c>
      <c r="CX114" s="62">
        <f t="shared" si="68"/>
        <v>293.33333333335491</v>
      </c>
      <c r="CY114" s="62">
        <f ca="1">AVERAGE(OFFSET($CX$3,0,0,'Données projet'!$E$13+1,1))-AVERAGE(OFFSET($H$3,0,0,'Données projet'!$E$13+1,1))</f>
        <v>1036.0130072090849</v>
      </c>
      <c r="CZ114" s="62">
        <f t="shared" si="96"/>
        <v>346.56593355696174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362.44423263858693</v>
      </c>
      <c r="DG114" s="23">
        <f>EXP(-LN(2)/25)*DG113+(1-EXP(-LN(2)/25))/(LN(2)/25)*Calculateur!DB114*Calculateur!DD114*VLOOKUP('Données projet'!$B$13,Paramètres!$A$1:$I$89,3,0)*0.475*44/12</f>
        <v>17.917769451908324</v>
      </c>
      <c r="DH114" s="23">
        <f>EXP(-LN(2)/2)*DH113+(1-EXP(-LN(2)/2))/(LN(2)/2)*DB114*DE114*VLOOKUP('Données projet'!$B$13,Paramètres!$A$1:$I$89,3,0)*0.475*44/12</f>
        <v>1.9502193109024863E-3</v>
      </c>
      <c r="DI114" s="24">
        <f t="shared" si="69"/>
        <v>380.36395230980617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6.8212102632969618E-13</v>
      </c>
      <c r="DP114" s="18">
        <f>DO114*VLOOKUP('Données projet'!$B$14,Paramètres!$A$1:$I$89,3,0)*VLOOKUP('Données projet'!$B$14,Paramètres!$A$1:$I$89,5,0)</f>
        <v>3.8130565371830017E-13</v>
      </c>
      <c r="DQ114" s="14">
        <f t="shared" si="97"/>
        <v>4.9019074112354236E-12</v>
      </c>
      <c r="DR114" s="22">
        <f t="shared" si="70"/>
        <v>9.2015960881277352E-12</v>
      </c>
      <c r="DS114" s="62">
        <f t="shared" si="71"/>
        <v>293.33333333334252</v>
      </c>
      <c r="DT114" s="62">
        <f ca="1">AVERAGE(OFFSET($DS$3,0,0,'Données projet'!$E$14+1,1))-AVERAGE(OFFSET($H$3,0,0,'Données projet'!$E$14+1,1))</f>
        <v>446.48069057792151</v>
      </c>
      <c r="DU114" s="62">
        <f t="shared" si="98"/>
        <v>561.75656782935948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67.255991765756676</v>
      </c>
      <c r="EB114" s="23">
        <f>EXP(-LN(2)/25)*EB113+(1-EXP(-LN(2)/25))/(LN(2)/25)*Calculateur!DW114*Calculateur!DY114*VLOOKUP('Données projet'!$B$14,Paramètres!$A$1:$I$89,3,0)*0.475*44/12</f>
        <v>19.704679221159179</v>
      </c>
      <c r="EC114" s="23">
        <f>EXP(-LN(2)/2)*EC113+(1-EXP(-LN(2)/2))/(LN(2)/2)*DW114*DZ114*VLOOKUP('Données projet'!$B$14,Paramètres!$A$1:$I$89,3,0)*0.475*44/12</f>
        <v>2.8277410562859248E-6</v>
      </c>
      <c r="ED114" s="24">
        <f t="shared" si="72"/>
        <v>86.960673814656914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1.7053025658242404E-13</v>
      </c>
      <c r="EK114" s="18">
        <f>EJ114*VLOOKUP('Données projet'!$B$15,Paramètres!$A$1:$I$89,3,0)*VLOOKUP('Données projet'!$B$15,Paramètres!$A$1:$I$89,5,0)</f>
        <v>1.6493686416652052E-13</v>
      </c>
      <c r="EL114" s="14">
        <f t="shared" si="99"/>
        <v>2.3376205369651282E-12</v>
      </c>
      <c r="EM114" s="22">
        <f t="shared" si="73"/>
        <v>4.3586208069709543E-12</v>
      </c>
      <c r="EN114" s="62">
        <f t="shared" si="74"/>
        <v>293.33333333333769</v>
      </c>
      <c r="EO114" s="62">
        <f ca="1">AVERAGE(OFFSET($EN$3,0,0,'Données projet'!$E$15+1,1))-AVERAGE(OFFSET($H$3,0,0,'Données projet'!$E$15+1,1))</f>
        <v>301.18531163828169</v>
      </c>
      <c r="EP114" s="62">
        <f t="shared" si="100"/>
        <v>192.30530273268101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86.853402245580625</v>
      </c>
      <c r="EW114" s="23">
        <f>EXP(-LN(2)/25)*EW113+(1-EXP(-LN(2)/25))/(LN(2)/25)*Calculateur!ER114*Calculateur!ET114*VLOOKUP('Données projet'!$B$15,Paramètres!$A$1:$I$89,3,0)*0.475*44/12</f>
        <v>5.7345017918539201</v>
      </c>
      <c r="EX114" s="23">
        <f>EXP(-LN(2)/2)*EX113+(1-EXP(-LN(2)/2))/(LN(2)/2)*ER114*EU114*VLOOKUP('Données projet'!$B$15,Paramètres!$A$1:$I$89,3,0)*0.475*44/12</f>
        <v>1.3345608172647539E-6</v>
      </c>
      <c r="EY114" s="24">
        <f t="shared" si="75"/>
        <v>92.587905371995362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1.7053025658242404E-13</v>
      </c>
      <c r="FF114" s="18">
        <f>FE114*VLOOKUP('Données projet'!$B$16,Paramètres!$A$1:$I$89,3,0)*VLOOKUP('Données projet'!$B$16,Paramètres!$A$1:$I$89,5,0)</f>
        <v>1.3301360013429075E-13</v>
      </c>
      <c r="FG114" s="14">
        <f t="shared" si="101"/>
        <v>1.9329766731057041E-12</v>
      </c>
      <c r="FH114" s="22">
        <f t="shared" si="76"/>
        <v>3.5982663925596575E-12</v>
      </c>
      <c r="FI114" s="62">
        <f t="shared" si="77"/>
        <v>293.3333333333369</v>
      </c>
      <c r="FJ114" s="62">
        <f ca="1">AVERAGE(OFFSET($FI$3,0,0,'Données projet'!$E$16+1,1))-AVERAGE(OFFSET($H$3,0,0,'Données projet'!$E$16+1,1))</f>
        <v>249.2899297828755</v>
      </c>
      <c r="FK114" s="62">
        <f t="shared" si="102"/>
        <v>162.88011837476813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70.043066327081149</v>
      </c>
      <c r="FR114" s="23">
        <f>EXP(-LN(2)/25)*FR113+(1-EXP(-LN(2)/25))/(LN(2)/25)*Calculateur!FM114*Calculateur!FO114*VLOOKUP('Données projet'!$B$16,Paramètres!$A$1:$I$89,3,0)*0.475*44/12</f>
        <v>4.6245982192370274</v>
      </c>
      <c r="FS114" s="23">
        <f>EXP(-LN(2)/2)*FS113+(1-EXP(-LN(2)/2))/(LN(2)/2)*FM114*FP114*VLOOKUP('Données projet'!$B$16,Paramètres!$A$1:$I$89,3,0)*0.475*44/12</f>
        <v>1.076258723600604E-6</v>
      </c>
      <c r="FT114" s="24">
        <f t="shared" si="78"/>
        <v>74.667665622576905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1.7053025658242404E-13</v>
      </c>
      <c r="GA114" s="18">
        <f>FZ114*VLOOKUP('Données projet'!$B$17,Paramètres!$A$1:$I$89,3,0)*VLOOKUP('Données projet'!$B$17,Paramètres!$A$1:$I$89,5,0)</f>
        <v>1.1439169611549005E-13</v>
      </c>
      <c r="GB114" s="14">
        <f t="shared" si="103"/>
        <v>1.6918016515029816E-12</v>
      </c>
      <c r="GC114" s="22">
        <f t="shared" si="79"/>
        <v>3.1457867471021712E-12</v>
      </c>
      <c r="GD114" s="62">
        <f t="shared" si="80"/>
        <v>293.33333333333644</v>
      </c>
      <c r="GE114" s="62">
        <f ca="1">AVERAGE(OFFSET($GD$3,0,0,'Données projet'!$E$17+1,1))-AVERAGE(OFFSET($H$3,0,0,'Données projet'!$E$17+1,1))</f>
        <v>218.89895999738746</v>
      </c>
      <c r="GF114" s="62">
        <f t="shared" si="104"/>
        <v>145.64042897395763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74.245650306705983</v>
      </c>
      <c r="GM114" s="23">
        <f>EXP(-LN(2)/25)*GM113+(1-EXP(-LN(2)/25))/(LN(2)/25)*Calculateur!GH114*Calculateur!GJ114*VLOOKUP('Données projet'!$B$17,Paramètres!$A$1:$I$89,3,0)*0.475*44/12</f>
        <v>4.9020741123912517</v>
      </c>
      <c r="GN114" s="23">
        <f>EXP(-LN(2)/2)*GN113+(1-EXP(-LN(2)/2))/(LN(2)/2)*GH114*GK114*VLOOKUP('Données projet'!$B$17,Paramètres!$A$1:$I$89,3,0)*0.475*44/12</f>
        <v>9.2558250229652297E-7</v>
      </c>
      <c r="GO114" s="23">
        <f t="shared" si="81"/>
        <v>79.147725344679728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1.7053025658242404E-13</v>
      </c>
      <c r="GV114" s="18">
        <f>GU114*VLOOKUP('Données projet'!$B$18,Paramètres!$A$1:$I$89,3,0)*VLOOKUP('Données projet'!$B$18,Paramètres!$A$1:$I$89,5,0)</f>
        <v>1.8355876818532125E-13</v>
      </c>
      <c r="GW114" s="14">
        <f t="shared" si="105"/>
        <v>2.5693529898865504E-12</v>
      </c>
      <c r="GX114" s="22">
        <f t="shared" si="82"/>
        <v>4.7946546453085093E-12</v>
      </c>
      <c r="GY114" s="62">
        <f t="shared" si="83"/>
        <v>293.33333333333809</v>
      </c>
      <c r="GZ114" s="62">
        <f ca="1">AVERAGE(OFFSET($GY$3,0,0,'Données projet'!$E$18+1,1))-AVERAGE(OFFSET($H$3,0,0,'Données projet'!$E$18+1,1))</f>
        <v>331.3579800635751</v>
      </c>
      <c r="HA114" s="62">
        <f t="shared" si="106"/>
        <v>209.40702003535273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96.659431531371908</v>
      </c>
      <c r="HH114" s="23">
        <f>EXP(-LN(2)/25)*HH113+(1-EXP(-LN(2)/25))/(LN(2)/25)*Calculateur!HC114*Calculateur!HE114*VLOOKUP('Données projet'!$B$18,Paramètres!$A$1:$I$89,3,0)*0.475*44/12</f>
        <v>6.381945542547105</v>
      </c>
      <c r="HI114" s="23">
        <f>EXP(-LN(2)/2)*HI113+(1-EXP(-LN(2)/2))/(LN(2)/2)*HC114*HF114*VLOOKUP('Données projet'!$B$18,Paramètres!$A$1:$I$89,3,0)*0.475*44/12</f>
        <v>1.485237038568834E-6</v>
      </c>
      <c r="HJ114" s="24">
        <f t="shared" si="84"/>
        <v>103.04137855915604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75.073571428571412</v>
      </c>
      <c r="N115" s="14">
        <f>IF('Données projet'!$A$36&gt;35,N114+M115-V114,IF(A115&lt;'Données projet'!$A$36,$K$205^A115,IF(A115='Données projet'!$A$36,'Données projet'!$B$36,N114+M115-V114)))</f>
        <v>2088.7435714285725</v>
      </c>
      <c r="O115" s="14">
        <f>N115*VLOOKUP('Données projet'!$B$9,Paramètres!$A$1:$I$89,3,0)*VLOOKUP('Données projet'!$B$9,Paramètres!$A$1:$I$89,5,0)</f>
        <v>1889.8951834285724</v>
      </c>
      <c r="P115" s="14">
        <f t="shared" si="87"/>
        <v>361.91987450643609</v>
      </c>
      <c r="Q115" s="22">
        <f t="shared" si="107"/>
        <v>3921.9112259034732</v>
      </c>
      <c r="R115" s="62">
        <f t="shared" si="55"/>
        <v>4215.2445592368067</v>
      </c>
      <c r="S115" s="62">
        <f ca="1">AVERAGE(OFFSET($R$3,0,0,'Données projet'!$E$9+1,1))-AVERAGE(OFFSET($H$3,0,0,'Données projet'!$E$9+1,1))</f>
        <v>2472.5049373954762</v>
      </c>
      <c r="T115" s="62">
        <f t="shared" si="88"/>
        <v>286.98388307318311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347.39430746236815</v>
      </c>
      <c r="AA115" s="23">
        <f>EXP(-LN(2)/25)*AA114+(1-EXP(-LN(2)/25))/(LN(2)/25)*Calculateur!V115*Calculateur!X115*VLOOKUP('Données projet'!$B$9,Paramètres!$A$1:$I$89,3,0)*0.475*44/12</f>
        <v>25.416619061901326</v>
      </c>
      <c r="AB115" s="23">
        <f>EXP(-LN(2)/2)*AB114+(1-EXP(-LN(2)/2))/(LN(2)/2)*V115*Y115*VLOOKUP('Données projet'!$B$9,Paramètres!$A$1:$I$89,3,0)*0.475*44/12</f>
        <v>18.416222462543196</v>
      </c>
      <c r="AC115" s="24">
        <f t="shared" si="57"/>
        <v>391.22714898681267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75.073571428571412</v>
      </c>
      <c r="AI115" s="14">
        <f>IF('Données projet'!$A$62&gt;35,AI114+AH115-AQ114,IF(A115&lt;'Données projet'!$A$62,$AF$205^A115,IF(A115='Données projet'!$A$62,'Données projet'!$B$62,AI114+AH115-AQ114)))</f>
        <v>2088.7435714285725</v>
      </c>
      <c r="AJ115" s="14">
        <f>AI115*VLOOKUP('Données projet'!$B$10,Paramètres!$A$1:$I$89,3,0)*VLOOKUP('Données projet'!$B$10,Paramètres!$A$1:$I$89,5,0)</f>
        <v>2117.9859814285728</v>
      </c>
      <c r="AK115" s="14">
        <f t="shared" si="89"/>
        <v>400.25586045053439</v>
      </c>
      <c r="AL115" s="22">
        <f t="shared" si="58"/>
        <v>4385.9378746061111</v>
      </c>
      <c r="AM115" s="62">
        <f t="shared" si="59"/>
        <v>4679.2712079394441</v>
      </c>
      <c r="AN115" s="62">
        <f ca="1">AVERAGE(OFFSET($AM$3,0,0,'Données projet'!$E$10+1,1))-AVERAGE(OFFSET($H$3,0,0,'Données projet'!$E$10+1,1))</f>
        <v>2761.1400657295467</v>
      </c>
      <c r="AO115" s="62">
        <f t="shared" si="90"/>
        <v>316.41877504316409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389.32120663886093</v>
      </c>
      <c r="AV115" s="23">
        <f>EXP(-LN(2)/25)*AV114+(1-EXP(-LN(2)/25))/(LN(2)/25)*Calculateur!AQ115*Calculateur!AS115*VLOOKUP('Données projet'!$B$10,Paramètres!$A$1:$I$89,3,0)*0.475*44/12</f>
        <v>28.484142052130796</v>
      </c>
      <c r="AW115" s="23">
        <f>EXP(-LN(2)/2)*AW114+(1-EXP(-LN(2)/2))/(LN(2)/2)*AQ115*AT115*VLOOKUP('Données projet'!$B$10,Paramètres!$A$1:$I$89,3,0)*0.475*44/12</f>
        <v>20.638870001125998</v>
      </c>
      <c r="AX115" s="23">
        <f t="shared" si="60"/>
        <v>438.44421869211772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75.073571428571412</v>
      </c>
      <c r="BD115" s="13">
        <f>IF('Données projet'!$A$88&gt;35,BD114+BC115-BL114,IF(A115&lt;'Données projet'!$A$88,$BA$205^A115,IF(A115='Données projet'!$A$88,'Données projet'!$B$88,BD114+BC115-BL114)))</f>
        <v>2088.7435714285725</v>
      </c>
      <c r="BE115" s="14">
        <f>BD115*VLOOKUP('Données projet'!$B$11,Paramètres!$A$1:$I$89,3,0)*VLOOKUP('Données projet'!$B$11,Paramètres!$A$1:$I$89,5,0)</f>
        <v>2183.1547808571445</v>
      </c>
      <c r="BF115" s="14">
        <f t="shared" si="91"/>
        <v>411.11862598779669</v>
      </c>
      <c r="BG115" s="22">
        <f t="shared" si="61"/>
        <v>4518.359516921606</v>
      </c>
      <c r="BH115" s="62">
        <f t="shared" si="62"/>
        <v>4811.692850254939</v>
      </c>
      <c r="BI115" s="62">
        <f ca="1">AVERAGE(OFFSET($BH$3,0,0,'Données projet'!$E$11+1,1))-AVERAGE(OFFSET($H$3,0,0,'Données projet'!$E$11+1,1))</f>
        <v>2843.5086223152098</v>
      </c>
      <c r="BJ115" s="62">
        <f t="shared" si="92"/>
        <v>324.81562437645522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401.30032068928739</v>
      </c>
      <c r="BQ115" s="23">
        <f>EXP(-LN(2)/25)*BQ114+(1-EXP(-LN(2)/25))/(LN(2)/25)*Calculateur!BL115*Calculateur!BN115*VLOOKUP('Données projet'!$B$11,Paramètres!$A$1:$I$89,3,0)*0.475*44/12</f>
        <v>29.360577192196359</v>
      </c>
      <c r="BR115" s="23">
        <f>EXP(-LN(2)/2)*BR114+(1-EXP(-LN(2)/2))/(LN(2)/2)*BL115*BO115*VLOOKUP('Données projet'!$B$11,Paramètres!$A$1:$I$89,3,0)*0.475*44/12</f>
        <v>21.273912155006801</v>
      </c>
      <c r="BS115" s="24">
        <f t="shared" si="63"/>
        <v>451.93481003649055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75.073571428571412</v>
      </c>
      <c r="BY115" s="13">
        <f>IF('Données projet'!$A$114&gt;35,BY114+BX115-CG114,IF(A115&lt;'Données projet'!$A$114,$BV$205^A115,IF(A115='Données projet'!$A$114,'Données projet'!$B$114,BY114+BX115-CG114)))</f>
        <v>2088.7435714285725</v>
      </c>
      <c r="BZ115" s="14">
        <f>BY115*VLOOKUP('Données projet'!$B$12,Paramètres!$A$1:$I$89,3,0)*VLOOKUP('Données projet'!$B$12,Paramètres!$A$1:$I$89,5,0)</f>
        <v>2085.4015817142867</v>
      </c>
      <c r="CA115" s="14">
        <f t="shared" si="93"/>
        <v>394.80994393791525</v>
      </c>
      <c r="CB115" s="22">
        <f t="shared" si="64"/>
        <v>4319.7017405109182</v>
      </c>
      <c r="CC115" s="62">
        <f t="shared" si="65"/>
        <v>4613.0350738442512</v>
      </c>
      <c r="CD115" s="62">
        <f ca="1">AVERAGE(OFFSET($CC$3,0,0,'Données projet'!$E$12+1,1))-AVERAGE(OFFSET($H$3,0,0,'Données projet'!$E$12+1,1))</f>
        <v>2719.939926994799</v>
      </c>
      <c r="CE115" s="62">
        <f t="shared" si="94"/>
        <v>312.21824046329749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383.33164961364758</v>
      </c>
      <c r="CL115" s="23">
        <f>EXP(-LN(2)/25)*CL114+(1-EXP(-LN(2)/25))/(LN(2)/25)*Calculateur!CG115*Calculateur!CI115*VLOOKUP('Données projet'!$B$12,Paramètres!$A$1:$I$89,3,0)*0.475*44/12</f>
        <v>28.045924482098016</v>
      </c>
      <c r="CM115" s="23">
        <f>EXP(-LN(2)/2)*CM114+(1-EXP(-LN(2)/2))/(LN(2)/2)*CG115*CJ115*VLOOKUP('Données projet'!$B$12,Paramètres!$A$1:$I$89,3,0)*0.475*44/12</f>
        <v>20.321348924185592</v>
      </c>
      <c r="CN115" s="24">
        <f t="shared" si="66"/>
        <v>431.69892301993121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1.1368683772161603E-12</v>
      </c>
      <c r="CU115" s="18">
        <f>CT115*VLOOKUP('Données projet'!$B$13,Paramètres!$A$1:$I$89,3,0)*VLOOKUP('Données projet'!$B$13,Paramètres!$A$1:$I$89,5,0)</f>
        <v>9.9316821433603771E-13</v>
      </c>
      <c r="CV115" s="14">
        <f t="shared" si="95"/>
        <v>1.1421454694498936E-11</v>
      </c>
      <c r="CW115" s="22">
        <f t="shared" si="67"/>
        <v>2.1622134899554243E-11</v>
      </c>
      <c r="CX115" s="62">
        <f t="shared" si="68"/>
        <v>293.33333333335491</v>
      </c>
      <c r="CY115" s="62">
        <f ca="1">AVERAGE(OFFSET($CX$3,0,0,'Données projet'!$E$13+1,1))-AVERAGE(OFFSET($H$3,0,0,'Données projet'!$E$13+1,1))</f>
        <v>1036.0130072090849</v>
      </c>
      <c r="CZ115" s="62">
        <f t="shared" si="96"/>
        <v>346.56593355696174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355.33692230569739</v>
      </c>
      <c r="DG115" s="23">
        <f>EXP(-LN(2)/25)*DG114+(1-EXP(-LN(2)/25))/(LN(2)/25)*Calculateur!DB115*Calculateur!DD115*VLOOKUP('Données projet'!$B$13,Paramètres!$A$1:$I$89,3,0)*0.475*44/12</f>
        <v>17.427807103991348</v>
      </c>
      <c r="DH115" s="23">
        <f>EXP(-LN(2)/2)*DH114+(1-EXP(-LN(2)/2))/(LN(2)/2)*DB115*DE115*VLOOKUP('Données projet'!$B$13,Paramètres!$A$1:$I$89,3,0)*0.475*44/12</f>
        <v>1.379013299540104E-3</v>
      </c>
      <c r="DI115" s="24">
        <f t="shared" si="69"/>
        <v>372.76610842298828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6.8212102632969618E-13</v>
      </c>
      <c r="DP115" s="18">
        <f>DO115*VLOOKUP('Données projet'!$B$14,Paramètres!$A$1:$I$89,3,0)*VLOOKUP('Données projet'!$B$14,Paramètres!$A$1:$I$89,5,0)</f>
        <v>3.8130565371830017E-13</v>
      </c>
      <c r="DQ115" s="14">
        <f t="shared" si="97"/>
        <v>4.9019074112354236E-12</v>
      </c>
      <c r="DR115" s="22">
        <f t="shared" si="70"/>
        <v>9.2015960881277352E-12</v>
      </c>
      <c r="DS115" s="62">
        <f t="shared" si="71"/>
        <v>293.33333333334252</v>
      </c>
      <c r="DT115" s="62">
        <f ca="1">AVERAGE(OFFSET($DS$3,0,0,'Données projet'!$E$14+1,1))-AVERAGE(OFFSET($H$3,0,0,'Données projet'!$E$14+1,1))</f>
        <v>446.48069057792151</v>
      </c>
      <c r="DU115" s="62">
        <f t="shared" si="98"/>
        <v>561.75656782935948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65.937142789334573</v>
      </c>
      <c r="EB115" s="23">
        <f>EXP(-LN(2)/25)*EB114+(1-EXP(-LN(2)/25))/(LN(2)/25)*Calculateur!DW115*Calculateur!DY115*VLOOKUP('Données projet'!$B$14,Paramètres!$A$1:$I$89,3,0)*0.475*44/12</f>
        <v>19.165853731632538</v>
      </c>
      <c r="EC115" s="23">
        <f>EXP(-LN(2)/2)*EC114+(1-EXP(-LN(2)/2))/(LN(2)/2)*DW115*DZ115*VLOOKUP('Données projet'!$B$14,Paramètres!$A$1:$I$89,3,0)*0.475*44/12</f>
        <v>1.9995148763393882E-6</v>
      </c>
      <c r="ED115" s="24">
        <f t="shared" si="72"/>
        <v>85.102998520481989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1.7053025658242404E-13</v>
      </c>
      <c r="EK115" s="18">
        <f>EJ115*VLOOKUP('Données projet'!$B$15,Paramètres!$A$1:$I$89,3,0)*VLOOKUP('Données projet'!$B$15,Paramètres!$A$1:$I$89,5,0)</f>
        <v>1.6493686416652052E-13</v>
      </c>
      <c r="EL115" s="14">
        <f t="shared" si="99"/>
        <v>2.3376205369651282E-12</v>
      </c>
      <c r="EM115" s="22">
        <f t="shared" si="73"/>
        <v>4.3586208069709543E-12</v>
      </c>
      <c r="EN115" s="62">
        <f t="shared" si="74"/>
        <v>293.33333333333769</v>
      </c>
      <c r="EO115" s="62">
        <f ca="1">AVERAGE(OFFSET($EN$3,0,0,'Données projet'!$E$15+1,1))-AVERAGE(OFFSET($H$3,0,0,'Données projet'!$E$15+1,1))</f>
        <v>301.18531163828169</v>
      </c>
      <c r="EP115" s="62">
        <f t="shared" si="100"/>
        <v>192.30530273268101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85.150260002889283</v>
      </c>
      <c r="EW115" s="23">
        <f>EXP(-LN(2)/25)*EW114+(1-EXP(-LN(2)/25))/(LN(2)/25)*Calculateur!ER115*Calculateur!ET115*VLOOKUP('Données projet'!$B$15,Paramètres!$A$1:$I$89,3,0)*0.475*44/12</f>
        <v>5.5776915387913322</v>
      </c>
      <c r="EX115" s="23">
        <f>EXP(-LN(2)/2)*EX114+(1-EXP(-LN(2)/2))/(LN(2)/2)*ER115*EU115*VLOOKUP('Données projet'!$B$15,Paramètres!$A$1:$I$89,3,0)*0.475*44/12</f>
        <v>9.4367700379376842E-7</v>
      </c>
      <c r="EY115" s="24">
        <f t="shared" si="75"/>
        <v>90.727952485357619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1.7053025658242404E-13</v>
      </c>
      <c r="FF115" s="18">
        <f>FE115*VLOOKUP('Données projet'!$B$16,Paramètres!$A$1:$I$89,3,0)*VLOOKUP('Données projet'!$B$16,Paramètres!$A$1:$I$89,5,0)</f>
        <v>1.3301360013429075E-13</v>
      </c>
      <c r="FG115" s="14">
        <f t="shared" si="101"/>
        <v>1.9329766731057041E-12</v>
      </c>
      <c r="FH115" s="22">
        <f t="shared" si="76"/>
        <v>3.5982663925596575E-12</v>
      </c>
      <c r="FI115" s="62">
        <f t="shared" si="77"/>
        <v>293.3333333333369</v>
      </c>
      <c r="FJ115" s="62">
        <f ca="1">AVERAGE(OFFSET($FI$3,0,0,'Données projet'!$E$16+1,1))-AVERAGE(OFFSET($H$3,0,0,'Données projet'!$E$16+1,1))</f>
        <v>249.2899297828755</v>
      </c>
      <c r="FK115" s="62">
        <f t="shared" si="102"/>
        <v>162.88011837476813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68.669564518459097</v>
      </c>
      <c r="FR115" s="23">
        <f>EXP(-LN(2)/25)*FR114+(1-EXP(-LN(2)/25))/(LN(2)/25)*Calculateur!FM115*Calculateur!FO115*VLOOKUP('Données projet'!$B$16,Paramètres!$A$1:$I$89,3,0)*0.475*44/12</f>
        <v>4.4981383377349404</v>
      </c>
      <c r="FS115" s="23">
        <f>EXP(-LN(2)/2)*FS114+(1-EXP(-LN(2)/2))/(LN(2)/2)*FM115*FP115*VLOOKUP('Données projet'!$B$16,Paramètres!$A$1:$I$89,3,0)*0.475*44/12</f>
        <v>7.6102984176916525E-7</v>
      </c>
      <c r="FT115" s="24">
        <f t="shared" si="78"/>
        <v>73.167703617223879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1.7053025658242404E-13</v>
      </c>
      <c r="GA115" s="18">
        <f>FZ115*VLOOKUP('Données projet'!$B$17,Paramètres!$A$1:$I$89,3,0)*VLOOKUP('Données projet'!$B$17,Paramètres!$A$1:$I$89,5,0)</f>
        <v>1.1439169611549005E-13</v>
      </c>
      <c r="GB115" s="14">
        <f t="shared" si="103"/>
        <v>1.6918016515029816E-12</v>
      </c>
      <c r="GC115" s="22">
        <f t="shared" si="79"/>
        <v>3.1457867471021712E-12</v>
      </c>
      <c r="GD115" s="62">
        <f t="shared" si="80"/>
        <v>293.33333333333644</v>
      </c>
      <c r="GE115" s="62">
        <f ca="1">AVERAGE(OFFSET($GD$3,0,0,'Données projet'!$E$17+1,1))-AVERAGE(OFFSET($H$3,0,0,'Données projet'!$E$17+1,1))</f>
        <v>218.89895999738746</v>
      </c>
      <c r="GF115" s="62">
        <f t="shared" si="104"/>
        <v>145.64042897395763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72.789738389566608</v>
      </c>
      <c r="GM115" s="23">
        <f>EXP(-LN(2)/25)*GM114+(1-EXP(-LN(2)/25))/(LN(2)/25)*Calculateur!GH115*Calculateur!GJ115*VLOOKUP('Données projet'!$B$17,Paramètres!$A$1:$I$89,3,0)*0.475*44/12</f>
        <v>4.7680266379990393</v>
      </c>
      <c r="GN115" s="23">
        <f>EXP(-LN(2)/2)*GN114+(1-EXP(-LN(2)/2))/(LN(2)/2)*GH115*GK115*VLOOKUP('Données projet'!$B$17,Paramètres!$A$1:$I$89,3,0)*0.475*44/12</f>
        <v>6.5448566392148463E-7</v>
      </c>
      <c r="GO115" s="23">
        <f t="shared" si="81"/>
        <v>77.557765682051311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1.7053025658242404E-13</v>
      </c>
      <c r="GV115" s="18">
        <f>GU115*VLOOKUP('Données projet'!$B$18,Paramètres!$A$1:$I$89,3,0)*VLOOKUP('Données projet'!$B$18,Paramètres!$A$1:$I$89,5,0)</f>
        <v>1.8355876818532125E-13</v>
      </c>
      <c r="GW115" s="14">
        <f t="shared" si="105"/>
        <v>2.5693529898865504E-12</v>
      </c>
      <c r="GX115" s="22">
        <f t="shared" si="82"/>
        <v>4.7946546453085093E-12</v>
      </c>
      <c r="GY115" s="62">
        <f t="shared" si="83"/>
        <v>293.33333333333809</v>
      </c>
      <c r="GZ115" s="62">
        <f ca="1">AVERAGE(OFFSET($GY$3,0,0,'Données projet'!$E$18+1,1))-AVERAGE(OFFSET($H$3,0,0,'Données projet'!$E$18+1,1))</f>
        <v>331.3579800635751</v>
      </c>
      <c r="HA115" s="62">
        <f t="shared" si="106"/>
        <v>209.40702003535273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94.763999035473475</v>
      </c>
      <c r="HH115" s="23">
        <f>EXP(-LN(2)/25)*HH114+(1-EXP(-LN(2)/25))/(LN(2)/25)*Calculateur!HC115*Calculateur!HE115*VLOOKUP('Données projet'!$B$18,Paramètres!$A$1:$I$89,3,0)*0.475*44/12</f>
        <v>6.2074309060742241</v>
      </c>
      <c r="HI115" s="23">
        <f>EXP(-LN(2)/2)*HI114+(1-EXP(-LN(2)/2))/(LN(2)/2)*HC115*HF115*VLOOKUP('Données projet'!$B$18,Paramètres!$A$1:$I$89,3,0)*0.475*44/12</f>
        <v>1.0502211816414483E-6</v>
      </c>
      <c r="HJ115" s="24">
        <f t="shared" si="84"/>
        <v>100.97143099176888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75.073571428571412</v>
      </c>
      <c r="N116" s="14">
        <f>IF('Données projet'!$A$36&gt;35,N115+M116-V115,IF(A116&lt;'Données projet'!$A$36,$K$205^A116,IF(A116='Données projet'!$A$36,'Données projet'!$B$36,N115+M116-V115)))</f>
        <v>2163.8171428571441</v>
      </c>
      <c r="O116" s="14">
        <f>N116*VLOOKUP('Données projet'!$B$9,Paramètres!$A$1:$I$89,3,0)*VLOOKUP('Données projet'!$B$9,Paramètres!$A$1:$I$89,5,0)</f>
        <v>1957.821750857144</v>
      </c>
      <c r="P116" s="14">
        <f t="shared" si="87"/>
        <v>373.3901175801135</v>
      </c>
      <c r="Q116" s="22">
        <f t="shared" si="107"/>
        <v>4060.1940041948906</v>
      </c>
      <c r="R116" s="62">
        <f t="shared" si="55"/>
        <v>4353.5273375282241</v>
      </c>
      <c r="S116" s="62">
        <f ca="1">AVERAGE(OFFSET($R$3,0,0,'Données projet'!$E$9+1,1))-AVERAGE(OFFSET($H$3,0,0,'Données projet'!$E$9+1,1))</f>
        <v>2472.5049373954762</v>
      </c>
      <c r="T116" s="62">
        <f t="shared" si="88"/>
        <v>286.98388307318311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340.58211698263631</v>
      </c>
      <c r="AA116" s="23">
        <f>EXP(-LN(2)/25)*AA115+(1-EXP(-LN(2)/25))/(LN(2)/25)*Calculateur!V116*Calculateur!X116*VLOOKUP('Données projet'!$B$9,Paramètres!$A$1:$I$89,3,0)*0.475*44/12</f>
        <v>24.721600277051728</v>
      </c>
      <c r="AB116" s="23">
        <f>EXP(-LN(2)/2)*AB115+(1-EXP(-LN(2)/2))/(LN(2)/2)*V116*Y116*VLOOKUP('Données projet'!$B$9,Paramètres!$A$1:$I$89,3,0)*0.475*44/12</f>
        <v>13.022235787104314</v>
      </c>
      <c r="AC116" s="24">
        <f t="shared" si="57"/>
        <v>378.32595304679234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75.073571428571412</v>
      </c>
      <c r="AI116" s="14">
        <f>IF('Données projet'!$A$62&gt;35,AI115+AH116-AQ115,IF(A116&lt;'Données projet'!$A$62,$AF$205^A116,IF(A116='Données projet'!$A$62,'Données projet'!$B$62,AI115+AH116-AQ115)))</f>
        <v>2163.8171428571441</v>
      </c>
      <c r="AJ116" s="14">
        <f>AI116*VLOOKUP('Données projet'!$B$10,Paramètres!$A$1:$I$89,3,0)*VLOOKUP('Données projet'!$B$10,Paramètres!$A$1:$I$89,5,0)</f>
        <v>2194.110582857144</v>
      </c>
      <c r="AK116" s="14">
        <f t="shared" si="89"/>
        <v>412.94107708112801</v>
      </c>
      <c r="AL116" s="22">
        <f t="shared" si="58"/>
        <v>4540.6149743924898</v>
      </c>
      <c r="AM116" s="62">
        <f t="shared" si="59"/>
        <v>4833.9483077258228</v>
      </c>
      <c r="AN116" s="62">
        <f ca="1">AVERAGE(OFFSET($AM$3,0,0,'Données projet'!$E$10+1,1))-AVERAGE(OFFSET($H$3,0,0,'Données projet'!$E$10+1,1))</f>
        <v>2761.1400657295467</v>
      </c>
      <c r="AO116" s="62">
        <f t="shared" si="90"/>
        <v>316.41877504316409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381.68685523916145</v>
      </c>
      <c r="AV116" s="23">
        <f>EXP(-LN(2)/25)*AV115+(1-EXP(-LN(2)/25))/(LN(2)/25)*Calculateur!AQ116*Calculateur!AS116*VLOOKUP('Données projet'!$B$10,Paramètres!$A$1:$I$89,3,0)*0.475*44/12</f>
        <v>27.705241689799351</v>
      </c>
      <c r="AW116" s="23">
        <f>EXP(-LN(2)/2)*AW115+(1-EXP(-LN(2)/2))/(LN(2)/2)*AQ116*AT116*VLOOKUP('Données projet'!$B$10,Paramètres!$A$1:$I$89,3,0)*0.475*44/12</f>
        <v>14.593884933823801</v>
      </c>
      <c r="AX116" s="23">
        <f t="shared" si="60"/>
        <v>423.98598186278457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75.073571428571412</v>
      </c>
      <c r="BD116" s="13">
        <f>IF('Données projet'!$A$88&gt;35,BD115+BC116-BL115,IF(A116&lt;'Données projet'!$A$88,$BA$205^A116,IF(A116='Données projet'!$A$88,'Données projet'!$B$88,BD115+BC116-BL115)))</f>
        <v>2163.8171428571441</v>
      </c>
      <c r="BE116" s="14">
        <f>BD116*VLOOKUP('Données projet'!$B$11,Paramètres!$A$1:$I$89,3,0)*VLOOKUP('Données projet'!$B$11,Paramètres!$A$1:$I$89,5,0)</f>
        <v>2261.6216777142872</v>
      </c>
      <c r="BF116" s="14">
        <f t="shared" si="91"/>
        <v>424.14811374009832</v>
      </c>
      <c r="BG116" s="22">
        <f t="shared" si="61"/>
        <v>4677.7157201163882</v>
      </c>
      <c r="BH116" s="62">
        <f t="shared" si="62"/>
        <v>4971.0490534497212</v>
      </c>
      <c r="BI116" s="62">
        <f ca="1">AVERAGE(OFFSET($BH$3,0,0,'Données projet'!$E$11+1,1))-AVERAGE(OFFSET($H$3,0,0,'Données projet'!$E$11+1,1))</f>
        <v>2843.5086223152098</v>
      </c>
      <c r="BJ116" s="62">
        <f t="shared" si="92"/>
        <v>324.81562437645522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393.43106616959716</v>
      </c>
      <c r="BQ116" s="23">
        <f>EXP(-LN(2)/25)*BQ115+(1-EXP(-LN(2)/25))/(LN(2)/25)*Calculateur!BL116*Calculateur!BN116*VLOOKUP('Données projet'!$B$11,Paramètres!$A$1:$I$89,3,0)*0.475*44/12</f>
        <v>28.5577106648701</v>
      </c>
      <c r="BR116" s="23">
        <f>EXP(-LN(2)/2)*BR115+(1-EXP(-LN(2)/2))/(LN(2)/2)*BL116*BO116*VLOOKUP('Données projet'!$B$11,Paramètres!$A$1:$I$89,3,0)*0.475*44/12</f>
        <v>15.042927547172228</v>
      </c>
      <c r="BS116" s="24">
        <f t="shared" si="63"/>
        <v>437.03170438163949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75.073571428571412</v>
      </c>
      <c r="BY116" s="13">
        <f>IF('Données projet'!$A$114&gt;35,BY115+BX116-CG115,IF(A116&lt;'Données projet'!$A$114,$BV$205^A116,IF(A116='Données projet'!$A$114,'Données projet'!$B$114,BY115+BX116-CG115)))</f>
        <v>2163.8171428571441</v>
      </c>
      <c r="BZ116" s="14">
        <f>BY116*VLOOKUP('Données projet'!$B$12,Paramètres!$A$1:$I$89,3,0)*VLOOKUP('Données projet'!$B$12,Paramètres!$A$1:$I$89,5,0)</f>
        <v>2160.3550354285726</v>
      </c>
      <c r="CA116" s="14">
        <f t="shared" si="93"/>
        <v>407.32256439306047</v>
      </c>
      <c r="CB116" s="22">
        <f t="shared" si="64"/>
        <v>4472.0384863560112</v>
      </c>
      <c r="CC116" s="62">
        <f t="shared" si="65"/>
        <v>4765.3718196893442</v>
      </c>
      <c r="CD116" s="62">
        <f ca="1">AVERAGE(OFFSET($CC$3,0,0,'Données projet'!$E$12+1,1))-AVERAGE(OFFSET($H$3,0,0,'Données projet'!$E$12+1,1))</f>
        <v>2719.939926994799</v>
      </c>
      <c r="CE116" s="62">
        <f t="shared" si="94"/>
        <v>312.21824046329749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375.8147497739435</v>
      </c>
      <c r="CL116" s="23">
        <f>EXP(-LN(2)/25)*CL115+(1-EXP(-LN(2)/25))/(LN(2)/25)*Calculateur!CG116*Calculateur!CI116*VLOOKUP('Données projet'!$B$12,Paramètres!$A$1:$I$89,3,0)*0.475*44/12</f>
        <v>27.279007202263976</v>
      </c>
      <c r="CM116" s="23">
        <f>EXP(-LN(2)/2)*CM115+(1-EXP(-LN(2)/2))/(LN(2)/2)*CG116*CJ116*VLOOKUP('Données projet'!$B$12,Paramètres!$A$1:$I$89,3,0)*0.475*44/12</f>
        <v>14.369363627149585</v>
      </c>
      <c r="CN116" s="24">
        <f t="shared" si="66"/>
        <v>417.46312060335708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1.1368683772161603E-12</v>
      </c>
      <c r="CU116" s="18">
        <f>CT116*VLOOKUP('Données projet'!$B$13,Paramètres!$A$1:$I$89,3,0)*VLOOKUP('Données projet'!$B$13,Paramètres!$A$1:$I$89,5,0)</f>
        <v>9.9316821433603771E-13</v>
      </c>
      <c r="CV116" s="14">
        <f t="shared" si="95"/>
        <v>1.1421454694498936E-11</v>
      </c>
      <c r="CW116" s="22">
        <f t="shared" si="67"/>
        <v>2.1622134899554243E-11</v>
      </c>
      <c r="CX116" s="62">
        <f t="shared" si="68"/>
        <v>293.33333333335491</v>
      </c>
      <c r="CY116" s="62">
        <f ca="1">AVERAGE(OFFSET($CX$3,0,0,'Données projet'!$E$13+1,1))-AVERAGE(OFFSET($H$3,0,0,'Données projet'!$E$13+1,1))</f>
        <v>1036.0130072090849</v>
      </c>
      <c r="CZ116" s="62">
        <f t="shared" si="96"/>
        <v>346.56593355696174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348.36898199340453</v>
      </c>
      <c r="DG116" s="23">
        <f>EXP(-LN(2)/25)*DG115+(1-EXP(-LN(2)/25))/(LN(2)/25)*Calculateur!DB116*Calculateur!DD116*VLOOKUP('Données projet'!$B$13,Paramètres!$A$1:$I$89,3,0)*0.475*44/12</f>
        <v>16.95124280224416</v>
      </c>
      <c r="DH116" s="23">
        <f>EXP(-LN(2)/2)*DH115+(1-EXP(-LN(2)/2))/(LN(2)/2)*DB116*DE116*VLOOKUP('Données projet'!$B$13,Paramètres!$A$1:$I$89,3,0)*0.475*44/12</f>
        <v>9.7510965545124335E-4</v>
      </c>
      <c r="DI116" s="24">
        <f t="shared" si="69"/>
        <v>365.32119990530413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6.8212102632969618E-13</v>
      </c>
      <c r="DP116" s="18">
        <f>DO116*VLOOKUP('Données projet'!$B$14,Paramètres!$A$1:$I$89,3,0)*VLOOKUP('Données projet'!$B$14,Paramètres!$A$1:$I$89,5,0)</f>
        <v>3.8130565371830017E-13</v>
      </c>
      <c r="DQ116" s="14">
        <f t="shared" si="97"/>
        <v>4.9019074112354236E-12</v>
      </c>
      <c r="DR116" s="22">
        <f t="shared" si="70"/>
        <v>9.2015960881277352E-12</v>
      </c>
      <c r="DS116" s="62">
        <f t="shared" si="71"/>
        <v>293.33333333334252</v>
      </c>
      <c r="DT116" s="62">
        <f ca="1">AVERAGE(OFFSET($DS$3,0,0,'Données projet'!$E$14+1,1))-AVERAGE(OFFSET($H$3,0,0,'Données projet'!$E$14+1,1))</f>
        <v>446.48069057792151</v>
      </c>
      <c r="DU116" s="62">
        <f t="shared" si="98"/>
        <v>561.75656782935948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64.644155636921653</v>
      </c>
      <c r="EB116" s="23">
        <f>EXP(-LN(2)/25)*EB115+(1-EXP(-LN(2)/25))/(LN(2)/25)*Calculateur!DW116*Calculateur!DY116*VLOOKUP('Données projet'!$B$14,Paramètres!$A$1:$I$89,3,0)*0.475*44/12</f>
        <v>18.641762453452603</v>
      </c>
      <c r="EC116" s="23">
        <f>EXP(-LN(2)/2)*EC115+(1-EXP(-LN(2)/2))/(LN(2)/2)*DW116*DZ116*VLOOKUP('Données projet'!$B$14,Paramètres!$A$1:$I$89,3,0)*0.475*44/12</f>
        <v>1.4138705281429624E-6</v>
      </c>
      <c r="ED116" s="24">
        <f t="shared" si="72"/>
        <v>83.285919504244774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1.7053025658242404E-13</v>
      </c>
      <c r="EK116" s="18">
        <f>EJ116*VLOOKUP('Données projet'!$B$15,Paramètres!$A$1:$I$89,3,0)*VLOOKUP('Données projet'!$B$15,Paramètres!$A$1:$I$89,5,0)</f>
        <v>1.6493686416652052E-13</v>
      </c>
      <c r="EL116" s="14">
        <f t="shared" si="99"/>
        <v>2.3376205369651282E-12</v>
      </c>
      <c r="EM116" s="22">
        <f t="shared" si="73"/>
        <v>4.3586208069709543E-12</v>
      </c>
      <c r="EN116" s="62">
        <f t="shared" si="74"/>
        <v>293.33333333333769</v>
      </c>
      <c r="EO116" s="62">
        <f ca="1">AVERAGE(OFFSET($EN$3,0,0,'Données projet'!$E$15+1,1))-AVERAGE(OFFSET($H$3,0,0,'Données projet'!$E$15+1,1))</f>
        <v>301.18531163828169</v>
      </c>
      <c r="EP116" s="62">
        <f t="shared" si="100"/>
        <v>192.30530273268101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83.480515340762921</v>
      </c>
      <c r="EW116" s="23">
        <f>EXP(-LN(2)/25)*EW115+(1-EXP(-LN(2)/25))/(LN(2)/25)*Calculateur!ER116*Calculateur!ET116*VLOOKUP('Données projet'!$B$15,Paramètres!$A$1:$I$89,3,0)*0.475*44/12</f>
        <v>5.4251692703450329</v>
      </c>
      <c r="EX116" s="23">
        <f>EXP(-LN(2)/2)*EX115+(1-EXP(-LN(2)/2))/(LN(2)/2)*ER116*EU116*VLOOKUP('Données projet'!$B$15,Paramètres!$A$1:$I$89,3,0)*0.475*44/12</f>
        <v>6.6728040863237704E-7</v>
      </c>
      <c r="EY116" s="24">
        <f t="shared" si="75"/>
        <v>88.905685278388361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1.7053025658242404E-13</v>
      </c>
      <c r="FF116" s="18">
        <f>FE116*VLOOKUP('Données projet'!$B$16,Paramètres!$A$1:$I$89,3,0)*VLOOKUP('Données projet'!$B$16,Paramètres!$A$1:$I$89,5,0)</f>
        <v>1.3301360013429075E-13</v>
      </c>
      <c r="FG116" s="14">
        <f t="shared" si="101"/>
        <v>1.9329766731057041E-12</v>
      </c>
      <c r="FH116" s="22">
        <f t="shared" si="76"/>
        <v>3.5982663925596575E-12</v>
      </c>
      <c r="FI116" s="62">
        <f t="shared" si="77"/>
        <v>293.3333333333369</v>
      </c>
      <c r="FJ116" s="62">
        <f ca="1">AVERAGE(OFFSET($FI$3,0,0,'Données projet'!$E$16+1,1))-AVERAGE(OFFSET($H$3,0,0,'Données projet'!$E$16+1,1))</f>
        <v>249.2899297828755</v>
      </c>
      <c r="FK116" s="62">
        <f t="shared" si="102"/>
        <v>162.88011837476813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67.322996242550744</v>
      </c>
      <c r="FR116" s="23">
        <f>EXP(-LN(2)/25)*FR115+(1-EXP(-LN(2)/25))/(LN(2)/25)*Calculateur!FM116*Calculateur!FO116*VLOOKUP('Données projet'!$B$16,Paramètres!$A$1:$I$89,3,0)*0.475*44/12</f>
        <v>4.3751365083427638</v>
      </c>
      <c r="FS116" s="23">
        <f>EXP(-LN(2)/2)*FS115+(1-EXP(-LN(2)/2))/(LN(2)/2)*FM116*FP116*VLOOKUP('Données projet'!$B$16,Paramètres!$A$1:$I$89,3,0)*0.475*44/12</f>
        <v>5.3812936180030201E-7</v>
      </c>
      <c r="FT116" s="24">
        <f t="shared" si="78"/>
        <v>71.698133289022863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1.7053025658242404E-13</v>
      </c>
      <c r="GA116" s="18">
        <f>FZ116*VLOOKUP('Données projet'!$B$17,Paramètres!$A$1:$I$89,3,0)*VLOOKUP('Données projet'!$B$17,Paramètres!$A$1:$I$89,5,0)</f>
        <v>1.1439169611549005E-13</v>
      </c>
      <c r="GB116" s="14">
        <f t="shared" si="103"/>
        <v>1.6918016515029816E-12</v>
      </c>
      <c r="GC116" s="22">
        <f t="shared" si="79"/>
        <v>3.1457867471021712E-12</v>
      </c>
      <c r="GD116" s="62">
        <f t="shared" si="80"/>
        <v>293.33333333333644</v>
      </c>
      <c r="GE116" s="62">
        <f ca="1">AVERAGE(OFFSET($GD$3,0,0,'Données projet'!$E$17+1,1))-AVERAGE(OFFSET($H$3,0,0,'Données projet'!$E$17+1,1))</f>
        <v>218.89895999738746</v>
      </c>
      <c r="GF116" s="62">
        <f t="shared" si="104"/>
        <v>145.64042897395763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71.362376017103756</v>
      </c>
      <c r="GM116" s="23">
        <f>EXP(-LN(2)/25)*GM115+(1-EXP(-LN(2)/25))/(LN(2)/25)*Calculateur!GH116*Calculateur!GJ116*VLOOKUP('Données projet'!$B$17,Paramètres!$A$1:$I$89,3,0)*0.475*44/12</f>
        <v>4.6376446988433324</v>
      </c>
      <c r="GN116" s="23">
        <f>EXP(-LN(2)/2)*GN115+(1-EXP(-LN(2)/2))/(LN(2)/2)*GH116*GK116*VLOOKUP('Données projet'!$B$17,Paramètres!$A$1:$I$89,3,0)*0.475*44/12</f>
        <v>4.6279125114826154E-7</v>
      </c>
      <c r="GO116" s="23">
        <f t="shared" si="81"/>
        <v>76.000021178738336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1.7053025658242404E-13</v>
      </c>
      <c r="GV116" s="18">
        <f>GU116*VLOOKUP('Données projet'!$B$18,Paramètres!$A$1:$I$89,3,0)*VLOOKUP('Données projet'!$B$18,Paramètres!$A$1:$I$89,5,0)</f>
        <v>1.8355876818532125E-13</v>
      </c>
      <c r="GW116" s="14">
        <f t="shared" si="105"/>
        <v>2.5693529898865504E-12</v>
      </c>
      <c r="GX116" s="22">
        <f t="shared" si="82"/>
        <v>4.7946546453085093E-12</v>
      </c>
      <c r="GY116" s="62">
        <f t="shared" si="83"/>
        <v>293.33333333333809</v>
      </c>
      <c r="GZ116" s="62">
        <f ca="1">AVERAGE(OFFSET($GY$3,0,0,'Données projet'!$E$18+1,1))-AVERAGE(OFFSET($H$3,0,0,'Données projet'!$E$18+1,1))</f>
        <v>331.3579800635751</v>
      </c>
      <c r="HA116" s="62">
        <f t="shared" si="106"/>
        <v>209.40702003535273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92.905734814719949</v>
      </c>
      <c r="HH116" s="23">
        <f>EXP(-LN(2)/25)*HH115+(1-EXP(-LN(2)/25))/(LN(2)/25)*Calculateur!HC116*Calculateur!HE116*VLOOKUP('Données projet'!$B$18,Paramètres!$A$1:$I$89,3,0)*0.475*44/12</f>
        <v>6.0376883815130205</v>
      </c>
      <c r="HI116" s="23">
        <f>EXP(-LN(2)/2)*HI115+(1-EXP(-LN(2)/2))/(LN(2)/2)*HC116*HF116*VLOOKUP('Données projet'!$B$18,Paramètres!$A$1:$I$89,3,0)*0.475*44/12</f>
        <v>7.4261851928441698E-7</v>
      </c>
      <c r="HJ116" s="24">
        <f t="shared" si="84"/>
        <v>98.943423938851495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75.073571428571412</v>
      </c>
      <c r="N117" s="14">
        <f>IF('Données projet'!$A$36&gt;35,N116+M117-V116,IF(A117&lt;'Données projet'!$A$36,$K$205^A117,IF(A117='Données projet'!$A$36,'Données projet'!$B$36,N116+M117-V116)))</f>
        <v>2238.8907142857156</v>
      </c>
      <c r="O117" s="14">
        <f>N117*VLOOKUP('Données projet'!$B$9,Paramètres!$A$1:$I$89,3,0)*VLOOKUP('Données projet'!$B$9,Paramètres!$A$1:$I$89,5,0)</f>
        <v>2025.7483182857152</v>
      </c>
      <c r="P117" s="14">
        <f t="shared" si="87"/>
        <v>384.8141217510402</v>
      </c>
      <c r="Q117" s="22">
        <f t="shared" si="107"/>
        <v>4198.3962497306829</v>
      </c>
      <c r="R117" s="62">
        <f t="shared" si="55"/>
        <v>4491.729583064016</v>
      </c>
      <c r="S117" s="62">
        <f ca="1">AVERAGE(OFFSET($R$3,0,0,'Données projet'!$E$9+1,1))-AVERAGE(OFFSET($H$3,0,0,'Données projet'!$E$9+1,1))</f>
        <v>2472.5049373954762</v>
      </c>
      <c r="T117" s="62">
        <f t="shared" si="88"/>
        <v>286.98388307318311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333.90350940318609</v>
      </c>
      <c r="AA117" s="23">
        <f>EXP(-LN(2)/25)*AA116+(1-EXP(-LN(2)/25))/(LN(2)/25)*Calculateur!V117*Calculateur!X117*VLOOKUP('Données projet'!$B$9,Paramètres!$A$1:$I$89,3,0)*0.475*44/12</f>
        <v>24.045586817423292</v>
      </c>
      <c r="AB117" s="23">
        <f>EXP(-LN(2)/2)*AB116+(1-EXP(-LN(2)/2))/(LN(2)/2)*V117*Y117*VLOOKUP('Données projet'!$B$9,Paramètres!$A$1:$I$89,3,0)*0.475*44/12</f>
        <v>9.2081112312715998</v>
      </c>
      <c r="AC117" s="24">
        <f t="shared" si="57"/>
        <v>367.15720745188094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75.073571428571412</v>
      </c>
      <c r="AI117" s="14">
        <f>IF('Données projet'!$A$62&gt;35,AI116+AH117-AQ116,IF(A117&lt;'Données projet'!$A$62,$AF$205^A117,IF(A117='Données projet'!$A$62,'Données projet'!$B$62,AI116+AH117-AQ116)))</f>
        <v>2238.8907142857156</v>
      </c>
      <c r="AJ117" s="14">
        <f>AI117*VLOOKUP('Données projet'!$B$10,Paramètres!$A$1:$I$89,3,0)*VLOOKUP('Données projet'!$B$10,Paramètres!$A$1:$I$89,5,0)</f>
        <v>2270.2351842857156</v>
      </c>
      <c r="AK117" s="14">
        <f t="shared" si="89"/>
        <v>425.57515700133263</v>
      </c>
      <c r="AL117" s="22">
        <f t="shared" si="58"/>
        <v>4695.203011074942</v>
      </c>
      <c r="AM117" s="62">
        <f t="shared" si="59"/>
        <v>4988.536344408275</v>
      </c>
      <c r="AN117" s="62">
        <f ca="1">AVERAGE(OFFSET($AM$3,0,0,'Données projet'!$E$10+1,1))-AVERAGE(OFFSET($H$3,0,0,'Données projet'!$E$10+1,1))</f>
        <v>2761.1400657295467</v>
      </c>
      <c r="AO117" s="62">
        <f t="shared" si="90"/>
        <v>316.41877504316409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374.20220881391549</v>
      </c>
      <c r="AV117" s="23">
        <f>EXP(-LN(2)/25)*AV116+(1-EXP(-LN(2)/25))/(LN(2)/25)*Calculateur!AQ117*Calculateur!AS117*VLOOKUP('Données projet'!$B$10,Paramètres!$A$1:$I$89,3,0)*0.475*44/12</f>
        <v>26.947640398836448</v>
      </c>
      <c r="AW117" s="23">
        <f>EXP(-LN(2)/2)*AW116+(1-EXP(-LN(2)/2))/(LN(2)/2)*AQ117*AT117*VLOOKUP('Données projet'!$B$10,Paramètres!$A$1:$I$89,3,0)*0.475*44/12</f>
        <v>10.319435000563001</v>
      </c>
      <c r="AX117" s="23">
        <f t="shared" si="60"/>
        <v>411.46928421331489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75.073571428571412</v>
      </c>
      <c r="BD117" s="13">
        <f>IF('Données projet'!$A$88&gt;35,BD116+BC117-BL116,IF(A117&lt;'Données projet'!$A$88,$BA$205^A117,IF(A117='Données projet'!$A$88,'Données projet'!$B$88,BD116+BC117-BL116)))</f>
        <v>2238.8907142857156</v>
      </c>
      <c r="BE117" s="14">
        <f>BD117*VLOOKUP('Données projet'!$B$11,Paramètres!$A$1:$I$89,3,0)*VLOOKUP('Données projet'!$B$11,Paramètres!$A$1:$I$89,5,0)</f>
        <v>2340.0885745714299</v>
      </c>
      <c r="BF117" s="14">
        <f t="shared" si="91"/>
        <v>437.12507695449818</v>
      </c>
      <c r="BG117" s="22">
        <f t="shared" si="61"/>
        <v>4836.9804430743252</v>
      </c>
      <c r="BH117" s="62">
        <f t="shared" si="62"/>
        <v>5130.3137764076582</v>
      </c>
      <c r="BI117" s="62">
        <f ca="1">AVERAGE(OFFSET($BH$3,0,0,'Données projet'!$E$11+1,1))-AVERAGE(OFFSET($H$3,0,0,'Données projet'!$E$11+1,1))</f>
        <v>2843.5086223152098</v>
      </c>
      <c r="BJ117" s="62">
        <f t="shared" si="92"/>
        <v>324.81562437645522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385.71612293126674</v>
      </c>
      <c r="BQ117" s="23">
        <f>EXP(-LN(2)/25)*BQ116+(1-EXP(-LN(2)/25))/(LN(2)/25)*Calculateur!BL117*Calculateur!BN117*VLOOKUP('Données projet'!$B$11,Paramètres!$A$1:$I$89,3,0)*0.475*44/12</f>
        <v>27.776798564954493</v>
      </c>
      <c r="BR117" s="23">
        <f>EXP(-LN(2)/2)*BR116+(1-EXP(-LN(2)/2))/(LN(2)/2)*BL117*BO117*VLOOKUP('Données projet'!$B$11,Paramètres!$A$1:$I$89,3,0)*0.475*44/12</f>
        <v>10.636956077503401</v>
      </c>
      <c r="BS117" s="24">
        <f t="shared" si="63"/>
        <v>424.12987757372463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75.073571428571412</v>
      </c>
      <c r="BY117" s="13">
        <f>IF('Données projet'!$A$114&gt;35,BY116+BX117-CG116,IF(A117&lt;'Données projet'!$A$114,$BV$205^A117,IF(A117='Données projet'!$A$114,'Données projet'!$B$114,BY116+BX117-CG116)))</f>
        <v>2238.8907142857156</v>
      </c>
      <c r="BZ117" s="14">
        <f>BY117*VLOOKUP('Données projet'!$B$12,Paramètres!$A$1:$I$89,3,0)*VLOOKUP('Données projet'!$B$12,Paramètres!$A$1:$I$89,5,0)</f>
        <v>2235.3084891428584</v>
      </c>
      <c r="CA117" s="14">
        <f t="shared" si="93"/>
        <v>419.78474390840472</v>
      </c>
      <c r="CB117" s="22">
        <f t="shared" si="64"/>
        <v>4624.2873808976165</v>
      </c>
      <c r="CC117" s="62">
        <f t="shared" si="65"/>
        <v>4917.6207142309495</v>
      </c>
      <c r="CD117" s="62">
        <f ca="1">AVERAGE(OFFSET($CC$3,0,0,'Données projet'!$E$12+1,1))-AVERAGE(OFFSET($H$3,0,0,'Données projet'!$E$12+1,1))</f>
        <v>2719.939926994799</v>
      </c>
      <c r="CE117" s="62">
        <f t="shared" si="94"/>
        <v>312.21824046329749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368.44525175523978</v>
      </c>
      <c r="CL117" s="23">
        <f>EXP(-LN(2)/25)*CL116+(1-EXP(-LN(2)/25))/(LN(2)/25)*Calculateur!CG117*Calculateur!CI117*VLOOKUP('Données projet'!$B$12,Paramètres!$A$1:$I$89,3,0)*0.475*44/12</f>
        <v>26.533061315777427</v>
      </c>
      <c r="CM117" s="23">
        <f>EXP(-LN(2)/2)*CM116+(1-EXP(-LN(2)/2))/(LN(2)/2)*CG117*CJ117*VLOOKUP('Données projet'!$B$12,Paramètres!$A$1:$I$89,3,0)*0.475*44/12</f>
        <v>10.160674462092798</v>
      </c>
      <c r="CN117" s="24">
        <f t="shared" si="66"/>
        <v>405.13898753311003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1.1368683772161603E-12</v>
      </c>
      <c r="CU117" s="18">
        <f>CT117*VLOOKUP('Données projet'!$B$13,Paramètres!$A$1:$I$89,3,0)*VLOOKUP('Données projet'!$B$13,Paramètres!$A$1:$I$89,5,0)</f>
        <v>9.9316821433603771E-13</v>
      </c>
      <c r="CV117" s="14">
        <f t="shared" si="95"/>
        <v>1.1421454694498936E-11</v>
      </c>
      <c r="CW117" s="22">
        <f t="shared" si="67"/>
        <v>2.1622134899554243E-11</v>
      </c>
      <c r="CX117" s="62">
        <f t="shared" si="68"/>
        <v>293.33333333335491</v>
      </c>
      <c r="CY117" s="62">
        <f ca="1">AVERAGE(OFFSET($CX$3,0,0,'Données projet'!$E$13+1,1))-AVERAGE(OFFSET($H$3,0,0,'Données projet'!$E$13+1,1))</f>
        <v>1036.0130072090849</v>
      </c>
      <c r="CZ117" s="62">
        <f t="shared" si="96"/>
        <v>346.56593355696174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341.5376787406118</v>
      </c>
      <c r="DG117" s="23">
        <f>EXP(-LN(2)/25)*DG116+(1-EXP(-LN(2)/25))/(LN(2)/25)*Calculateur!DB117*Calculateur!DD117*VLOOKUP('Données projet'!$B$13,Paramètres!$A$1:$I$89,3,0)*0.475*44/12</f>
        <v>16.487710176389676</v>
      </c>
      <c r="DH117" s="23">
        <f>EXP(-LN(2)/2)*DH116+(1-EXP(-LN(2)/2))/(LN(2)/2)*DB117*DE117*VLOOKUP('Données projet'!$B$13,Paramètres!$A$1:$I$89,3,0)*0.475*44/12</f>
        <v>6.895066497700521E-4</v>
      </c>
      <c r="DI117" s="24">
        <f t="shared" si="69"/>
        <v>358.02607842365126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6.8212102632969618E-13</v>
      </c>
      <c r="DP117" s="18">
        <f>DO117*VLOOKUP('Données projet'!$B$14,Paramètres!$A$1:$I$89,3,0)*VLOOKUP('Données projet'!$B$14,Paramètres!$A$1:$I$89,5,0)</f>
        <v>3.8130565371830017E-13</v>
      </c>
      <c r="DQ117" s="14">
        <f t="shared" si="97"/>
        <v>4.9019074112354236E-12</v>
      </c>
      <c r="DR117" s="22">
        <f t="shared" si="70"/>
        <v>9.2015960881277352E-12</v>
      </c>
      <c r="DS117" s="62">
        <f t="shared" si="71"/>
        <v>293.33333333334252</v>
      </c>
      <c r="DT117" s="62">
        <f ca="1">AVERAGE(OFFSET($DS$3,0,0,'Données projet'!$E$14+1,1))-AVERAGE(OFFSET($H$3,0,0,'Données projet'!$E$14+1,1))</f>
        <v>446.48069057792151</v>
      </c>
      <c r="DU117" s="62">
        <f t="shared" si="98"/>
        <v>561.75656782935948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63.37652317392326</v>
      </c>
      <c r="EB117" s="23">
        <f>EXP(-LN(2)/25)*EB116+(1-EXP(-LN(2)/25))/(LN(2)/25)*Calculateur!DW117*Calculateur!DY117*VLOOKUP('Données projet'!$B$14,Paramètres!$A$1:$I$89,3,0)*0.475*44/12</f>
        <v>18.132002478835261</v>
      </c>
      <c r="EC117" s="23">
        <f>EXP(-LN(2)/2)*EC116+(1-EXP(-LN(2)/2))/(LN(2)/2)*DW117*DZ117*VLOOKUP('Données projet'!$B$14,Paramètres!$A$1:$I$89,3,0)*0.475*44/12</f>
        <v>9.9975743816969408E-7</v>
      </c>
      <c r="ED117" s="24">
        <f t="shared" si="72"/>
        <v>81.508526652515954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1.7053025658242404E-13</v>
      </c>
      <c r="EK117" s="18">
        <f>EJ117*VLOOKUP('Données projet'!$B$15,Paramètres!$A$1:$I$89,3,0)*VLOOKUP('Données projet'!$B$15,Paramètres!$A$1:$I$89,5,0)</f>
        <v>1.6493686416652052E-13</v>
      </c>
      <c r="EL117" s="14">
        <f t="shared" si="99"/>
        <v>2.3376205369651282E-12</v>
      </c>
      <c r="EM117" s="22">
        <f t="shared" si="73"/>
        <v>4.3586208069709543E-12</v>
      </c>
      <c r="EN117" s="62">
        <f t="shared" si="74"/>
        <v>293.33333333333769</v>
      </c>
      <c r="EO117" s="62">
        <f ca="1">AVERAGE(OFFSET($EN$3,0,0,'Données projet'!$E$15+1,1))-AVERAGE(OFFSET($H$3,0,0,'Données projet'!$E$15+1,1))</f>
        <v>301.18531163828169</v>
      </c>
      <c r="EP117" s="62">
        <f t="shared" si="100"/>
        <v>192.30530273268101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81.843513353017173</v>
      </c>
      <c r="EW117" s="23">
        <f>EXP(-LN(2)/25)*EW116+(1-EXP(-LN(2)/25))/(LN(2)/25)*Calculateur!ER117*Calculateur!ET117*VLOOKUP('Données projet'!$B$15,Paramètres!$A$1:$I$89,3,0)*0.475*44/12</f>
        <v>5.2768177313501958</v>
      </c>
      <c r="EX117" s="23">
        <f>EXP(-LN(2)/2)*EX116+(1-EXP(-LN(2)/2))/(LN(2)/2)*ER117*EU117*VLOOKUP('Données projet'!$B$15,Paramètres!$A$1:$I$89,3,0)*0.475*44/12</f>
        <v>4.7183850189688426E-7</v>
      </c>
      <c r="EY117" s="24">
        <f t="shared" si="75"/>
        <v>87.120331556205869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1.7053025658242404E-13</v>
      </c>
      <c r="FF117" s="18">
        <f>FE117*VLOOKUP('Données projet'!$B$16,Paramètres!$A$1:$I$89,3,0)*VLOOKUP('Données projet'!$B$16,Paramètres!$A$1:$I$89,5,0)</f>
        <v>1.3301360013429075E-13</v>
      </c>
      <c r="FG117" s="14">
        <f t="shared" si="101"/>
        <v>1.9329766731057041E-12</v>
      </c>
      <c r="FH117" s="22">
        <f t="shared" si="76"/>
        <v>3.5982663925596575E-12</v>
      </c>
      <c r="FI117" s="62">
        <f t="shared" si="77"/>
        <v>293.3333333333369</v>
      </c>
      <c r="FJ117" s="62">
        <f ca="1">AVERAGE(OFFSET($FI$3,0,0,'Données projet'!$E$16+1,1))-AVERAGE(OFFSET($H$3,0,0,'Données projet'!$E$16+1,1))</f>
        <v>249.2899297828755</v>
      </c>
      <c r="FK117" s="62">
        <f t="shared" si="102"/>
        <v>162.88011837476813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66.002833349207407</v>
      </c>
      <c r="FR117" s="23">
        <f>EXP(-LN(2)/25)*FR116+(1-EXP(-LN(2)/25))/(LN(2)/25)*Calculateur!FM117*Calculateur!FO117*VLOOKUP('Données projet'!$B$16,Paramètres!$A$1:$I$89,3,0)*0.475*44/12</f>
        <v>4.2554981704437012</v>
      </c>
      <c r="FS117" s="23">
        <f>EXP(-LN(2)/2)*FS116+(1-EXP(-LN(2)/2))/(LN(2)/2)*FM117*FP117*VLOOKUP('Données projet'!$B$16,Paramètres!$A$1:$I$89,3,0)*0.475*44/12</f>
        <v>3.8051492088458262E-7</v>
      </c>
      <c r="FT117" s="24">
        <f t="shared" si="78"/>
        <v>70.258331900166027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1.7053025658242404E-13</v>
      </c>
      <c r="GA117" s="18">
        <f>FZ117*VLOOKUP('Données projet'!$B$17,Paramètres!$A$1:$I$89,3,0)*VLOOKUP('Données projet'!$B$17,Paramètres!$A$1:$I$89,5,0)</f>
        <v>1.1439169611549005E-13</v>
      </c>
      <c r="GB117" s="14">
        <f t="shared" si="103"/>
        <v>1.6918016515029816E-12</v>
      </c>
      <c r="GC117" s="22">
        <f t="shared" si="79"/>
        <v>3.1457867471021712E-12</v>
      </c>
      <c r="GD117" s="62">
        <f t="shared" si="80"/>
        <v>293.33333333333644</v>
      </c>
      <c r="GE117" s="62">
        <f ca="1">AVERAGE(OFFSET($GD$3,0,0,'Données projet'!$E$17+1,1))-AVERAGE(OFFSET($H$3,0,0,'Données projet'!$E$17+1,1))</f>
        <v>218.89895999738746</v>
      </c>
      <c r="GF117" s="62">
        <f t="shared" si="104"/>
        <v>145.64042897395763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69.963003350159809</v>
      </c>
      <c r="GM117" s="23">
        <f>EXP(-LN(2)/25)*GM116+(1-EXP(-LN(2)/25))/(LN(2)/25)*Calculateur!GH117*Calculateur!GJ117*VLOOKUP('Données projet'!$B$17,Paramètres!$A$1:$I$89,3,0)*0.475*44/12</f>
        <v>4.5108280606703266</v>
      </c>
      <c r="GN117" s="23">
        <f>EXP(-LN(2)/2)*GN116+(1-EXP(-LN(2)/2))/(LN(2)/2)*GH117*GK117*VLOOKUP('Données projet'!$B$17,Paramètres!$A$1:$I$89,3,0)*0.475*44/12</f>
        <v>3.2724283196074237E-7</v>
      </c>
      <c r="GO117" s="23">
        <f t="shared" si="81"/>
        <v>74.47383173807296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1.7053025658242404E-13</v>
      </c>
      <c r="GV117" s="18">
        <f>GU117*VLOOKUP('Données projet'!$B$18,Paramètres!$A$1:$I$89,3,0)*VLOOKUP('Données projet'!$B$18,Paramètres!$A$1:$I$89,5,0)</f>
        <v>1.8355876818532125E-13</v>
      </c>
      <c r="GW117" s="14">
        <f t="shared" si="105"/>
        <v>2.5693529898865504E-12</v>
      </c>
      <c r="GX117" s="22">
        <f t="shared" si="82"/>
        <v>4.7946546453085093E-12</v>
      </c>
      <c r="GY117" s="62">
        <f t="shared" si="83"/>
        <v>293.33333333333809</v>
      </c>
      <c r="GZ117" s="62">
        <f ca="1">AVERAGE(OFFSET($GY$3,0,0,'Données projet'!$E$18+1,1))-AVERAGE(OFFSET($H$3,0,0,'Données projet'!$E$18+1,1))</f>
        <v>331.3579800635751</v>
      </c>
      <c r="HA117" s="62">
        <f t="shared" si="106"/>
        <v>209.40702003535273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91.083910021906135</v>
      </c>
      <c r="HH117" s="23">
        <f>EXP(-LN(2)/25)*HH116+(1-EXP(-LN(2)/25))/(LN(2)/25)*Calculateur!HC117*Calculateur!HE117*VLOOKUP('Données projet'!$B$18,Paramètres!$A$1:$I$89,3,0)*0.475*44/12</f>
        <v>5.8725874752123142</v>
      </c>
      <c r="HI117" s="23">
        <f>EXP(-LN(2)/2)*HI116+(1-EXP(-LN(2)/2))/(LN(2)/2)*HC117*HF117*VLOOKUP('Données projet'!$B$18,Paramètres!$A$1:$I$89,3,0)*0.475*44/12</f>
        <v>5.2511059082072415E-7</v>
      </c>
      <c r="HJ117" s="24">
        <f t="shared" si="84"/>
        <v>96.956498022229042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75.073571428571412</v>
      </c>
      <c r="N118" s="14">
        <f>IF('Données projet'!$A$36&gt;35,N117+M118-V117,IF(A118&lt;'Données projet'!$A$36,$K$205^A118,IF(A118='Données projet'!$A$36,'Données projet'!$B$36,N117+M118-V117)))</f>
        <v>2313.9642857142871</v>
      </c>
      <c r="O118" s="14">
        <f>N118*VLOOKUP('Données projet'!$B$9,Paramètres!$A$1:$I$89,3,0)*VLOOKUP('Données projet'!$B$9,Paramètres!$A$1:$I$89,5,0)</f>
        <v>2093.674885714287</v>
      </c>
      <c r="P118" s="14">
        <f t="shared" si="87"/>
        <v>396.19361524155619</v>
      </c>
      <c r="Q118" s="22">
        <f t="shared" si="107"/>
        <v>4336.5209724980932</v>
      </c>
      <c r="R118" s="62">
        <f t="shared" si="55"/>
        <v>4629.8543058314262</v>
      </c>
      <c r="S118" s="62">
        <f ca="1">AVERAGE(OFFSET($R$3,0,0,'Données projet'!$E$9+1,1))-AVERAGE(OFFSET($H$3,0,0,'Données projet'!$E$9+1,1))</f>
        <v>2472.5049373954762</v>
      </c>
      <c r="T118" s="62">
        <f t="shared" si="88"/>
        <v>286.98388307318311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327.35586524482051</v>
      </c>
      <c r="AA118" s="23">
        <f>EXP(-LN(2)/25)*AA117+(1-EXP(-LN(2)/25))/(LN(2)/25)*Calculateur!V118*Calculateur!X118*VLOOKUP('Données projet'!$B$9,Paramètres!$A$1:$I$89,3,0)*0.475*44/12</f>
        <v>23.388058981398398</v>
      </c>
      <c r="AB118" s="23">
        <f>EXP(-LN(2)/2)*AB117+(1-EXP(-LN(2)/2))/(LN(2)/2)*V118*Y118*VLOOKUP('Données projet'!$B$9,Paramètres!$A$1:$I$89,3,0)*0.475*44/12</f>
        <v>6.5111178935521581</v>
      </c>
      <c r="AC118" s="24">
        <f t="shared" si="57"/>
        <v>357.25504211977108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75.073571428571412</v>
      </c>
      <c r="AI118" s="14">
        <f>IF('Données projet'!$A$62&gt;35,AI117+AH118-AQ117,IF(A118&lt;'Données projet'!$A$62,$AF$205^A118,IF(A118='Données projet'!$A$62,'Données projet'!$B$62,AI117+AH118-AQ117)))</f>
        <v>2313.9642857142871</v>
      </c>
      <c r="AJ118" s="14">
        <f>AI118*VLOOKUP('Données projet'!$B$10,Paramètres!$A$1:$I$89,3,0)*VLOOKUP('Données projet'!$B$10,Paramètres!$A$1:$I$89,5,0)</f>
        <v>2346.3597857142872</v>
      </c>
      <c r="AK118" s="14">
        <f t="shared" si="89"/>
        <v>438.16001149364024</v>
      </c>
      <c r="AL118" s="22">
        <f t="shared" si="58"/>
        <v>4849.7053134704738</v>
      </c>
      <c r="AM118" s="62">
        <f t="shared" si="59"/>
        <v>5143.0386468038068</v>
      </c>
      <c r="AN118" s="62">
        <f ca="1">AVERAGE(OFFSET($AM$3,0,0,'Données projet'!$E$10+1,1))-AVERAGE(OFFSET($H$3,0,0,'Données projet'!$E$10+1,1))</f>
        <v>2761.1400657295467</v>
      </c>
      <c r="AO118" s="62">
        <f t="shared" si="90"/>
        <v>316.41877504316409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366.86433173988507</v>
      </c>
      <c r="AV118" s="23">
        <f>EXP(-LN(2)/25)*AV117+(1-EXP(-LN(2)/25))/(LN(2)/25)*Calculateur!AQ118*Calculateur!AS118*VLOOKUP('Données projet'!$B$10,Paramètres!$A$1:$I$89,3,0)*0.475*44/12</f>
        <v>26.210755755015448</v>
      </c>
      <c r="AW118" s="23">
        <f>EXP(-LN(2)/2)*AW117+(1-EXP(-LN(2)/2))/(LN(2)/2)*AQ118*AT118*VLOOKUP('Données projet'!$B$10,Paramètres!$A$1:$I$89,3,0)*0.475*44/12</f>
        <v>7.2969424669119025</v>
      </c>
      <c r="AX118" s="23">
        <f t="shared" si="60"/>
        <v>400.37202996181242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75.073571428571412</v>
      </c>
      <c r="BD118" s="13">
        <f>IF('Données projet'!$A$88&gt;35,BD117+BC118-BL117,IF(A118&lt;'Données projet'!$A$88,$BA$205^A118,IF(A118='Données projet'!$A$88,'Données projet'!$B$88,BD117+BC118-BL117)))</f>
        <v>2313.9642857142871</v>
      </c>
      <c r="BE118" s="14">
        <f>BD118*VLOOKUP('Données projet'!$B$11,Paramètres!$A$1:$I$89,3,0)*VLOOKUP('Données projet'!$B$11,Paramètres!$A$1:$I$89,5,0)</f>
        <v>2418.5554714285731</v>
      </c>
      <c r="BF118" s="14">
        <f t="shared" si="91"/>
        <v>450.05147878484257</v>
      </c>
      <c r="BG118" s="22">
        <f t="shared" si="61"/>
        <v>4996.1571049550321</v>
      </c>
      <c r="BH118" s="62">
        <f t="shared" si="62"/>
        <v>5289.4904382883651</v>
      </c>
      <c r="BI118" s="62">
        <f ca="1">AVERAGE(OFFSET($BH$3,0,0,'Données projet'!$E$11+1,1))-AVERAGE(OFFSET($H$3,0,0,'Données projet'!$E$11+1,1))</f>
        <v>2843.5086223152098</v>
      </c>
      <c r="BJ118" s="62">
        <f t="shared" si="92"/>
        <v>324.81562437645522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378.15246502418921</v>
      </c>
      <c r="BQ118" s="23">
        <f>EXP(-LN(2)/25)*BQ117+(1-EXP(-LN(2)/25))/(LN(2)/25)*Calculateur!BL118*Calculateur!BN118*VLOOKUP('Données projet'!$B$11,Paramètres!$A$1:$I$89,3,0)*0.475*44/12</f>
        <v>27.01724054747746</v>
      </c>
      <c r="BR118" s="23">
        <f>EXP(-LN(2)/2)*BR117+(1-EXP(-LN(2)/2))/(LN(2)/2)*BL118*BO118*VLOOKUP('Données projet'!$B$11,Paramètres!$A$1:$I$89,3,0)*0.475*44/12</f>
        <v>7.5214637735861141</v>
      </c>
      <c r="BS118" s="24">
        <f t="shared" si="63"/>
        <v>412.69116934525277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75.073571428571412</v>
      </c>
      <c r="BY118" s="13">
        <f>IF('Données projet'!$A$114&gt;35,BY117+BX118-CG117,IF(A118&lt;'Données projet'!$A$114,$BV$205^A118,IF(A118='Données projet'!$A$114,'Données projet'!$B$114,BY117+BX118-CG117)))</f>
        <v>2313.9642857142871</v>
      </c>
      <c r="BZ118" s="14">
        <f>BY118*VLOOKUP('Données projet'!$B$12,Paramètres!$A$1:$I$89,3,0)*VLOOKUP('Données projet'!$B$12,Paramètres!$A$1:$I$89,5,0)</f>
        <v>2310.2619428571443</v>
      </c>
      <c r="CA118" s="14">
        <f t="shared" si="93"/>
        <v>432.19836776136231</v>
      </c>
      <c r="CB118" s="22">
        <f t="shared" si="64"/>
        <v>4776.4517076605662</v>
      </c>
      <c r="CC118" s="62">
        <f t="shared" si="65"/>
        <v>5069.7850409938992</v>
      </c>
      <c r="CD118" s="62">
        <f ca="1">AVERAGE(OFFSET($CC$3,0,0,'Données projet'!$E$12+1,1))-AVERAGE(OFFSET($H$3,0,0,'Données projet'!$E$12+1,1))</f>
        <v>2719.939926994799</v>
      </c>
      <c r="CE118" s="62">
        <f t="shared" si="94"/>
        <v>312.21824046329749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361.22026509773292</v>
      </c>
      <c r="CL118" s="23">
        <f>EXP(-LN(2)/25)*CL117+(1-EXP(-LN(2)/25))/(LN(2)/25)*Calculateur!CG118*Calculateur!CI118*VLOOKUP('Données projet'!$B$12,Paramètres!$A$1:$I$89,3,0)*0.475*44/12</f>
        <v>25.807513358784441</v>
      </c>
      <c r="CM118" s="23">
        <f>EXP(-LN(2)/2)*CM117+(1-EXP(-LN(2)/2))/(LN(2)/2)*CG118*CJ118*VLOOKUP('Données projet'!$B$12,Paramètres!$A$1:$I$89,3,0)*0.475*44/12</f>
        <v>7.1846818135747945</v>
      </c>
      <c r="CN118" s="24">
        <f t="shared" si="66"/>
        <v>394.21246027009215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1.1368683772161603E-12</v>
      </c>
      <c r="CU118" s="18">
        <f>CT118*VLOOKUP('Données projet'!$B$13,Paramètres!$A$1:$I$89,3,0)*VLOOKUP('Données projet'!$B$13,Paramètres!$A$1:$I$89,5,0)</f>
        <v>9.9316821433603771E-13</v>
      </c>
      <c r="CV118" s="14">
        <f t="shared" si="95"/>
        <v>1.1421454694498936E-11</v>
      </c>
      <c r="CW118" s="22">
        <f t="shared" si="67"/>
        <v>2.1622134899554243E-11</v>
      </c>
      <c r="CX118" s="62">
        <f t="shared" si="68"/>
        <v>293.33333333335491</v>
      </c>
      <c r="CY118" s="62">
        <f ca="1">AVERAGE(OFFSET($CX$3,0,0,'Données projet'!$E$13+1,1))-AVERAGE(OFFSET($H$3,0,0,'Données projet'!$E$13+1,1))</f>
        <v>1036.0130072090849</v>
      </c>
      <c r="CZ118" s="62">
        <f t="shared" si="96"/>
        <v>346.56593355696174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334.84033317792279</v>
      </c>
      <c r="DG118" s="23">
        <f>EXP(-LN(2)/25)*DG117+(1-EXP(-LN(2)/25))/(LN(2)/25)*Calculateur!DB118*Calculateur!DD118*VLOOKUP('Données projet'!$B$13,Paramètres!$A$1:$I$89,3,0)*0.475*44/12</f>
        <v>16.036852874565305</v>
      </c>
      <c r="DH118" s="23">
        <f>EXP(-LN(2)/2)*DH117+(1-EXP(-LN(2)/2))/(LN(2)/2)*DB118*DE118*VLOOKUP('Données projet'!$B$13,Paramètres!$A$1:$I$89,3,0)*0.475*44/12</f>
        <v>4.8755482772562173E-4</v>
      </c>
      <c r="DI118" s="24">
        <f t="shared" si="69"/>
        <v>350.87767360731578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6.8212102632969618E-13</v>
      </c>
      <c r="DP118" s="18">
        <f>DO118*VLOOKUP('Données projet'!$B$14,Paramètres!$A$1:$I$89,3,0)*VLOOKUP('Données projet'!$B$14,Paramètres!$A$1:$I$89,5,0)</f>
        <v>3.8130565371830017E-13</v>
      </c>
      <c r="DQ118" s="14">
        <f t="shared" si="97"/>
        <v>4.9019074112354236E-12</v>
      </c>
      <c r="DR118" s="22">
        <f t="shared" si="70"/>
        <v>9.2015960881277352E-12</v>
      </c>
      <c r="DS118" s="62">
        <f t="shared" si="71"/>
        <v>293.33333333334252</v>
      </c>
      <c r="DT118" s="62">
        <f ca="1">AVERAGE(OFFSET($DS$3,0,0,'Données projet'!$E$14+1,1))-AVERAGE(OFFSET($H$3,0,0,'Données projet'!$E$14+1,1))</f>
        <v>446.48069057792151</v>
      </c>
      <c r="DU118" s="62">
        <f t="shared" si="98"/>
        <v>561.75656782935948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62.133748210344812</v>
      </c>
      <c r="EB118" s="23">
        <f>EXP(-LN(2)/25)*EB117+(1-EXP(-LN(2)/25))/(LN(2)/25)*Calculateur!DW118*Calculateur!DY118*VLOOKUP('Données projet'!$B$14,Paramètres!$A$1:$I$89,3,0)*0.475*44/12</f>
        <v>17.636181917530941</v>
      </c>
      <c r="EC118" s="23">
        <f>EXP(-LN(2)/2)*EC117+(1-EXP(-LN(2)/2))/(LN(2)/2)*DW118*DZ118*VLOOKUP('Données projet'!$B$14,Paramètres!$A$1:$I$89,3,0)*0.475*44/12</f>
        <v>7.0693526407148119E-7</v>
      </c>
      <c r="ED118" s="24">
        <f t="shared" si="72"/>
        <v>79.769930834811021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1.7053025658242404E-13</v>
      </c>
      <c r="EK118" s="18">
        <f>EJ118*VLOOKUP('Données projet'!$B$15,Paramètres!$A$1:$I$89,3,0)*VLOOKUP('Données projet'!$B$15,Paramètres!$A$1:$I$89,5,0)</f>
        <v>1.6493686416652052E-13</v>
      </c>
      <c r="EL118" s="14">
        <f t="shared" si="99"/>
        <v>2.3376205369651282E-12</v>
      </c>
      <c r="EM118" s="22">
        <f t="shared" si="73"/>
        <v>4.3586208069709543E-12</v>
      </c>
      <c r="EN118" s="62">
        <f t="shared" si="74"/>
        <v>293.33333333333769</v>
      </c>
      <c r="EO118" s="62">
        <f ca="1">AVERAGE(OFFSET($EN$3,0,0,'Données projet'!$E$15+1,1))-AVERAGE(OFFSET($H$3,0,0,'Données projet'!$E$15+1,1))</f>
        <v>301.18531163828169</v>
      </c>
      <c r="EP118" s="62">
        <f t="shared" si="100"/>
        <v>192.30530273268101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80.238611975778497</v>
      </c>
      <c r="EW118" s="23">
        <f>EXP(-LN(2)/25)*EW117+(1-EXP(-LN(2)/25))/(LN(2)/25)*Calculateur!ER118*Calculateur!ET118*VLOOKUP('Données projet'!$B$15,Paramètres!$A$1:$I$89,3,0)*0.475*44/12</f>
        <v>5.1325228729906405</v>
      </c>
      <c r="EX118" s="23">
        <f>EXP(-LN(2)/2)*EX117+(1-EXP(-LN(2)/2))/(LN(2)/2)*ER118*EU118*VLOOKUP('Données projet'!$B$15,Paramètres!$A$1:$I$89,3,0)*0.475*44/12</f>
        <v>3.3364020431618857E-7</v>
      </c>
      <c r="EY118" s="24">
        <f t="shared" si="75"/>
        <v>85.371135182409333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1.7053025658242404E-13</v>
      </c>
      <c r="FF118" s="18">
        <f>FE118*VLOOKUP('Données projet'!$B$16,Paramètres!$A$1:$I$89,3,0)*VLOOKUP('Données projet'!$B$16,Paramètres!$A$1:$I$89,5,0)</f>
        <v>1.3301360013429075E-13</v>
      </c>
      <c r="FG118" s="14">
        <f t="shared" si="101"/>
        <v>1.9329766731057041E-12</v>
      </c>
      <c r="FH118" s="22">
        <f t="shared" si="76"/>
        <v>3.5982663925596575E-12</v>
      </c>
      <c r="FI118" s="62">
        <f t="shared" si="77"/>
        <v>293.3333333333369</v>
      </c>
      <c r="FJ118" s="62">
        <f ca="1">AVERAGE(OFFSET($FI$3,0,0,'Données projet'!$E$16+1,1))-AVERAGE(OFFSET($H$3,0,0,'Données projet'!$E$16+1,1))</f>
        <v>249.2899297828755</v>
      </c>
      <c r="FK118" s="62">
        <f t="shared" si="102"/>
        <v>162.88011837476813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64.708558044982667</v>
      </c>
      <c r="FR118" s="23">
        <f>EXP(-LN(2)/25)*FR117+(1-EXP(-LN(2)/25))/(LN(2)/25)*Calculateur!FM118*Calculateur!FO118*VLOOKUP('Données projet'!$B$16,Paramètres!$A$1:$I$89,3,0)*0.475*44/12</f>
        <v>4.1391313491859956</v>
      </c>
      <c r="FS118" s="23">
        <f>EXP(-LN(2)/2)*FS117+(1-EXP(-LN(2)/2))/(LN(2)/2)*FM118*FP118*VLOOKUP('Données projet'!$B$16,Paramètres!$A$1:$I$89,3,0)*0.475*44/12</f>
        <v>2.69064680900151E-7</v>
      </c>
      <c r="FT118" s="24">
        <f t="shared" si="78"/>
        <v>68.847689663233353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1.7053025658242404E-13</v>
      </c>
      <c r="GA118" s="18">
        <f>FZ118*VLOOKUP('Données projet'!$B$17,Paramètres!$A$1:$I$89,3,0)*VLOOKUP('Données projet'!$B$17,Paramètres!$A$1:$I$89,5,0)</f>
        <v>1.1439169611549005E-13</v>
      </c>
      <c r="GB118" s="14">
        <f t="shared" si="103"/>
        <v>1.6918016515029816E-12</v>
      </c>
      <c r="GC118" s="22">
        <f t="shared" si="79"/>
        <v>3.1457867471021712E-12</v>
      </c>
      <c r="GD118" s="62">
        <f t="shared" si="80"/>
        <v>293.33333333333644</v>
      </c>
      <c r="GE118" s="62">
        <f ca="1">AVERAGE(OFFSET($GD$3,0,0,'Données projet'!$E$17+1,1))-AVERAGE(OFFSET($H$3,0,0,'Données projet'!$E$17+1,1))</f>
        <v>218.89895999738746</v>
      </c>
      <c r="GF118" s="62">
        <f t="shared" si="104"/>
        <v>145.64042897395763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68.591071527681592</v>
      </c>
      <c r="GM118" s="23">
        <f>EXP(-LN(2)/25)*GM117+(1-EXP(-LN(2)/25))/(LN(2)/25)*Calculateur!GH118*Calculateur!GJ118*VLOOKUP('Données projet'!$B$17,Paramètres!$A$1:$I$89,3,0)*0.475*44/12</f>
        <v>4.3874792301371581</v>
      </c>
      <c r="GN118" s="23">
        <f>EXP(-LN(2)/2)*GN117+(1-EXP(-LN(2)/2))/(LN(2)/2)*GH118*GK118*VLOOKUP('Données projet'!$B$17,Paramètres!$A$1:$I$89,3,0)*0.475*44/12</f>
        <v>2.313956255741308E-7</v>
      </c>
      <c r="GO118" s="23">
        <f t="shared" si="81"/>
        <v>72.978550989214384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1.7053025658242404E-13</v>
      </c>
      <c r="GV118" s="18">
        <f>GU118*VLOOKUP('Données projet'!$B$18,Paramètres!$A$1:$I$89,3,0)*VLOOKUP('Données projet'!$B$18,Paramètres!$A$1:$I$89,5,0)</f>
        <v>1.8355876818532125E-13</v>
      </c>
      <c r="GW118" s="14">
        <f t="shared" si="105"/>
        <v>2.5693529898865504E-12</v>
      </c>
      <c r="GX118" s="22">
        <f t="shared" si="82"/>
        <v>4.7946546453085093E-12</v>
      </c>
      <c r="GY118" s="62">
        <f t="shared" si="83"/>
        <v>293.33333333333809</v>
      </c>
      <c r="GZ118" s="62">
        <f ca="1">AVERAGE(OFFSET($GY$3,0,0,'Données projet'!$E$18+1,1))-AVERAGE(OFFSET($H$3,0,0,'Données projet'!$E$18+1,1))</f>
        <v>331.3579800635751</v>
      </c>
      <c r="HA118" s="62">
        <f t="shared" si="106"/>
        <v>209.40702003535273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89.297810102075999</v>
      </c>
      <c r="HH118" s="23">
        <f>EXP(-LN(2)/25)*HH117+(1-EXP(-LN(2)/25))/(LN(2)/25)*Calculateur!HC118*Calculateur!HE118*VLOOKUP('Données projet'!$B$18,Paramètres!$A$1:$I$89,3,0)*0.475*44/12</f>
        <v>5.7120012618766802</v>
      </c>
      <c r="HI118" s="23">
        <f>EXP(-LN(2)/2)*HI117+(1-EXP(-LN(2)/2))/(LN(2)/2)*HC118*HF118*VLOOKUP('Données projet'!$B$18,Paramètres!$A$1:$I$89,3,0)*0.475*44/12</f>
        <v>3.7130925964220849E-7</v>
      </c>
      <c r="HJ118" s="24">
        <f t="shared" si="84"/>
        <v>95.009811735261934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75.073571428571412</v>
      </c>
      <c r="N119" s="14">
        <f>IF('Données projet'!$A$36&gt;35,N118+M119-V118,IF(A119&lt;'Données projet'!$A$36,$K$205^A119,IF(A119='Données projet'!$A$36,'Données projet'!$B$36,N118+M119-V118)))</f>
        <v>2389.0378571428587</v>
      </c>
      <c r="O119" s="14">
        <f>N119*VLOOKUP('Données projet'!$B$9,Paramètres!$A$1:$I$89,3,0)*VLOOKUP('Données projet'!$B$9,Paramètres!$A$1:$I$89,5,0)</f>
        <v>2161.6014531428586</v>
      </c>
      <c r="P119" s="14">
        <f t="shared" si="87"/>
        <v>407.53020776822177</v>
      </c>
      <c r="Q119" s="22">
        <f t="shared" si="107"/>
        <v>4474.5709760867985</v>
      </c>
      <c r="R119" s="62">
        <f t="shared" si="55"/>
        <v>4767.9043094201315</v>
      </c>
      <c r="S119" s="62">
        <f ca="1">AVERAGE(OFFSET($R$3,0,0,'Données projet'!$E$9+1,1))-AVERAGE(OFFSET($H$3,0,0,'Données projet'!$E$9+1,1))</f>
        <v>2472.5049373954762</v>
      </c>
      <c r="T119" s="62">
        <f t="shared" si="88"/>
        <v>286.98388307318311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320.93661639473186</v>
      </c>
      <c r="AA119" s="23">
        <f>EXP(-LN(2)/25)*AA118+(1-EXP(-LN(2)/25))/(LN(2)/25)*Calculateur!V119*Calculateur!X119*VLOOKUP('Données projet'!$B$9,Paramètres!$A$1:$I$89,3,0)*0.475*44/12</f>
        <v>22.74851127862749</v>
      </c>
      <c r="AB119" s="23">
        <f>EXP(-LN(2)/2)*AB118+(1-EXP(-LN(2)/2))/(LN(2)/2)*V119*Y119*VLOOKUP('Données projet'!$B$9,Paramètres!$A$1:$I$89,3,0)*0.475*44/12</f>
        <v>4.6040556156358008</v>
      </c>
      <c r="AC119" s="24">
        <f t="shared" si="57"/>
        <v>348.28918328899516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75.073571428571412</v>
      </c>
      <c r="AI119" s="14">
        <f>IF('Données projet'!$A$62&gt;35,AI118+AH119-AQ118,IF(A119&lt;'Données projet'!$A$62,$AF$205^A119,IF(A119='Données projet'!$A$62,'Données projet'!$B$62,AI118+AH119-AQ118)))</f>
        <v>2389.0378571428587</v>
      </c>
      <c r="AJ119" s="14">
        <f>AI119*VLOOKUP('Données projet'!$B$10,Paramètres!$A$1:$I$89,3,0)*VLOOKUP('Données projet'!$B$10,Paramètres!$A$1:$I$89,5,0)</f>
        <v>2422.4843871428588</v>
      </c>
      <c r="AK119" s="14">
        <f t="shared" si="89"/>
        <v>450.697420782162</v>
      </c>
      <c r="AL119" s="22">
        <f t="shared" si="58"/>
        <v>5004.1249821360771</v>
      </c>
      <c r="AM119" s="62">
        <f t="shared" si="59"/>
        <v>5297.4583154694101</v>
      </c>
      <c r="AN119" s="62">
        <f ca="1">AVERAGE(OFFSET($AM$3,0,0,'Données projet'!$E$10+1,1))-AVERAGE(OFFSET($H$3,0,0,'Données projet'!$E$10+1,1))</f>
        <v>2761.1400657295467</v>
      </c>
      <c r="AO119" s="62">
        <f t="shared" si="90"/>
        <v>316.41877504316409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359.67034595961331</v>
      </c>
      <c r="AV119" s="23">
        <f>EXP(-LN(2)/25)*AV118+(1-EXP(-LN(2)/25))/(LN(2)/25)*Calculateur!AQ119*Calculateur!AS119*VLOOKUP('Données projet'!$B$10,Paramètres!$A$1:$I$89,3,0)*0.475*44/12</f>
        <v>25.494021260530811</v>
      </c>
      <c r="AW119" s="23">
        <f>EXP(-LN(2)/2)*AW118+(1-EXP(-LN(2)/2))/(LN(2)/2)*AQ119*AT119*VLOOKUP('Données projet'!$B$10,Paramètres!$A$1:$I$89,3,0)*0.475*44/12</f>
        <v>5.1597175002815012</v>
      </c>
      <c r="AX119" s="23">
        <f t="shared" si="60"/>
        <v>390.32408472042562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75.073571428571412</v>
      </c>
      <c r="BD119" s="13">
        <f>IF('Données projet'!$A$88&gt;35,BD118+BC119-BL118,IF(A119&lt;'Données projet'!$A$88,$BA$205^A119,IF(A119='Données projet'!$A$88,'Données projet'!$B$88,BD118+BC119-BL118)))</f>
        <v>2389.0378571428587</v>
      </c>
      <c r="BE119" s="14">
        <f>BD119*VLOOKUP('Données projet'!$B$11,Paramètres!$A$1:$I$89,3,0)*VLOOKUP('Données projet'!$B$11,Paramètres!$A$1:$I$89,5,0)</f>
        <v>2497.0223682857163</v>
      </c>
      <c r="BF119" s="14">
        <f t="shared" si="91"/>
        <v>462.92914776973151</v>
      </c>
      <c r="BG119" s="22">
        <f t="shared" si="61"/>
        <v>5155.2488904632382</v>
      </c>
      <c r="BH119" s="62">
        <f t="shared" si="62"/>
        <v>5448.5822237965713</v>
      </c>
      <c r="BI119" s="62">
        <f ca="1">AVERAGE(OFFSET($BH$3,0,0,'Données projet'!$E$11+1,1))-AVERAGE(OFFSET($H$3,0,0,'Données projet'!$E$11+1,1))</f>
        <v>2843.5086223152098</v>
      </c>
      <c r="BJ119" s="62">
        <f t="shared" si="92"/>
        <v>324.81562437645522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370.73712583529368</v>
      </c>
      <c r="BQ119" s="23">
        <f>EXP(-LN(2)/25)*BQ118+(1-EXP(-LN(2)/25))/(LN(2)/25)*Calculateur!BL119*Calculateur!BN119*VLOOKUP('Données projet'!$B$11,Paramètres!$A$1:$I$89,3,0)*0.475*44/12</f>
        <v>26.278452683931757</v>
      </c>
      <c r="BR119" s="23">
        <f>EXP(-LN(2)/2)*BR118+(1-EXP(-LN(2)/2))/(LN(2)/2)*BL119*BO119*VLOOKUP('Données projet'!$B$11,Paramètres!$A$1:$I$89,3,0)*0.475*44/12</f>
        <v>5.3184780387517003</v>
      </c>
      <c r="BS119" s="24">
        <f t="shared" si="63"/>
        <v>402.33405655797714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75.073571428571412</v>
      </c>
      <c r="BY119" s="13">
        <f>IF('Données projet'!$A$114&gt;35,BY118+BX119-CG118,IF(A119&lt;'Données projet'!$A$114,$BV$205^A119,IF(A119='Données projet'!$A$114,'Données projet'!$B$114,BY118+BX119-CG118)))</f>
        <v>2389.0378571428587</v>
      </c>
      <c r="BZ119" s="14">
        <f>BY119*VLOOKUP('Données projet'!$B$12,Paramètres!$A$1:$I$89,3,0)*VLOOKUP('Données projet'!$B$12,Paramètres!$A$1:$I$89,5,0)</f>
        <v>2385.2153965714301</v>
      </c>
      <c r="CA119" s="14">
        <f t="shared" si="93"/>
        <v>444.56519195415814</v>
      </c>
      <c r="CB119" s="22">
        <f t="shared" si="64"/>
        <v>4928.5345250153996</v>
      </c>
      <c r="CC119" s="62">
        <f t="shared" si="65"/>
        <v>5221.8678583487326</v>
      </c>
      <c r="CD119" s="62">
        <f ca="1">AVERAGE(OFFSET($CC$3,0,0,'Données projet'!$E$12+1,1))-AVERAGE(OFFSET($H$3,0,0,'Données projet'!$E$12+1,1))</f>
        <v>2719.939926994799</v>
      </c>
      <c r="CE119" s="62">
        <f t="shared" si="94"/>
        <v>312.21824046329749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354.13695602177302</v>
      </c>
      <c r="CL119" s="23">
        <f>EXP(-LN(2)/25)*CL118+(1-EXP(-LN(2)/25))/(LN(2)/25)*Calculateur!CG119*Calculateur!CI119*VLOOKUP('Données projet'!$B$12,Paramètres!$A$1:$I$89,3,0)*0.475*44/12</f>
        <v>25.101805548830335</v>
      </c>
      <c r="CM119" s="23">
        <f>EXP(-LN(2)/2)*CM118+(1-EXP(-LN(2)/2))/(LN(2)/2)*CG119*CJ119*VLOOKUP('Données projet'!$B$12,Paramètres!$A$1:$I$89,3,0)*0.475*44/12</f>
        <v>5.0803372310463999</v>
      </c>
      <c r="CN119" s="24">
        <f t="shared" si="66"/>
        <v>384.31909880164972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1.1368683772161603E-12</v>
      </c>
      <c r="CU119" s="18">
        <f>CT119*VLOOKUP('Données projet'!$B$13,Paramètres!$A$1:$I$89,3,0)*VLOOKUP('Données projet'!$B$13,Paramètres!$A$1:$I$89,5,0)</f>
        <v>9.9316821433603771E-13</v>
      </c>
      <c r="CV119" s="14">
        <f t="shared" si="95"/>
        <v>1.1421454694498936E-11</v>
      </c>
      <c r="CW119" s="22">
        <f t="shared" si="67"/>
        <v>2.1622134899554243E-11</v>
      </c>
      <c r="CX119" s="62">
        <f t="shared" si="68"/>
        <v>293.33333333335491</v>
      </c>
      <c r="CY119" s="62">
        <f ca="1">AVERAGE(OFFSET($CX$3,0,0,'Données projet'!$E$13+1,1))-AVERAGE(OFFSET($H$3,0,0,'Données projet'!$E$13+1,1))</f>
        <v>1036.0130072090849</v>
      </c>
      <c r="CZ119" s="62">
        <f t="shared" si="96"/>
        <v>346.56593355696174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328.27431847674069</v>
      </c>
      <c r="DG119" s="23">
        <f>EXP(-LN(2)/25)*DG118+(1-EXP(-LN(2)/25))/(LN(2)/25)*Calculateur!DB119*Calculateur!DD119*VLOOKUP('Données projet'!$B$13,Paramètres!$A$1:$I$89,3,0)*0.475*44/12</f>
        <v>15.598324289368877</v>
      </c>
      <c r="DH119" s="23">
        <f>EXP(-LN(2)/2)*DH118+(1-EXP(-LN(2)/2))/(LN(2)/2)*DB119*DE119*VLOOKUP('Données projet'!$B$13,Paramètres!$A$1:$I$89,3,0)*0.475*44/12</f>
        <v>3.4475332488502611E-4</v>
      </c>
      <c r="DI119" s="24">
        <f t="shared" si="69"/>
        <v>343.87298751943445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6.8212102632969618E-13</v>
      </c>
      <c r="DP119" s="18">
        <f>DO119*VLOOKUP('Données projet'!$B$14,Paramètres!$A$1:$I$89,3,0)*VLOOKUP('Données projet'!$B$14,Paramètres!$A$1:$I$89,5,0)</f>
        <v>3.8130565371830017E-13</v>
      </c>
      <c r="DQ119" s="14">
        <f t="shared" si="97"/>
        <v>4.9019074112354236E-12</v>
      </c>
      <c r="DR119" s="22">
        <f t="shared" si="70"/>
        <v>9.2015960881277352E-12</v>
      </c>
      <c r="DS119" s="62">
        <f t="shared" si="71"/>
        <v>293.33333333334252</v>
      </c>
      <c r="DT119" s="62">
        <f ca="1">AVERAGE(OFFSET($DS$3,0,0,'Données projet'!$E$14+1,1))-AVERAGE(OFFSET($H$3,0,0,'Données projet'!$E$14+1,1))</f>
        <v>446.48069057792151</v>
      </c>
      <c r="DU119" s="62">
        <f t="shared" si="98"/>
        <v>561.75656782935948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60.915343305784255</v>
      </c>
      <c r="EB119" s="23">
        <f>EXP(-LN(2)/25)*EB118+(1-EXP(-LN(2)/25))/(LN(2)/25)*Calculateur!DW119*Calculateur!DY119*VLOOKUP('Données projet'!$B$14,Paramètres!$A$1:$I$89,3,0)*0.475*44/12</f>
        <v>17.153919595549556</v>
      </c>
      <c r="EC119" s="23">
        <f>EXP(-LN(2)/2)*EC118+(1-EXP(-LN(2)/2))/(LN(2)/2)*DW119*DZ119*VLOOKUP('Données projet'!$B$14,Paramètres!$A$1:$I$89,3,0)*0.475*44/12</f>
        <v>4.9987871908484704E-7</v>
      </c>
      <c r="ED119" s="24">
        <f t="shared" si="72"/>
        <v>78.069263401212538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1.7053025658242404E-13</v>
      </c>
      <c r="EK119" s="18">
        <f>EJ119*VLOOKUP('Données projet'!$B$15,Paramètres!$A$1:$I$89,3,0)*VLOOKUP('Données projet'!$B$15,Paramètres!$A$1:$I$89,5,0)</f>
        <v>1.6493686416652052E-13</v>
      </c>
      <c r="EL119" s="14">
        <f t="shared" si="99"/>
        <v>2.3376205369651282E-12</v>
      </c>
      <c r="EM119" s="22">
        <f t="shared" si="73"/>
        <v>4.3586208069709543E-12</v>
      </c>
      <c r="EN119" s="62">
        <f t="shared" si="74"/>
        <v>293.33333333333769</v>
      </c>
      <c r="EO119" s="62">
        <f ca="1">AVERAGE(OFFSET($EN$3,0,0,'Données projet'!$E$15+1,1))-AVERAGE(OFFSET($H$3,0,0,'Données projet'!$E$15+1,1))</f>
        <v>301.18531163828169</v>
      </c>
      <c r="EP119" s="62">
        <f t="shared" si="100"/>
        <v>192.30530273268101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78.665181735654286</v>
      </c>
      <c r="EW119" s="23">
        <f>EXP(-LN(2)/25)*EW118+(1-EXP(-LN(2)/25))/(LN(2)/25)*Calculateur!ER119*Calculateur!ET119*VLOOKUP('Données projet'!$B$15,Paramètres!$A$1:$I$89,3,0)*0.475*44/12</f>
        <v>4.9921737651210645</v>
      </c>
      <c r="EX119" s="23">
        <f>EXP(-LN(2)/2)*EX118+(1-EXP(-LN(2)/2))/(LN(2)/2)*ER119*EU119*VLOOKUP('Données projet'!$B$15,Paramètres!$A$1:$I$89,3,0)*0.475*44/12</f>
        <v>2.3591925094844218E-7</v>
      </c>
      <c r="EY119" s="24">
        <f t="shared" si="75"/>
        <v>83.657355736694598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1.7053025658242404E-13</v>
      </c>
      <c r="FF119" s="18">
        <f>FE119*VLOOKUP('Données projet'!$B$16,Paramètres!$A$1:$I$89,3,0)*VLOOKUP('Données projet'!$B$16,Paramètres!$A$1:$I$89,5,0)</f>
        <v>1.3301360013429075E-13</v>
      </c>
      <c r="FG119" s="14">
        <f t="shared" si="101"/>
        <v>1.9329766731057041E-12</v>
      </c>
      <c r="FH119" s="22">
        <f t="shared" si="76"/>
        <v>3.5982663925596575E-12</v>
      </c>
      <c r="FI119" s="62">
        <f t="shared" si="77"/>
        <v>293.3333333333369</v>
      </c>
      <c r="FJ119" s="62">
        <f ca="1">AVERAGE(OFFSET($FI$3,0,0,'Données projet'!$E$16+1,1))-AVERAGE(OFFSET($H$3,0,0,'Données projet'!$E$16+1,1))</f>
        <v>249.2899297828755</v>
      </c>
      <c r="FK119" s="62">
        <f t="shared" si="102"/>
        <v>162.88011837476813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63.439662690043789</v>
      </c>
      <c r="FR119" s="23">
        <f>EXP(-LN(2)/25)*FR118+(1-EXP(-LN(2)/25))/(LN(2)/25)*Calculateur!FM119*Calculateur!FO119*VLOOKUP('Données projet'!$B$16,Paramètres!$A$1:$I$89,3,0)*0.475*44/12</f>
        <v>4.0259465847750473</v>
      </c>
      <c r="FS119" s="23">
        <f>EXP(-LN(2)/2)*FS118+(1-EXP(-LN(2)/2))/(LN(2)/2)*FM119*FP119*VLOOKUP('Données projet'!$B$16,Paramètres!$A$1:$I$89,3,0)*0.475*44/12</f>
        <v>1.9025746044229131E-7</v>
      </c>
      <c r="FT119" s="24">
        <f t="shared" si="78"/>
        <v>67.465609465076298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1.7053025658242404E-13</v>
      </c>
      <c r="GA119" s="18">
        <f>FZ119*VLOOKUP('Données projet'!$B$17,Paramètres!$A$1:$I$89,3,0)*VLOOKUP('Données projet'!$B$17,Paramètres!$A$1:$I$89,5,0)</f>
        <v>1.1439169611549005E-13</v>
      </c>
      <c r="GB119" s="14">
        <f t="shared" si="103"/>
        <v>1.6918016515029816E-12</v>
      </c>
      <c r="GC119" s="22">
        <f t="shared" si="79"/>
        <v>3.1457867471021712E-12</v>
      </c>
      <c r="GD119" s="62">
        <f t="shared" si="80"/>
        <v>293.33333333333644</v>
      </c>
      <c r="GE119" s="62">
        <f ca="1">AVERAGE(OFFSET($GD$3,0,0,'Données projet'!$E$17+1,1))-AVERAGE(OFFSET($H$3,0,0,'Données projet'!$E$17+1,1))</f>
        <v>218.89895999738746</v>
      </c>
      <c r="GF119" s="62">
        <f t="shared" si="104"/>
        <v>145.64042897395763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67.246042451446385</v>
      </c>
      <c r="GM119" s="23">
        <f>EXP(-LN(2)/25)*GM118+(1-EXP(-LN(2)/25))/(LN(2)/25)*Calculateur!GH119*Calculateur!GJ119*VLOOKUP('Données projet'!$B$17,Paramètres!$A$1:$I$89,3,0)*0.475*44/12</f>
        <v>4.2675033798615525</v>
      </c>
      <c r="GN119" s="23">
        <f>EXP(-LN(2)/2)*GN118+(1-EXP(-LN(2)/2))/(LN(2)/2)*GH119*GK119*VLOOKUP('Données projet'!$B$17,Paramètres!$A$1:$I$89,3,0)*0.475*44/12</f>
        <v>1.6362141598037121E-7</v>
      </c>
      <c r="GO119" s="23">
        <f t="shared" si="81"/>
        <v>71.513545994929359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1.7053025658242404E-13</v>
      </c>
      <c r="GV119" s="18">
        <f>GU119*VLOOKUP('Données projet'!$B$18,Paramètres!$A$1:$I$89,3,0)*VLOOKUP('Données projet'!$B$18,Paramètres!$A$1:$I$89,5,0)</f>
        <v>1.8355876818532125E-13</v>
      </c>
      <c r="GW119" s="14">
        <f t="shared" si="105"/>
        <v>2.5693529898865504E-12</v>
      </c>
      <c r="GX119" s="22">
        <f t="shared" si="82"/>
        <v>4.7946546453085093E-12</v>
      </c>
      <c r="GY119" s="62">
        <f t="shared" si="83"/>
        <v>293.33333333333809</v>
      </c>
      <c r="GZ119" s="62">
        <f ca="1">AVERAGE(OFFSET($GY$3,0,0,'Données projet'!$E$18+1,1))-AVERAGE(OFFSET($H$3,0,0,'Données projet'!$E$18+1,1))</f>
        <v>331.3579800635751</v>
      </c>
      <c r="HA119" s="62">
        <f t="shared" si="106"/>
        <v>209.40702003535273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87.546734512260358</v>
      </c>
      <c r="HH119" s="23">
        <f>EXP(-LN(2)/25)*HH118+(1-EXP(-LN(2)/25))/(LN(2)/25)*Calculateur!HC119*Calculateur!HE119*VLOOKUP('Données projet'!$B$18,Paramètres!$A$1:$I$89,3,0)*0.475*44/12</f>
        <v>5.5558062869895712</v>
      </c>
      <c r="HI119" s="23">
        <f>EXP(-LN(2)/2)*HI118+(1-EXP(-LN(2)/2))/(LN(2)/2)*HC119*HF119*VLOOKUP('Données projet'!$B$18,Paramètres!$A$1:$I$89,3,0)*0.475*44/12</f>
        <v>2.6255529541036207E-7</v>
      </c>
      <c r="HJ119" s="24">
        <f t="shared" si="84"/>
        <v>93.102541061805212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75.073571428571412</v>
      </c>
      <c r="N120" s="14">
        <f>IF('Données projet'!$A$36&gt;35,N119+M120-V119,IF(A120&lt;'Données projet'!$A$36,$K$205^A120,IF(A120='Données projet'!$A$36,'Données projet'!$B$36,N119+M120-V119)))</f>
        <v>2464.1114285714302</v>
      </c>
      <c r="O120" s="14">
        <f>N120*VLOOKUP('Données projet'!$B$9,Paramètres!$A$1:$I$89,3,0)*VLOOKUP('Données projet'!$B$9,Paramètres!$A$1:$I$89,5,0)</f>
        <v>2229.5280205714298</v>
      </c>
      <c r="P120" s="14">
        <f t="shared" si="87"/>
        <v>418.82540213370572</v>
      </c>
      <c r="Q120" s="22">
        <f t="shared" si="107"/>
        <v>4612.54887787811</v>
      </c>
      <c r="R120" s="62">
        <f t="shared" si="55"/>
        <v>4905.8822112114431</v>
      </c>
      <c r="S120" s="62">
        <f ca="1">AVERAGE(OFFSET($R$3,0,0,'Données projet'!$E$9+1,1))-AVERAGE(OFFSET($H$3,0,0,'Données projet'!$E$9+1,1))</f>
        <v>2472.5049373954762</v>
      </c>
      <c r="T120" s="62">
        <f t="shared" si="88"/>
        <v>286.98388307318311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314.64324509923824</v>
      </c>
      <c r="AA120" s="23">
        <f>EXP(-LN(2)/25)*AA119+(1-EXP(-LN(2)/25))/(LN(2)/25)*Calculateur!V120*Calculateur!X120*VLOOKUP('Données projet'!$B$9,Paramètres!$A$1:$I$89,3,0)*0.475*44/12</f>
        <v>22.126452041421206</v>
      </c>
      <c r="AB120" s="23">
        <f>EXP(-LN(2)/2)*AB119+(1-EXP(-LN(2)/2))/(LN(2)/2)*V120*Y120*VLOOKUP('Données projet'!$B$9,Paramètres!$A$1:$I$89,3,0)*0.475*44/12</f>
        <v>3.2555589467760799</v>
      </c>
      <c r="AC120" s="24">
        <f t="shared" si="57"/>
        <v>340.02525608743554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75.073571428571412</v>
      </c>
      <c r="AI120" s="14">
        <f>IF('Données projet'!$A$62&gt;35,AI119+AH120-AQ119,IF(A120&lt;'Données projet'!$A$62,$AF$205^A120,IF(A120='Données projet'!$A$62,'Données projet'!$B$62,AI119+AH120-AQ119)))</f>
        <v>2464.1114285714302</v>
      </c>
      <c r="AJ120" s="14">
        <f>AI120*VLOOKUP('Données projet'!$B$10,Paramètres!$A$1:$I$89,3,0)*VLOOKUP('Données projet'!$B$10,Paramètres!$A$1:$I$89,5,0)</f>
        <v>2498.6089885714305</v>
      </c>
      <c r="AK120" s="14">
        <f t="shared" si="89"/>
        <v>463.18904685237538</v>
      </c>
      <c r="AL120" s="22">
        <f t="shared" si="58"/>
        <v>5158.4649116964611</v>
      </c>
      <c r="AM120" s="62">
        <f t="shared" si="59"/>
        <v>5451.7982450297941</v>
      </c>
      <c r="AN120" s="62">
        <f ca="1">AVERAGE(OFFSET($AM$3,0,0,'Données projet'!$E$10+1,1))-AVERAGE(OFFSET($H$3,0,0,'Données projet'!$E$10+1,1))</f>
        <v>2761.1400657295467</v>
      </c>
      <c r="AO120" s="62">
        <f t="shared" si="90"/>
        <v>316.41877504316409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352.61742985259463</v>
      </c>
      <c r="AV120" s="23">
        <f>EXP(-LN(2)/25)*AV119+(1-EXP(-LN(2)/25))/(LN(2)/25)*Calculateur!AQ120*Calculateur!AS120*VLOOKUP('Données projet'!$B$10,Paramètres!$A$1:$I$89,3,0)*0.475*44/12</f>
        <v>24.796885908489287</v>
      </c>
      <c r="AW120" s="23">
        <f>EXP(-LN(2)/2)*AW119+(1-EXP(-LN(2)/2))/(LN(2)/2)*AQ120*AT120*VLOOKUP('Données projet'!$B$10,Paramètres!$A$1:$I$89,3,0)*0.475*44/12</f>
        <v>3.6484712334559517</v>
      </c>
      <c r="AX120" s="23">
        <f t="shared" si="60"/>
        <v>381.06278699453986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75.073571428571412</v>
      </c>
      <c r="BD120" s="13">
        <f>IF('Données projet'!$A$88&gt;35,BD119+BC120-BL119,IF(A120&lt;'Données projet'!$A$88,$BA$205^A120,IF(A120='Données projet'!$A$88,'Données projet'!$B$88,BD119+BC120-BL119)))</f>
        <v>2464.1114285714302</v>
      </c>
      <c r="BE120" s="14">
        <f>BD120*VLOOKUP('Données projet'!$B$11,Paramètres!$A$1:$I$89,3,0)*VLOOKUP('Données projet'!$B$11,Paramètres!$A$1:$I$89,5,0)</f>
        <v>2575.489265142859</v>
      </c>
      <c r="BF120" s="14">
        <f t="shared" si="91"/>
        <v>475.75979100018577</v>
      </c>
      <c r="BG120" s="22">
        <f t="shared" si="61"/>
        <v>5314.2587727824694</v>
      </c>
      <c r="BH120" s="62">
        <f t="shared" si="62"/>
        <v>5607.5921061158024</v>
      </c>
      <c r="BI120" s="62">
        <f ca="1">AVERAGE(OFFSET($BH$3,0,0,'Données projet'!$E$11+1,1))-AVERAGE(OFFSET($H$3,0,0,'Données projet'!$E$11+1,1))</f>
        <v>2843.5086223152098</v>
      </c>
      <c r="BJ120" s="62">
        <f t="shared" si="92"/>
        <v>324.81562437645522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363.46719692498209</v>
      </c>
      <c r="BQ120" s="23">
        <f>EXP(-LN(2)/25)*BQ119+(1-EXP(-LN(2)/25))/(LN(2)/25)*Calculateur!BL120*Calculateur!BN120*VLOOKUP('Données projet'!$B$11,Paramètres!$A$1:$I$89,3,0)*0.475*44/12</f>
        <v>25.559867013365878</v>
      </c>
      <c r="BR120" s="23">
        <f>EXP(-LN(2)/2)*BR119+(1-EXP(-LN(2)/2))/(LN(2)/2)*BL120*BO120*VLOOKUP('Données projet'!$B$11,Paramètres!$A$1:$I$89,3,0)*0.475*44/12</f>
        <v>3.760731886793057</v>
      </c>
      <c r="BS120" s="24">
        <f t="shared" si="63"/>
        <v>392.78779582514102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75.073571428571412</v>
      </c>
      <c r="BY120" s="13">
        <f>IF('Données projet'!$A$114&gt;35,BY119+BX120-CG119,IF(A120&lt;'Données projet'!$A$114,$BV$205^A120,IF(A120='Données projet'!$A$114,'Données projet'!$B$114,BY119+BX120-CG119)))</f>
        <v>2464.1114285714302</v>
      </c>
      <c r="BZ120" s="14">
        <f>BY120*VLOOKUP('Données projet'!$B$12,Paramètres!$A$1:$I$89,3,0)*VLOOKUP('Données projet'!$B$12,Paramètres!$A$1:$I$89,5,0)</f>
        <v>2460.168850285716</v>
      </c>
      <c r="CA120" s="14">
        <f t="shared" si="93"/>
        <v>456.8868558591488</v>
      </c>
      <c r="CB120" s="22">
        <f t="shared" si="64"/>
        <v>5080.5386882023058</v>
      </c>
      <c r="CC120" s="62">
        <f t="shared" si="65"/>
        <v>5373.8720215356389</v>
      </c>
      <c r="CD120" s="62">
        <f ca="1">AVERAGE(OFFSET($CC$3,0,0,'Données projet'!$E$12+1,1))-AVERAGE(OFFSET($H$3,0,0,'Données projet'!$E$12+1,1))</f>
        <v>2719.939926994799</v>
      </c>
      <c r="CE120" s="62">
        <f t="shared" si="94"/>
        <v>312.21824046329749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347.19254631640075</v>
      </c>
      <c r="CL120" s="23">
        <f>EXP(-LN(2)/25)*CL119+(1-EXP(-LN(2)/25))/(LN(2)/25)*Calculateur!CG120*Calculateur!CI120*VLOOKUP('Données projet'!$B$12,Paramètres!$A$1:$I$89,3,0)*0.475*44/12</f>
        <v>24.415395356050986</v>
      </c>
      <c r="CM120" s="23">
        <f>EXP(-LN(2)/2)*CM119+(1-EXP(-LN(2)/2))/(LN(2)/2)*CG120*CJ120*VLOOKUP('Données projet'!$B$12,Paramètres!$A$1:$I$89,3,0)*0.475*44/12</f>
        <v>3.5923409067873977</v>
      </c>
      <c r="CN120" s="24">
        <f t="shared" si="66"/>
        <v>375.20028257923911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1.1368683772161603E-12</v>
      </c>
      <c r="CU120" s="18">
        <f>CT120*VLOOKUP('Données projet'!$B$13,Paramètres!$A$1:$I$89,3,0)*VLOOKUP('Données projet'!$B$13,Paramètres!$A$1:$I$89,5,0)</f>
        <v>9.9316821433603771E-13</v>
      </c>
      <c r="CV120" s="14">
        <f t="shared" si="95"/>
        <v>1.1421454694498936E-11</v>
      </c>
      <c r="CW120" s="22">
        <f t="shared" si="67"/>
        <v>2.1622134899554243E-11</v>
      </c>
      <c r="CX120" s="62">
        <f t="shared" si="68"/>
        <v>293.33333333335491</v>
      </c>
      <c r="CY120" s="62">
        <f ca="1">AVERAGE(OFFSET($CX$3,0,0,'Données projet'!$E$13+1,1))-AVERAGE(OFFSET($H$3,0,0,'Données projet'!$E$13+1,1))</f>
        <v>1036.0130072090849</v>
      </c>
      <c r="CZ120" s="62">
        <f t="shared" si="96"/>
        <v>346.56593355696174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321.83705931897526</v>
      </c>
      <c r="DG120" s="23">
        <f>EXP(-LN(2)/25)*DG119+(1-EXP(-LN(2)/25))/(LN(2)/25)*Calculateur!DB120*Calculateur!DD120*VLOOKUP('Données projet'!$B$13,Paramètres!$A$1:$I$89,3,0)*0.475*44/12</f>
        <v>15.17178729139586</v>
      </c>
      <c r="DH120" s="23">
        <f>EXP(-LN(2)/2)*DH119+(1-EXP(-LN(2)/2))/(LN(2)/2)*DB120*DE120*VLOOKUP('Données projet'!$B$13,Paramètres!$A$1:$I$89,3,0)*0.475*44/12</f>
        <v>2.4377741386281089E-4</v>
      </c>
      <c r="DI120" s="24">
        <f t="shared" si="69"/>
        <v>337.00909038778497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6.8212102632969618E-13</v>
      </c>
      <c r="DP120" s="18">
        <f>DO120*VLOOKUP('Données projet'!$B$14,Paramètres!$A$1:$I$89,3,0)*VLOOKUP('Données projet'!$B$14,Paramètres!$A$1:$I$89,5,0)</f>
        <v>3.8130565371830017E-13</v>
      </c>
      <c r="DQ120" s="14">
        <f t="shared" si="97"/>
        <v>4.9019074112354236E-12</v>
      </c>
      <c r="DR120" s="22">
        <f t="shared" si="70"/>
        <v>9.2015960881277352E-12</v>
      </c>
      <c r="DS120" s="62">
        <f t="shared" si="71"/>
        <v>293.33333333334252</v>
      </c>
      <c r="DT120" s="62">
        <f ca="1">AVERAGE(OFFSET($DS$3,0,0,'Données projet'!$E$14+1,1))-AVERAGE(OFFSET($H$3,0,0,'Données projet'!$E$14+1,1))</f>
        <v>446.48069057792151</v>
      </c>
      <c r="DU120" s="62">
        <f t="shared" si="98"/>
        <v>561.75656782935948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59.720830578248524</v>
      </c>
      <c r="EB120" s="23">
        <f>EXP(-LN(2)/25)*EB119+(1-EXP(-LN(2)/25))/(LN(2)/25)*Calculateur!DW120*Calculateur!DY120*VLOOKUP('Données projet'!$B$14,Paramètres!$A$1:$I$89,3,0)*0.475*44/12</f>
        <v>16.684844762123827</v>
      </c>
      <c r="EC120" s="23">
        <f>EXP(-LN(2)/2)*EC119+(1-EXP(-LN(2)/2))/(LN(2)/2)*DW120*DZ120*VLOOKUP('Données projet'!$B$14,Paramètres!$A$1:$I$89,3,0)*0.475*44/12</f>
        <v>3.534676320357406E-7</v>
      </c>
      <c r="ED120" s="24">
        <f t="shared" si="72"/>
        <v>76.405675693839981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1.7053025658242404E-13</v>
      </c>
      <c r="EK120" s="18">
        <f>EJ120*VLOOKUP('Données projet'!$B$15,Paramètres!$A$1:$I$89,3,0)*VLOOKUP('Données projet'!$B$15,Paramètres!$A$1:$I$89,5,0)</f>
        <v>1.6493686416652052E-13</v>
      </c>
      <c r="EL120" s="14">
        <f t="shared" si="99"/>
        <v>2.3376205369651282E-12</v>
      </c>
      <c r="EM120" s="22">
        <f t="shared" si="73"/>
        <v>4.3586208069709543E-12</v>
      </c>
      <c r="EN120" s="62">
        <f t="shared" si="74"/>
        <v>293.33333333333769</v>
      </c>
      <c r="EO120" s="62">
        <f ca="1">AVERAGE(OFFSET($EN$3,0,0,'Données projet'!$E$15+1,1))-AVERAGE(OFFSET($H$3,0,0,'Données projet'!$E$15+1,1))</f>
        <v>301.18531163828169</v>
      </c>
      <c r="EP120" s="62">
        <f t="shared" si="100"/>
        <v>192.30530273268101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77.122605502841239</v>
      </c>
      <c r="EW120" s="23">
        <f>EXP(-LN(2)/25)*EW119+(1-EXP(-LN(2)/25))/(LN(2)/25)*Calculateur!ER120*Calculateur!ET120*VLOOKUP('Données projet'!$B$15,Paramètres!$A$1:$I$89,3,0)*0.475*44/12</f>
        <v>4.8556625109868206</v>
      </c>
      <c r="EX120" s="23">
        <f>EXP(-LN(2)/2)*EX119+(1-EXP(-LN(2)/2))/(LN(2)/2)*ER120*EU120*VLOOKUP('Données projet'!$B$15,Paramètres!$A$1:$I$89,3,0)*0.475*44/12</f>
        <v>1.6682010215809431E-7</v>
      </c>
      <c r="EY120" s="24">
        <f t="shared" si="75"/>
        <v>81.978268180648158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1.7053025658242404E-13</v>
      </c>
      <c r="FF120" s="18">
        <f>FE120*VLOOKUP('Données projet'!$B$16,Paramètres!$A$1:$I$89,3,0)*VLOOKUP('Données projet'!$B$16,Paramètres!$A$1:$I$89,5,0)</f>
        <v>1.3301360013429075E-13</v>
      </c>
      <c r="FG120" s="14">
        <f t="shared" si="101"/>
        <v>1.9329766731057041E-12</v>
      </c>
      <c r="FH120" s="22">
        <f t="shared" si="76"/>
        <v>3.5982663925596575E-12</v>
      </c>
      <c r="FI120" s="62">
        <f t="shared" si="77"/>
        <v>293.3333333333369</v>
      </c>
      <c r="FJ120" s="62">
        <f ca="1">AVERAGE(OFFSET($FI$3,0,0,'Données projet'!$E$16+1,1))-AVERAGE(OFFSET($H$3,0,0,'Données projet'!$E$16+1,1))</f>
        <v>249.2899297828755</v>
      </c>
      <c r="FK120" s="62">
        <f t="shared" si="102"/>
        <v>162.88011837476813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62.195649599065518</v>
      </c>
      <c r="FR120" s="23">
        <f>EXP(-LN(2)/25)*FR119+(1-EXP(-LN(2)/25))/(LN(2)/25)*Calculateur!FM120*Calculateur!FO120*VLOOKUP('Données projet'!$B$16,Paramètres!$A$1:$I$89,3,0)*0.475*44/12</f>
        <v>3.9158568636990441</v>
      </c>
      <c r="FS120" s="23">
        <f>EXP(-LN(2)/2)*FS119+(1-EXP(-LN(2)/2))/(LN(2)/2)*FM120*FP120*VLOOKUP('Données projet'!$B$16,Paramètres!$A$1:$I$89,3,0)*0.475*44/12</f>
        <v>1.345323404500755E-7</v>
      </c>
      <c r="FT120" s="24">
        <f t="shared" si="78"/>
        <v>66.111506597296909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1.7053025658242404E-13</v>
      </c>
      <c r="GA120" s="18">
        <f>FZ120*VLOOKUP('Données projet'!$B$17,Paramètres!$A$1:$I$89,3,0)*VLOOKUP('Données projet'!$B$17,Paramètres!$A$1:$I$89,5,0)</f>
        <v>1.1439169611549005E-13</v>
      </c>
      <c r="GB120" s="14">
        <f t="shared" si="103"/>
        <v>1.6918016515029816E-12</v>
      </c>
      <c r="GC120" s="22">
        <f t="shared" si="79"/>
        <v>3.1457867471021712E-12</v>
      </c>
      <c r="GD120" s="62">
        <f t="shared" si="80"/>
        <v>293.33333333333644</v>
      </c>
      <c r="GE120" s="62">
        <f ca="1">AVERAGE(OFFSET($GD$3,0,0,'Données projet'!$E$17+1,1))-AVERAGE(OFFSET($H$3,0,0,'Données projet'!$E$17+1,1))</f>
        <v>218.89895999738746</v>
      </c>
      <c r="GF120" s="62">
        <f t="shared" si="104"/>
        <v>145.64042897395763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65.927388575009417</v>
      </c>
      <c r="GM120" s="23">
        <f>EXP(-LN(2)/25)*GM119+(1-EXP(-LN(2)/25))/(LN(2)/25)*Calculateur!GH120*Calculateur!GJ120*VLOOKUP('Données projet'!$B$17,Paramètres!$A$1:$I$89,3,0)*0.475*44/12</f>
        <v>4.1508082755209887</v>
      </c>
      <c r="GN120" s="23">
        <f>EXP(-LN(2)/2)*GN119+(1-EXP(-LN(2)/2))/(LN(2)/2)*GH120*GK120*VLOOKUP('Données projet'!$B$17,Paramètres!$A$1:$I$89,3,0)*0.475*44/12</f>
        <v>1.1569781278706542E-7</v>
      </c>
      <c r="GO120" s="23">
        <f t="shared" si="81"/>
        <v>70.078196966228219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1.7053025658242404E-13</v>
      </c>
      <c r="GV120" s="18">
        <f>GU120*VLOOKUP('Données projet'!$B$18,Paramètres!$A$1:$I$89,3,0)*VLOOKUP('Données projet'!$B$18,Paramètres!$A$1:$I$89,5,0)</f>
        <v>1.8355876818532125E-13</v>
      </c>
      <c r="GW120" s="14">
        <f t="shared" si="105"/>
        <v>2.5693529898865504E-12</v>
      </c>
      <c r="GX120" s="22">
        <f t="shared" si="82"/>
        <v>4.7946546453085093E-12</v>
      </c>
      <c r="GY120" s="62">
        <f t="shared" si="83"/>
        <v>293.33333333333809</v>
      </c>
      <c r="GZ120" s="62">
        <f ca="1">AVERAGE(OFFSET($GY$3,0,0,'Données projet'!$E$18+1,1))-AVERAGE(OFFSET($H$3,0,0,'Données projet'!$E$18+1,1))</f>
        <v>331.3579800635751</v>
      </c>
      <c r="HA120" s="62">
        <f t="shared" si="106"/>
        <v>209.40702003535273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85.829996446710354</v>
      </c>
      <c r="HH120" s="23">
        <f>EXP(-LN(2)/25)*HH119+(1-EXP(-LN(2)/25))/(LN(2)/25)*Calculateur!HC120*Calculateur!HE120*VLOOKUP('Données projet'!$B$18,Paramètres!$A$1:$I$89,3,0)*0.475*44/12</f>
        <v>5.4038824719046872</v>
      </c>
      <c r="HI120" s="23">
        <f>EXP(-LN(2)/2)*HI119+(1-EXP(-LN(2)/2))/(LN(2)/2)*HC120*HF120*VLOOKUP('Données projet'!$B$18,Paramètres!$A$1:$I$89,3,0)*0.475*44/12</f>
        <v>1.8565462982110424E-7</v>
      </c>
      <c r="HJ120" s="24">
        <f t="shared" si="84"/>
        <v>91.233879104269661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75.073571428571412</v>
      </c>
      <c r="N121" s="14">
        <f>IF('Données projet'!$A$36&gt;35,N120+M121-V120,IF(A121&lt;'Données projet'!$A$36,$K$205^A121,IF(A121='Données projet'!$A$36,'Données projet'!$B$36,N120+M121-V120)))</f>
        <v>2539.1850000000018</v>
      </c>
      <c r="O121" s="14">
        <f>N121*VLOOKUP('Données projet'!$B$9,Paramètres!$A$1:$I$89,3,0)*VLOOKUP('Données projet'!$B$9,Paramètres!$A$1:$I$89,5,0)</f>
        <v>2297.4545880000014</v>
      </c>
      <c r="P121" s="14">
        <f t="shared" si="87"/>
        <v>430.08060436630973</v>
      </c>
      <c r="Q121" s="22">
        <f t="shared" si="107"/>
        <v>4750.4571267046585</v>
      </c>
      <c r="R121" s="62">
        <f t="shared" si="55"/>
        <v>5043.7904600379916</v>
      </c>
      <c r="S121" s="62">
        <f ca="1">AVERAGE(OFFSET($R$3,0,0,'Données projet'!$E$9+1,1))-AVERAGE(OFFSET($H$3,0,0,'Données projet'!$E$9+1,1))</f>
        <v>2472.5049373954762</v>
      </c>
      <c r="T121" s="62">
        <f t="shared" si="88"/>
        <v>286.98388307318311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308.47328297627183</v>
      </c>
      <c r="AA121" s="23">
        <f>EXP(-LN(2)/25)*AA120+(1-EXP(-LN(2)/25))/(LN(2)/25)*Calculateur!V121*Calculateur!X121*VLOOKUP('Données projet'!$B$9,Paramètres!$A$1:$I$89,3,0)*0.475*44/12</f>
        <v>21.521403046769002</v>
      </c>
      <c r="AB121" s="23">
        <f>EXP(-LN(2)/2)*AB120+(1-EXP(-LN(2)/2))/(LN(2)/2)*V121*Y121*VLOOKUP('Données projet'!$B$9,Paramètres!$A$1:$I$89,3,0)*0.475*44/12</f>
        <v>2.3020278078179008</v>
      </c>
      <c r="AC121" s="24">
        <f t="shared" si="57"/>
        <v>332.29671383085878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75.073571428571412</v>
      </c>
      <c r="AI121" s="14">
        <f>IF('Données projet'!$A$62&gt;35,AI120+AH121-AQ120,IF(A121&lt;'Données projet'!$A$62,$AF$205^A121,IF(A121='Données projet'!$A$62,'Données projet'!$B$62,AI120+AH121-AQ120)))</f>
        <v>2539.1850000000018</v>
      </c>
      <c r="AJ121" s="14">
        <f>AI121*VLOOKUP('Données projet'!$B$10,Paramètres!$A$1:$I$89,3,0)*VLOOKUP('Données projet'!$B$10,Paramètres!$A$1:$I$89,5,0)</f>
        <v>2574.7335900000021</v>
      </c>
      <c r="AK121" s="14">
        <f t="shared" si="89"/>
        <v>475.63644466466582</v>
      </c>
      <c r="AL121" s="22">
        <f t="shared" si="58"/>
        <v>5312.7278103742965</v>
      </c>
      <c r="AM121" s="62">
        <f t="shared" si="59"/>
        <v>5606.0611437076295</v>
      </c>
      <c r="AN121" s="62">
        <f ca="1">AVERAGE(OFFSET($AM$3,0,0,'Données projet'!$E$10+1,1))-AVERAGE(OFFSET($H$3,0,0,'Données projet'!$E$10+1,1))</f>
        <v>2761.1400657295467</v>
      </c>
      <c r="AO121" s="62">
        <f t="shared" si="90"/>
        <v>316.41877504316409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345.70281712858053</v>
      </c>
      <c r="AV121" s="23">
        <f>EXP(-LN(2)/25)*AV120+(1-EXP(-LN(2)/25))/(LN(2)/25)*Calculateur!AQ121*Calculateur!AS121*VLOOKUP('Données projet'!$B$10,Paramètres!$A$1:$I$89,3,0)*0.475*44/12</f>
        <v>24.118813759310093</v>
      </c>
      <c r="AW121" s="23">
        <f>EXP(-LN(2)/2)*AW120+(1-EXP(-LN(2)/2))/(LN(2)/2)*AQ121*AT121*VLOOKUP('Données projet'!$B$10,Paramètres!$A$1:$I$89,3,0)*0.475*44/12</f>
        <v>2.5798587501407511</v>
      </c>
      <c r="AX121" s="23">
        <f t="shared" si="60"/>
        <v>372.40148963803142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75.073571428571412</v>
      </c>
      <c r="BD121" s="13">
        <f>IF('Données projet'!$A$88&gt;35,BD120+BC121-BL120,IF(A121&lt;'Données projet'!$A$88,$BA$205^A121,IF(A121='Données projet'!$A$88,'Données projet'!$B$88,BD120+BC121-BL120)))</f>
        <v>2539.1850000000018</v>
      </c>
      <c r="BE121" s="14">
        <f>BD121*VLOOKUP('Données projet'!$B$11,Paramètres!$A$1:$I$89,3,0)*VLOOKUP('Données projet'!$B$11,Paramètres!$A$1:$I$89,5,0)</f>
        <v>2653.9561620000022</v>
      </c>
      <c r="BF121" s="14">
        <f t="shared" si="91"/>
        <v>488.54500563752345</v>
      </c>
      <c r="BG121" s="22">
        <f t="shared" si="61"/>
        <v>5473.1895336353564</v>
      </c>
      <c r="BH121" s="62">
        <f t="shared" si="62"/>
        <v>5766.5228669686894</v>
      </c>
      <c r="BI121" s="62">
        <f ca="1">AVERAGE(OFFSET($BH$3,0,0,'Données projet'!$E$11+1,1))-AVERAGE(OFFSET($H$3,0,0,'Données projet'!$E$11+1,1))</f>
        <v>2843.5086223152098</v>
      </c>
      <c r="BJ121" s="62">
        <f t="shared" si="92"/>
        <v>324.81562437645522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356.33982688638292</v>
      </c>
      <c r="BQ121" s="23">
        <f>EXP(-LN(2)/25)*BQ120+(1-EXP(-LN(2)/25))/(LN(2)/25)*Calculateur!BL121*Calculateur!BN121*VLOOKUP('Données projet'!$B$11,Paramètres!$A$1:$I$89,3,0)*0.475*44/12</f>
        <v>24.860931105750399</v>
      </c>
      <c r="BR121" s="23">
        <f>EXP(-LN(2)/2)*BR120+(1-EXP(-LN(2)/2))/(LN(2)/2)*BL121*BO121*VLOOKUP('Données projet'!$B$11,Paramètres!$A$1:$I$89,3,0)*0.475*44/12</f>
        <v>2.6592390193758502</v>
      </c>
      <c r="BS121" s="24">
        <f t="shared" si="63"/>
        <v>383.85999701150917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75.073571428571412</v>
      </c>
      <c r="BY121" s="13">
        <f>IF('Données projet'!$A$114&gt;35,BY120+BX121-CG120,IF(A121&lt;'Données projet'!$A$114,$BV$205^A121,IF(A121='Données projet'!$A$114,'Données projet'!$B$114,BY120+BX121-CG120)))</f>
        <v>2539.1850000000018</v>
      </c>
      <c r="BZ121" s="14">
        <f>BY121*VLOOKUP('Données projet'!$B$12,Paramètres!$A$1:$I$89,3,0)*VLOOKUP('Données projet'!$B$12,Paramètres!$A$1:$I$89,5,0)</f>
        <v>2535.1223040000018</v>
      </c>
      <c r="CA121" s="14">
        <f t="shared" si="93"/>
        <v>469.16489327979184</v>
      </c>
      <c r="CB121" s="22">
        <f t="shared" si="64"/>
        <v>5232.4668685956403</v>
      </c>
      <c r="CC121" s="62">
        <f t="shared" si="65"/>
        <v>5525.8002019289734</v>
      </c>
      <c r="CD121" s="62">
        <f ca="1">AVERAGE(OFFSET($CC$3,0,0,'Données projet'!$E$12+1,1))-AVERAGE(OFFSET($H$3,0,0,'Données projet'!$E$12+1,1))</f>
        <v>2719.939926994799</v>
      </c>
      <c r="CE121" s="62">
        <f t="shared" si="94"/>
        <v>312.21824046329749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340.38431224967917</v>
      </c>
      <c r="CL121" s="23">
        <f>EXP(-LN(2)/25)*CL120+(1-EXP(-LN(2)/25))/(LN(2)/25)*Calculateur!CG121*Calculateur!CI121*VLOOKUP('Données projet'!$B$12,Paramètres!$A$1:$I$89,3,0)*0.475*44/12</f>
        <v>23.747755086089931</v>
      </c>
      <c r="CM121" s="23">
        <f>EXP(-LN(2)/2)*CM120+(1-EXP(-LN(2)/2))/(LN(2)/2)*CG121*CJ121*VLOOKUP('Données projet'!$B$12,Paramètres!$A$1:$I$89,3,0)*0.475*44/12</f>
        <v>2.5401686155232004</v>
      </c>
      <c r="CN121" s="24">
        <f t="shared" si="66"/>
        <v>366.67223595129229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1.1368683772161603E-12</v>
      </c>
      <c r="CU121" s="18">
        <f>CT121*VLOOKUP('Données projet'!$B$13,Paramètres!$A$1:$I$89,3,0)*VLOOKUP('Données projet'!$B$13,Paramètres!$A$1:$I$89,5,0)</f>
        <v>9.9316821433603771E-13</v>
      </c>
      <c r="CV121" s="14">
        <f t="shared" si="95"/>
        <v>1.1421454694498936E-11</v>
      </c>
      <c r="CW121" s="22">
        <f t="shared" si="67"/>
        <v>2.1622134899554243E-11</v>
      </c>
      <c r="CX121" s="62">
        <f t="shared" si="68"/>
        <v>293.33333333335491</v>
      </c>
      <c r="CY121" s="62">
        <f ca="1">AVERAGE(OFFSET($CX$3,0,0,'Données projet'!$E$13+1,1))-AVERAGE(OFFSET($H$3,0,0,'Données projet'!$E$13+1,1))</f>
        <v>1036.0130072090849</v>
      </c>
      <c r="CZ121" s="62">
        <f t="shared" si="96"/>
        <v>346.56593355696174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315.52603088695321</v>
      </c>
      <c r="DG121" s="23">
        <f>EXP(-LN(2)/25)*DG120+(1-EXP(-LN(2)/25))/(LN(2)/25)*Calculateur!DB121*Calculateur!DD121*VLOOKUP('Données projet'!$B$13,Paramètres!$A$1:$I$89,3,0)*0.475*44/12</f>
        <v>14.756913970063023</v>
      </c>
      <c r="DH121" s="23">
        <f>EXP(-LN(2)/2)*DH120+(1-EXP(-LN(2)/2))/(LN(2)/2)*DB121*DE121*VLOOKUP('Données projet'!$B$13,Paramètres!$A$1:$I$89,3,0)*0.475*44/12</f>
        <v>1.7237666244251308E-4</v>
      </c>
      <c r="DI121" s="24">
        <f t="shared" si="69"/>
        <v>330.28311723367864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6.8212102632969618E-13</v>
      </c>
      <c r="DP121" s="18">
        <f>DO121*VLOOKUP('Données projet'!$B$14,Paramètres!$A$1:$I$89,3,0)*VLOOKUP('Données projet'!$B$14,Paramètres!$A$1:$I$89,5,0)</f>
        <v>3.8130565371830017E-13</v>
      </c>
      <c r="DQ121" s="14">
        <f t="shared" si="97"/>
        <v>4.9019074112354236E-12</v>
      </c>
      <c r="DR121" s="22">
        <f t="shared" si="70"/>
        <v>9.2015960881277352E-12</v>
      </c>
      <c r="DS121" s="62">
        <f t="shared" si="71"/>
        <v>293.33333333334252</v>
      </c>
      <c r="DT121" s="62">
        <f ca="1">AVERAGE(OFFSET($DS$3,0,0,'Données projet'!$E$14+1,1))-AVERAGE(OFFSET($H$3,0,0,'Données projet'!$E$14+1,1))</f>
        <v>446.48069057792151</v>
      </c>
      <c r="DU121" s="62">
        <f t="shared" si="98"/>
        <v>561.75656782935948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58.549741516718946</v>
      </c>
      <c r="EB121" s="23">
        <f>EXP(-LN(2)/25)*EB120+(1-EXP(-LN(2)/25))/(LN(2)/25)*Calculateur!DW121*Calculateur!DY121*VLOOKUP('Données projet'!$B$14,Paramètres!$A$1:$I$89,3,0)*0.475*44/12</f>
        <v>16.228596804685697</v>
      </c>
      <c r="EC121" s="23">
        <f>EXP(-LN(2)/2)*EC120+(1-EXP(-LN(2)/2))/(LN(2)/2)*DW121*DZ121*VLOOKUP('Données projet'!$B$14,Paramètres!$A$1:$I$89,3,0)*0.475*44/12</f>
        <v>2.4993935954242352E-7</v>
      </c>
      <c r="ED121" s="24">
        <f t="shared" si="72"/>
        <v>74.778338571344008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1.7053025658242404E-13</v>
      </c>
      <c r="EK121" s="18">
        <f>EJ121*VLOOKUP('Données projet'!$B$15,Paramètres!$A$1:$I$89,3,0)*VLOOKUP('Données projet'!$B$15,Paramètres!$A$1:$I$89,5,0)</f>
        <v>1.6493686416652052E-13</v>
      </c>
      <c r="EL121" s="14">
        <f t="shared" si="99"/>
        <v>2.3376205369651282E-12</v>
      </c>
      <c r="EM121" s="22">
        <f t="shared" si="73"/>
        <v>4.3586208069709543E-12</v>
      </c>
      <c r="EN121" s="62">
        <f t="shared" si="74"/>
        <v>293.33333333333769</v>
      </c>
      <c r="EO121" s="62">
        <f ca="1">AVERAGE(OFFSET($EN$3,0,0,'Données projet'!$E$15+1,1))-AVERAGE(OFFSET($H$3,0,0,'Données projet'!$E$15+1,1))</f>
        <v>301.18531163828169</v>
      </c>
      <c r="EP121" s="62">
        <f t="shared" si="100"/>
        <v>192.30530273268101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75.610278249075051</v>
      </c>
      <c r="EW121" s="23">
        <f>EXP(-LN(2)/25)*EW120+(1-EXP(-LN(2)/25))/(LN(2)/25)*Calculateur!ER121*Calculateur!ET121*VLOOKUP('Données projet'!$B$15,Paramètres!$A$1:$I$89,3,0)*0.475*44/12</f>
        <v>4.7228841642756922</v>
      </c>
      <c r="EX121" s="23">
        <f>EXP(-LN(2)/2)*EX120+(1-EXP(-LN(2)/2))/(LN(2)/2)*ER121*EU121*VLOOKUP('Données projet'!$B$15,Paramètres!$A$1:$I$89,3,0)*0.475*44/12</f>
        <v>1.179596254742211E-7</v>
      </c>
      <c r="EY121" s="24">
        <f t="shared" si="75"/>
        <v>80.333162531310379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1.7053025658242404E-13</v>
      </c>
      <c r="FF121" s="18">
        <f>FE121*VLOOKUP('Données projet'!$B$16,Paramètres!$A$1:$I$89,3,0)*VLOOKUP('Données projet'!$B$16,Paramètres!$A$1:$I$89,5,0)</f>
        <v>1.3301360013429075E-13</v>
      </c>
      <c r="FG121" s="14">
        <f t="shared" si="101"/>
        <v>1.9329766731057041E-12</v>
      </c>
      <c r="FH121" s="22">
        <f t="shared" si="76"/>
        <v>3.5982663925596575E-12</v>
      </c>
      <c r="FI121" s="62">
        <f t="shared" si="77"/>
        <v>293.3333333333369</v>
      </c>
      <c r="FJ121" s="62">
        <f ca="1">AVERAGE(OFFSET($FI$3,0,0,'Données projet'!$E$16+1,1))-AVERAGE(OFFSET($H$3,0,0,'Données projet'!$E$16+1,1))</f>
        <v>249.2899297828755</v>
      </c>
      <c r="FK121" s="62">
        <f t="shared" si="102"/>
        <v>162.88011837476813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60.976030846028273</v>
      </c>
      <c r="FR121" s="23">
        <f>EXP(-LN(2)/25)*FR120+(1-EXP(-LN(2)/25))/(LN(2)/25)*Calculateur!FM121*Calculateur!FO121*VLOOKUP('Données projet'!$B$16,Paramètres!$A$1:$I$89,3,0)*0.475*44/12</f>
        <v>3.8087775518352309</v>
      </c>
      <c r="FS121" s="23">
        <f>EXP(-LN(2)/2)*FS120+(1-EXP(-LN(2)/2))/(LN(2)/2)*FM121*FP121*VLOOKUP('Données projet'!$B$16,Paramètres!$A$1:$I$89,3,0)*0.475*44/12</f>
        <v>9.5128730221145656E-8</v>
      </c>
      <c r="FT121" s="24">
        <f t="shared" si="78"/>
        <v>64.784808492992227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1.7053025658242404E-13</v>
      </c>
      <c r="GA121" s="18">
        <f>FZ121*VLOOKUP('Données projet'!$B$17,Paramètres!$A$1:$I$89,3,0)*VLOOKUP('Données projet'!$B$17,Paramètres!$A$1:$I$89,5,0)</f>
        <v>1.1439169611549005E-13</v>
      </c>
      <c r="GB121" s="14">
        <f t="shared" si="103"/>
        <v>1.6918016515029816E-12</v>
      </c>
      <c r="GC121" s="22">
        <f t="shared" si="79"/>
        <v>3.1457867471021712E-12</v>
      </c>
      <c r="GD121" s="62">
        <f t="shared" si="80"/>
        <v>293.33333333333644</v>
      </c>
      <c r="GE121" s="62">
        <f ca="1">AVERAGE(OFFSET($GD$3,0,0,'Données projet'!$E$17+1,1))-AVERAGE(OFFSET($H$3,0,0,'Données projet'!$E$17+1,1))</f>
        <v>218.89895999738746</v>
      </c>
      <c r="GF121" s="62">
        <f t="shared" si="104"/>
        <v>145.64042897395763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64.634592696789937</v>
      </c>
      <c r="GM121" s="23">
        <f>EXP(-LN(2)/25)*GM120+(1-EXP(-LN(2)/25))/(LN(2)/25)*Calculateur!GH121*Calculateur!GJ121*VLOOKUP('Données projet'!$B$17,Paramètres!$A$1:$I$89,3,0)*0.475*44/12</f>
        <v>4.0373042049453467</v>
      </c>
      <c r="GN121" s="23">
        <f>EXP(-LN(2)/2)*GN120+(1-EXP(-LN(2)/2))/(LN(2)/2)*GH121*GK121*VLOOKUP('Données projet'!$B$17,Paramètres!$A$1:$I$89,3,0)*0.475*44/12</f>
        <v>8.1810707990185618E-8</v>
      </c>
      <c r="GO121" s="23">
        <f t="shared" si="81"/>
        <v>68.671896983545992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1.7053025658242404E-13</v>
      </c>
      <c r="GV121" s="18">
        <f>GU121*VLOOKUP('Données projet'!$B$18,Paramètres!$A$1:$I$89,3,0)*VLOOKUP('Données projet'!$B$18,Paramètres!$A$1:$I$89,5,0)</f>
        <v>1.8355876818532125E-13</v>
      </c>
      <c r="GW121" s="14">
        <f t="shared" si="105"/>
        <v>2.5693529898865504E-12</v>
      </c>
      <c r="GX121" s="22">
        <f t="shared" si="82"/>
        <v>4.7946546453085093E-12</v>
      </c>
      <c r="GY121" s="62">
        <f t="shared" si="83"/>
        <v>293.33333333333809</v>
      </c>
      <c r="GZ121" s="62">
        <f ca="1">AVERAGE(OFFSET($GY$3,0,0,'Données projet'!$E$18+1,1))-AVERAGE(OFFSET($H$3,0,0,'Données projet'!$E$18+1,1))</f>
        <v>331.3579800635751</v>
      </c>
      <c r="HA121" s="62">
        <f t="shared" si="106"/>
        <v>209.40702003535273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84.146922567518956</v>
      </c>
      <c r="HH121" s="23">
        <f>EXP(-LN(2)/25)*HH120+(1-EXP(-LN(2)/25))/(LN(2)/25)*Calculateur!HC121*Calculateur!HE121*VLOOKUP('Données projet'!$B$18,Paramètres!$A$1:$I$89,3,0)*0.475*44/12</f>
        <v>5.2561130215326255</v>
      </c>
      <c r="HI121" s="23">
        <f>EXP(-LN(2)/2)*HI120+(1-EXP(-LN(2)/2))/(LN(2)/2)*HC121*HF121*VLOOKUP('Données projet'!$B$18,Paramètres!$A$1:$I$89,3,0)*0.475*44/12</f>
        <v>1.3127764770518104E-7</v>
      </c>
      <c r="HJ121" s="24">
        <f t="shared" si="84"/>
        <v>89.403035720329228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75.073571428571412</v>
      </c>
      <c r="N122" s="14">
        <f>IF('Données projet'!$A$36&gt;35,N121+M122-V121,IF(A122&lt;'Données projet'!$A$36,$K$205^A122,IF(A122='Données projet'!$A$36,'Données projet'!$B$36,N121+M122-V121)))</f>
        <v>2614.2585714285733</v>
      </c>
      <c r="O122" s="14">
        <f>N122*VLOOKUP('Données projet'!$B$9,Paramètres!$A$1:$I$89,3,0)*VLOOKUP('Données projet'!$B$9,Paramètres!$A$1:$I$89,5,0)</f>
        <v>2365.381155428573</v>
      </c>
      <c r="P122" s="14">
        <f t="shared" si="87"/>
        <v>441.29713262666036</v>
      </c>
      <c r="Q122" s="22">
        <f t="shared" si="107"/>
        <v>4888.2980183628642</v>
      </c>
      <c r="R122" s="62">
        <f t="shared" si="55"/>
        <v>5181.6313516961973</v>
      </c>
      <c r="S122" s="62">
        <f ca="1">AVERAGE(OFFSET($R$3,0,0,'Données projet'!$E$9+1,1))-AVERAGE(OFFSET($H$3,0,0,'Données projet'!$E$9+1,1))</f>
        <v>2472.5049373954762</v>
      </c>
      <c r="T122" s="62">
        <f t="shared" si="88"/>
        <v>286.98388307318311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302.42431004723147</v>
      </c>
      <c r="AA122" s="23">
        <f>EXP(-LN(2)/25)*AA121+(1-EXP(-LN(2)/25))/(LN(2)/25)*Calculateur!V122*Calculateur!X122*VLOOKUP('Données projet'!$B$9,Paramètres!$A$1:$I$89,3,0)*0.475*44/12</f>
        <v>20.932899148693707</v>
      </c>
      <c r="AB122" s="23">
        <f>EXP(-LN(2)/2)*AB121+(1-EXP(-LN(2)/2))/(LN(2)/2)*V122*Y122*VLOOKUP('Données projet'!$B$9,Paramètres!$A$1:$I$89,3,0)*0.475*44/12</f>
        <v>1.6277794733880402</v>
      </c>
      <c r="AC122" s="24">
        <f t="shared" si="57"/>
        <v>324.98498866931322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75.073571428571412</v>
      </c>
      <c r="AI122" s="14">
        <f>IF('Données projet'!$A$62&gt;35,AI121+AH122-AQ121,IF(A122&lt;'Données projet'!$A$62,$AF$205^A122,IF(A122='Données projet'!$A$62,'Données projet'!$B$62,AI121+AH122-AQ121)))</f>
        <v>2614.2585714285733</v>
      </c>
      <c r="AJ122" s="14">
        <f>AI122*VLOOKUP('Données projet'!$B$10,Paramètres!$A$1:$I$89,3,0)*VLOOKUP('Données projet'!$B$10,Paramètres!$A$1:$I$89,5,0)</f>
        <v>2650.8581914285737</v>
      </c>
      <c r="AK122" s="14">
        <f t="shared" si="89"/>
        <v>488.04107200445077</v>
      </c>
      <c r="AL122" s="22">
        <f t="shared" si="58"/>
        <v>5466.9162171458493</v>
      </c>
      <c r="AM122" s="62">
        <f t="shared" si="59"/>
        <v>5760.2495504791823</v>
      </c>
      <c r="AN122" s="62">
        <f ca="1">AVERAGE(OFFSET($AM$3,0,0,'Données projet'!$E$10+1,1))-AVERAGE(OFFSET($H$3,0,0,'Données projet'!$E$10+1,1))</f>
        <v>2761.1400657295467</v>
      </c>
      <c r="AO122" s="62">
        <f t="shared" si="90"/>
        <v>316.41877504316409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338.923795742587</v>
      </c>
      <c r="AV122" s="23">
        <f>EXP(-LN(2)/25)*AV121+(1-EXP(-LN(2)/25))/(LN(2)/25)*Calculateur!AQ122*Calculateur!AS122*VLOOKUP('Données projet'!$B$10,Paramètres!$A$1:$I$89,3,0)*0.475*44/12</f>
        <v>23.459283528708468</v>
      </c>
      <c r="AW122" s="23">
        <f>EXP(-LN(2)/2)*AW121+(1-EXP(-LN(2)/2))/(LN(2)/2)*AQ122*AT122*VLOOKUP('Données projet'!$B$10,Paramètres!$A$1:$I$89,3,0)*0.475*44/12</f>
        <v>1.8242356167279761</v>
      </c>
      <c r="AX122" s="23">
        <f t="shared" si="60"/>
        <v>364.20731488802346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75.073571428571412</v>
      </c>
      <c r="BD122" s="13">
        <f>IF('Données projet'!$A$88&gt;35,BD121+BC122-BL121,IF(A122&lt;'Données projet'!$A$88,$BA$205^A122,IF(A122='Données projet'!$A$88,'Données projet'!$B$88,BD121+BC122-BL121)))</f>
        <v>2614.2585714285733</v>
      </c>
      <c r="BE122" s="14">
        <f>BD122*VLOOKUP('Données projet'!$B$11,Paramètres!$A$1:$I$89,3,0)*VLOOKUP('Données projet'!$B$11,Paramètres!$A$1:$I$89,5,0)</f>
        <v>2732.423058857145</v>
      </c>
      <c r="BF122" s="14">
        <f t="shared" si="91"/>
        <v>501.28628903080755</v>
      </c>
      <c r="BG122" s="22">
        <f t="shared" si="61"/>
        <v>5632.0437809048499</v>
      </c>
      <c r="BH122" s="62">
        <f t="shared" si="62"/>
        <v>5925.3771142381829</v>
      </c>
      <c r="BI122" s="62">
        <f ca="1">AVERAGE(OFFSET($BH$3,0,0,'Données projet'!$E$11+1,1))-AVERAGE(OFFSET($H$3,0,0,'Données projet'!$E$11+1,1))</f>
        <v>2843.5086223152098</v>
      </c>
      <c r="BJ122" s="62">
        <f t="shared" si="92"/>
        <v>324.81562437645522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349.35222022697423</v>
      </c>
      <c r="BQ122" s="23">
        <f>EXP(-LN(2)/25)*BQ121+(1-EXP(-LN(2)/25))/(LN(2)/25)*Calculateur!BL122*Calculateur!BN122*VLOOKUP('Données projet'!$B$11,Paramètres!$A$1:$I$89,3,0)*0.475*44/12</f>
        <v>24.181107637284107</v>
      </c>
      <c r="BR122" s="23">
        <f>EXP(-LN(2)/2)*BR121+(1-EXP(-LN(2)/2))/(LN(2)/2)*BL122*BO122*VLOOKUP('Données projet'!$B$11,Paramètres!$A$1:$I$89,3,0)*0.475*44/12</f>
        <v>1.8803659433965285</v>
      </c>
      <c r="BS122" s="24">
        <f t="shared" si="63"/>
        <v>375.41369380765491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75.073571428571412</v>
      </c>
      <c r="BY122" s="13">
        <f>IF('Données projet'!$A$114&gt;35,BY121+BX122-CG121,IF(A122&lt;'Données projet'!$A$114,$BV$205^A122,IF(A122='Données projet'!$A$114,'Données projet'!$B$114,BY121+BX122-CG121)))</f>
        <v>2614.2585714285733</v>
      </c>
      <c r="BZ122" s="14">
        <f>BY122*VLOOKUP('Données projet'!$B$12,Paramètres!$A$1:$I$89,3,0)*VLOOKUP('Données projet'!$B$12,Paramètres!$A$1:$I$89,5,0)</f>
        <v>2610.0757577142876</v>
      </c>
      <c r="CA122" s="14">
        <f t="shared" si="93"/>
        <v>481.4007421667481</v>
      </c>
      <c r="CB122" s="22">
        <f t="shared" si="64"/>
        <v>5384.3215706261371</v>
      </c>
      <c r="CC122" s="62">
        <f t="shared" si="65"/>
        <v>5677.6549039594702</v>
      </c>
      <c r="CD122" s="62">
        <f ca="1">AVERAGE(OFFSET($CC$3,0,0,'Données projet'!$E$12+1,1))-AVERAGE(OFFSET($H$3,0,0,'Données projet'!$E$12+1,1))</f>
        <v>2719.939926994799</v>
      </c>
      <c r="CE122" s="62">
        <f t="shared" si="94"/>
        <v>312.21824046329749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333.70958350039325</v>
      </c>
      <c r="CL122" s="23">
        <f>EXP(-LN(2)/25)*CL121+(1-EXP(-LN(2)/25))/(LN(2)/25)*Calculateur!CG122*Calculateur!CI122*VLOOKUP('Données projet'!$B$12,Paramètres!$A$1:$I$89,3,0)*0.475*44/12</f>
        <v>23.098371474420638</v>
      </c>
      <c r="CM122" s="23">
        <f>EXP(-LN(2)/2)*CM121+(1-EXP(-LN(2)/2))/(LN(2)/2)*CG122*CJ122*VLOOKUP('Données projet'!$B$12,Paramètres!$A$1:$I$89,3,0)*0.475*44/12</f>
        <v>1.7961704533936991</v>
      </c>
      <c r="CN122" s="24">
        <f t="shared" si="66"/>
        <v>358.60412542820757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1.1368683772161603E-12</v>
      </c>
      <c r="CU122" s="18">
        <f>CT122*VLOOKUP('Données projet'!$B$13,Paramètres!$A$1:$I$89,3,0)*VLOOKUP('Données projet'!$B$13,Paramètres!$A$1:$I$89,5,0)</f>
        <v>9.9316821433603771E-13</v>
      </c>
      <c r="CV122" s="14">
        <f t="shared" si="95"/>
        <v>1.1421454694498936E-11</v>
      </c>
      <c r="CW122" s="22">
        <f t="shared" si="67"/>
        <v>2.1622134899554243E-11</v>
      </c>
      <c r="CX122" s="62">
        <f t="shared" si="68"/>
        <v>293.33333333335491</v>
      </c>
      <c r="CY122" s="62">
        <f ca="1">AVERAGE(OFFSET($CX$3,0,0,'Données projet'!$E$13+1,1))-AVERAGE(OFFSET($H$3,0,0,'Données projet'!$E$13+1,1))</f>
        <v>1036.0130072090849</v>
      </c>
      <c r="CZ122" s="62">
        <f t="shared" si="96"/>
        <v>346.56593355696174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309.33875787313588</v>
      </c>
      <c r="DG122" s="23">
        <f>EXP(-LN(2)/25)*DG121+(1-EXP(-LN(2)/25))/(LN(2)/25)*Calculateur!DB122*Calculateur!DD122*VLOOKUP('Données projet'!$B$13,Paramètres!$A$1:$I$89,3,0)*0.475*44/12</f>
        <v>14.353385381519271</v>
      </c>
      <c r="DH122" s="23">
        <f>EXP(-LN(2)/2)*DH121+(1-EXP(-LN(2)/2))/(LN(2)/2)*DB122*DE122*VLOOKUP('Données projet'!$B$13,Paramètres!$A$1:$I$89,3,0)*0.475*44/12</f>
        <v>1.2188870693140547E-4</v>
      </c>
      <c r="DI122" s="24">
        <f t="shared" si="69"/>
        <v>323.69226514336208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6.8212102632969618E-13</v>
      </c>
      <c r="DP122" s="18">
        <f>DO122*VLOOKUP('Données projet'!$B$14,Paramètres!$A$1:$I$89,3,0)*VLOOKUP('Données projet'!$B$14,Paramètres!$A$1:$I$89,5,0)</f>
        <v>3.8130565371830017E-13</v>
      </c>
      <c r="DQ122" s="14">
        <f t="shared" si="97"/>
        <v>4.9019074112354236E-12</v>
      </c>
      <c r="DR122" s="22">
        <f t="shared" si="70"/>
        <v>9.2015960881277352E-12</v>
      </c>
      <c r="DS122" s="62">
        <f t="shared" si="71"/>
        <v>293.33333333334252</v>
      </c>
      <c r="DT122" s="62">
        <f ca="1">AVERAGE(OFFSET($DS$3,0,0,'Données projet'!$E$14+1,1))-AVERAGE(OFFSET($H$3,0,0,'Données projet'!$E$14+1,1))</f>
        <v>446.48069057792151</v>
      </c>
      <c r="DU122" s="62">
        <f t="shared" si="98"/>
        <v>561.75656782935948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57.401616797392165</v>
      </c>
      <c r="EB122" s="23">
        <f>EXP(-LN(2)/25)*EB121+(1-EXP(-LN(2)/25))/(LN(2)/25)*Calculateur!DW122*Calculateur!DY122*VLOOKUP('Données projet'!$B$14,Paramètres!$A$1:$I$89,3,0)*0.475*44/12</f>
        <v>15.784824971636752</v>
      </c>
      <c r="EC122" s="23">
        <f>EXP(-LN(2)/2)*EC121+(1-EXP(-LN(2)/2))/(LN(2)/2)*DW122*DZ122*VLOOKUP('Données projet'!$B$14,Paramètres!$A$1:$I$89,3,0)*0.475*44/12</f>
        <v>1.767338160178703E-7</v>
      </c>
      <c r="ED122" s="24">
        <f t="shared" si="72"/>
        <v>73.186441945762738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1.7053025658242404E-13</v>
      </c>
      <c r="EK122" s="18">
        <f>EJ122*VLOOKUP('Données projet'!$B$15,Paramètres!$A$1:$I$89,3,0)*VLOOKUP('Données projet'!$B$15,Paramètres!$A$1:$I$89,5,0)</f>
        <v>1.6493686416652052E-13</v>
      </c>
      <c r="EL122" s="14">
        <f t="shared" si="99"/>
        <v>2.3376205369651282E-12</v>
      </c>
      <c r="EM122" s="22">
        <f t="shared" si="73"/>
        <v>4.3586208069709543E-12</v>
      </c>
      <c r="EN122" s="62">
        <f t="shared" si="74"/>
        <v>293.33333333333769</v>
      </c>
      <c r="EO122" s="62">
        <f ca="1">AVERAGE(OFFSET($EN$3,0,0,'Données projet'!$E$15+1,1))-AVERAGE(OFFSET($H$3,0,0,'Données projet'!$E$15+1,1))</f>
        <v>301.18531163828169</v>
      </c>
      <c r="EP122" s="62">
        <f t="shared" si="100"/>
        <v>192.30530273268101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74.127606810326682</v>
      </c>
      <c r="EW122" s="23">
        <f>EXP(-LN(2)/25)*EW121+(1-EXP(-LN(2)/25))/(LN(2)/25)*Calculateur!ER122*Calculateur!ET122*VLOOKUP('Données projet'!$B$15,Paramètres!$A$1:$I$89,3,0)*0.475*44/12</f>
        <v>4.5937366484378899</v>
      </c>
      <c r="EX122" s="23">
        <f>EXP(-LN(2)/2)*EX121+(1-EXP(-LN(2)/2))/(LN(2)/2)*ER122*EU122*VLOOKUP('Données projet'!$B$15,Paramètres!$A$1:$I$89,3,0)*0.475*44/12</f>
        <v>8.341005107904717E-8</v>
      </c>
      <c r="EY122" s="24">
        <f t="shared" si="75"/>
        <v>78.721343542174637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1.7053025658242404E-13</v>
      </c>
      <c r="FF122" s="18">
        <f>FE122*VLOOKUP('Données projet'!$B$16,Paramètres!$A$1:$I$89,3,0)*VLOOKUP('Données projet'!$B$16,Paramètres!$A$1:$I$89,5,0)</f>
        <v>1.3301360013429075E-13</v>
      </c>
      <c r="FG122" s="14">
        <f t="shared" si="101"/>
        <v>1.9329766731057041E-12</v>
      </c>
      <c r="FH122" s="22">
        <f t="shared" si="76"/>
        <v>3.5982663925596575E-12</v>
      </c>
      <c r="FI122" s="62">
        <f t="shared" si="77"/>
        <v>293.3333333333369</v>
      </c>
      <c r="FJ122" s="62">
        <f ca="1">AVERAGE(OFFSET($FI$3,0,0,'Données projet'!$E$16+1,1))-AVERAGE(OFFSET($H$3,0,0,'Données projet'!$E$16+1,1))</f>
        <v>249.2899297828755</v>
      </c>
      <c r="FK122" s="62">
        <f t="shared" si="102"/>
        <v>162.88011837476813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59.7803280728441</v>
      </c>
      <c r="FR122" s="23">
        <f>EXP(-LN(2)/25)*FR121+(1-EXP(-LN(2)/25))/(LN(2)/25)*Calculateur!FM122*Calculateur!FO122*VLOOKUP('Données projet'!$B$16,Paramètres!$A$1:$I$89,3,0)*0.475*44/12</f>
        <v>3.7046263293853903</v>
      </c>
      <c r="FS122" s="23">
        <f>EXP(-LN(2)/2)*FS121+(1-EXP(-LN(2)/2))/(LN(2)/2)*FM122*FP122*VLOOKUP('Données projet'!$B$16,Paramètres!$A$1:$I$89,3,0)*0.475*44/12</f>
        <v>6.7266170225037751E-8</v>
      </c>
      <c r="FT122" s="24">
        <f t="shared" si="78"/>
        <v>63.484954469495662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1.7053025658242404E-13</v>
      </c>
      <c r="GA122" s="18">
        <f>FZ122*VLOOKUP('Données projet'!$B$17,Paramètres!$A$1:$I$89,3,0)*VLOOKUP('Données projet'!$B$17,Paramètres!$A$1:$I$89,5,0)</f>
        <v>1.1439169611549005E-13</v>
      </c>
      <c r="GB122" s="14">
        <f t="shared" si="103"/>
        <v>1.6918016515029816E-12</v>
      </c>
      <c r="GC122" s="22">
        <f t="shared" si="79"/>
        <v>3.1457867471021712E-12</v>
      </c>
      <c r="GD122" s="62">
        <f t="shared" si="80"/>
        <v>293.33333333333644</v>
      </c>
      <c r="GE122" s="62">
        <f ca="1">AVERAGE(OFFSET($GD$3,0,0,'Données projet'!$E$17+1,1))-AVERAGE(OFFSET($H$3,0,0,'Données projet'!$E$17+1,1))</f>
        <v>218.89895999738746</v>
      </c>
      <c r="GF122" s="62">
        <f t="shared" si="104"/>
        <v>145.64042897395763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63.36714775721471</v>
      </c>
      <c r="GM122" s="23">
        <f>EXP(-LN(2)/25)*GM121+(1-EXP(-LN(2)/25))/(LN(2)/25)*Calculateur!GH122*Calculateur!GJ122*VLOOKUP('Données projet'!$B$17,Paramètres!$A$1:$I$89,3,0)*0.475*44/12</f>
        <v>3.9269039091485154</v>
      </c>
      <c r="GN122" s="23">
        <f>EXP(-LN(2)/2)*GN121+(1-EXP(-LN(2)/2))/(LN(2)/2)*GH122*GK122*VLOOKUP('Données projet'!$B$17,Paramètres!$A$1:$I$89,3,0)*0.475*44/12</f>
        <v>5.7848906393532719E-8</v>
      </c>
      <c r="GO122" s="23">
        <f t="shared" si="81"/>
        <v>67.294051724212139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1.7053025658242404E-13</v>
      </c>
      <c r="GV122" s="18">
        <f>GU122*VLOOKUP('Données projet'!$B$18,Paramètres!$A$1:$I$89,3,0)*VLOOKUP('Données projet'!$B$18,Paramètres!$A$1:$I$89,5,0)</f>
        <v>1.8355876818532125E-13</v>
      </c>
      <c r="GW122" s="14">
        <f t="shared" si="105"/>
        <v>2.5693529898865504E-12</v>
      </c>
      <c r="GX122" s="22">
        <f t="shared" si="82"/>
        <v>4.7946546453085093E-12</v>
      </c>
      <c r="GY122" s="62">
        <f t="shared" si="83"/>
        <v>293.33333333333809</v>
      </c>
      <c r="GZ122" s="62">
        <f ca="1">AVERAGE(OFFSET($GY$3,0,0,'Données projet'!$E$18+1,1))-AVERAGE(OFFSET($H$3,0,0,'Données projet'!$E$18+1,1))</f>
        <v>331.3579800635751</v>
      </c>
      <c r="HA122" s="62">
        <f t="shared" si="106"/>
        <v>209.40702003535273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82.496852740524801</v>
      </c>
      <c r="HH122" s="23">
        <f>EXP(-LN(2)/25)*HH121+(1-EXP(-LN(2)/25))/(LN(2)/25)*Calculateur!HC122*Calculateur!HE122*VLOOKUP('Données projet'!$B$18,Paramètres!$A$1:$I$89,3,0)*0.475*44/12</f>
        <v>5.1123843345518454</v>
      </c>
      <c r="HI122" s="23">
        <f>EXP(-LN(2)/2)*HI121+(1-EXP(-LN(2)/2))/(LN(2)/2)*HC122*HF122*VLOOKUP('Données projet'!$B$18,Paramètres!$A$1:$I$89,3,0)*0.475*44/12</f>
        <v>9.2827314910552122E-8</v>
      </c>
      <c r="HJ122" s="24">
        <f t="shared" si="84"/>
        <v>87.60923716790397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75.073571428571412</v>
      </c>
      <c r="N123" s="14">
        <f>IF('Données projet'!$A$36&gt;35,N122+M123-V122,IF(A123&lt;'Données projet'!$A$36,$K$205^A123,IF(A123='Données projet'!$A$36,'Données projet'!$B$36,N122+M123-V122)))</f>
        <v>2689.3321428571448</v>
      </c>
      <c r="O123" s="14">
        <f>N123*VLOOKUP('Données projet'!$B$9,Paramètres!$A$1:$I$89,3,0)*VLOOKUP('Données projet'!$B$9,Paramètres!$A$1:$I$89,5,0)</f>
        <v>2433.3077228571447</v>
      </c>
      <c r="P123" s="14">
        <f t="shared" si="87"/>
        <v>452.47622506254822</v>
      </c>
      <c r="Q123" s="22">
        <f t="shared" si="107"/>
        <v>5026.0737092934642</v>
      </c>
      <c r="R123" s="62">
        <f t="shared" si="55"/>
        <v>5319.4070426267972</v>
      </c>
      <c r="S123" s="62">
        <f ca="1">AVERAGE(OFFSET($R$3,0,0,'Données projet'!$E$9+1,1))-AVERAGE(OFFSET($H$3,0,0,'Données projet'!$E$9+1,1))</f>
        <v>2472.5049373954762</v>
      </c>
      <c r="T123" s="62">
        <f t="shared" si="88"/>
        <v>286.98388307318311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296.49395378782043</v>
      </c>
      <c r="AA123" s="23">
        <f>EXP(-LN(2)/25)*AA122+(1-EXP(-LN(2)/25))/(LN(2)/25)*Calculateur!V123*Calculateur!X123*VLOOKUP('Données projet'!$B$9,Paramètres!$A$1:$I$89,3,0)*0.475*44/12</f>
        <v>20.360487920659356</v>
      </c>
      <c r="AB123" s="23">
        <f>EXP(-LN(2)/2)*AB122+(1-EXP(-LN(2)/2))/(LN(2)/2)*V123*Y123*VLOOKUP('Données projet'!$B$9,Paramètres!$A$1:$I$89,3,0)*0.475*44/12</f>
        <v>1.1510139039089506</v>
      </c>
      <c r="AC123" s="24">
        <f t="shared" si="57"/>
        <v>318.00545561238874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75.073571428571412</v>
      </c>
      <c r="AI123" s="14">
        <f>IF('Données projet'!$A$62&gt;35,AI122+AH123-AQ122,IF(A123&lt;'Données projet'!$A$62,$AF$205^A123,IF(A123='Données projet'!$A$62,'Données projet'!$B$62,AI122+AH123-AQ122)))</f>
        <v>2689.3321428571448</v>
      </c>
      <c r="AJ123" s="14">
        <f>AI123*VLOOKUP('Données projet'!$B$10,Paramètres!$A$1:$I$89,3,0)*VLOOKUP('Données projet'!$B$10,Paramètres!$A$1:$I$89,5,0)</f>
        <v>2726.9827928571453</v>
      </c>
      <c r="AK123" s="14">
        <f t="shared" si="89"/>
        <v>500.40429816903873</v>
      </c>
      <c r="AL123" s="22">
        <f t="shared" si="58"/>
        <v>5621.032516870604</v>
      </c>
      <c r="AM123" s="62">
        <f t="shared" si="59"/>
        <v>5914.365850203937</v>
      </c>
      <c r="AN123" s="62">
        <f ca="1">AVERAGE(OFFSET($AM$3,0,0,'Données projet'!$E$10+1,1))-AVERAGE(OFFSET($H$3,0,0,'Données projet'!$E$10+1,1))</f>
        <v>2761.1400657295467</v>
      </c>
      <c r="AO123" s="62">
        <f t="shared" si="90"/>
        <v>316.41877504316409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332.27770683117808</v>
      </c>
      <c r="AV123" s="23">
        <f>EXP(-LN(2)/25)*AV122+(1-EXP(-LN(2)/25))/(LN(2)/25)*Calculateur!AQ123*Calculateur!AS123*VLOOKUP('Données projet'!$B$10,Paramètres!$A$1:$I$89,3,0)*0.475*44/12</f>
        <v>22.81778818694583</v>
      </c>
      <c r="AW123" s="23">
        <f>EXP(-LN(2)/2)*AW122+(1-EXP(-LN(2)/2))/(LN(2)/2)*AQ123*AT123*VLOOKUP('Données projet'!$B$10,Paramètres!$A$1:$I$89,3,0)*0.475*44/12</f>
        <v>1.2899293750703757</v>
      </c>
      <c r="AX123" s="23">
        <f t="shared" si="60"/>
        <v>356.38542439319428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75.073571428571412</v>
      </c>
      <c r="BD123" s="13">
        <f>IF('Données projet'!$A$88&gt;35,BD122+BC123-BL122,IF(A123&lt;'Données projet'!$A$88,$BA$205^A123,IF(A123='Données projet'!$A$88,'Données projet'!$B$88,BD122+BC123-BL122)))</f>
        <v>2689.3321428571448</v>
      </c>
      <c r="BE123" s="14">
        <f>BD123*VLOOKUP('Données projet'!$B$11,Paramètres!$A$1:$I$89,3,0)*VLOOKUP('Données projet'!$B$11,Paramètres!$A$1:$I$89,5,0)</f>
        <v>2810.8899557142881</v>
      </c>
      <c r="BF123" s="14">
        <f t="shared" si="91"/>
        <v>513.98504763946494</v>
      </c>
      <c r="BG123" s="22">
        <f t="shared" si="61"/>
        <v>5790.823964174454</v>
      </c>
      <c r="BH123" s="62">
        <f t="shared" si="62"/>
        <v>6084.157297507787</v>
      </c>
      <c r="BI123" s="62">
        <f ca="1">AVERAGE(OFFSET($BH$3,0,0,'Données projet'!$E$11+1,1))-AVERAGE(OFFSET($H$3,0,0,'Données projet'!$E$11+1,1))</f>
        <v>2843.5086223152098</v>
      </c>
      <c r="BJ123" s="62">
        <f t="shared" si="92"/>
        <v>324.81562437645522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342.50163627213732</v>
      </c>
      <c r="BQ123" s="23">
        <f>EXP(-LN(2)/25)*BQ122+(1-EXP(-LN(2)/25))/(LN(2)/25)*Calculateur!BL123*Calculateur!BN123*VLOOKUP('Données projet'!$B$11,Paramètres!$A$1:$I$89,3,0)*0.475*44/12</f>
        <v>23.519873977313388</v>
      </c>
      <c r="BR123" s="23">
        <f>EXP(-LN(2)/2)*BR122+(1-EXP(-LN(2)/2))/(LN(2)/2)*BL123*BO123*VLOOKUP('Données projet'!$B$11,Paramètres!$A$1:$I$89,3,0)*0.475*44/12</f>
        <v>1.3296195096879251</v>
      </c>
      <c r="BS123" s="24">
        <f t="shared" si="63"/>
        <v>367.35112975913864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75.073571428571412</v>
      </c>
      <c r="BY123" s="13">
        <f>IF('Données projet'!$A$114&gt;35,BY122+BX123-CG122,IF(A123&lt;'Données projet'!$A$114,$BV$205^A123,IF(A123='Données projet'!$A$114,'Données projet'!$B$114,BY122+BX123-CG122)))</f>
        <v>2689.3321428571448</v>
      </c>
      <c r="BZ123" s="14">
        <f>BY123*VLOOKUP('Données projet'!$B$12,Paramètres!$A$1:$I$89,3,0)*VLOOKUP('Données projet'!$B$12,Paramètres!$A$1:$I$89,5,0)</f>
        <v>2685.0292114285739</v>
      </c>
      <c r="CA123" s="14">
        <f t="shared" si="93"/>
        <v>493.59575318654504</v>
      </c>
      <c r="CB123" s="22">
        <f t="shared" si="64"/>
        <v>5536.1051467046664</v>
      </c>
      <c r="CC123" s="62">
        <f t="shared" si="65"/>
        <v>5829.4384800379994</v>
      </c>
      <c r="CD123" s="62">
        <f ca="1">AVERAGE(OFFSET($CC$3,0,0,'Données projet'!$E$12+1,1))-AVERAGE(OFFSET($H$3,0,0,'Données projet'!$E$12+1,1))</f>
        <v>2719.939926994799</v>
      </c>
      <c r="CE123" s="62">
        <f t="shared" si="94"/>
        <v>312.21824046329749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327.16574211069832</v>
      </c>
      <c r="CL123" s="23">
        <f>EXP(-LN(2)/25)*CL122+(1-EXP(-LN(2)/25))/(LN(2)/25)*Calculateur!CG123*Calculateur!CI123*VLOOKUP('Données projet'!$B$12,Paramètres!$A$1:$I$89,3,0)*0.475*44/12</f>
        <v>22.466745291762042</v>
      </c>
      <c r="CM123" s="23">
        <f>EXP(-LN(2)/2)*CM122+(1-EXP(-LN(2)/2))/(LN(2)/2)*CG123*CJ123*VLOOKUP('Données projet'!$B$12,Paramètres!$A$1:$I$89,3,0)*0.475*44/12</f>
        <v>1.2700843077616004</v>
      </c>
      <c r="CN123" s="24">
        <f t="shared" si="66"/>
        <v>350.90257171022193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1.1368683772161603E-12</v>
      </c>
      <c r="CU123" s="18">
        <f>CT123*VLOOKUP('Données projet'!$B$13,Paramètres!$A$1:$I$89,3,0)*VLOOKUP('Données projet'!$B$13,Paramètres!$A$1:$I$89,5,0)</f>
        <v>9.9316821433603771E-13</v>
      </c>
      <c r="CV123" s="14">
        <f t="shared" si="95"/>
        <v>1.1421454694498936E-11</v>
      </c>
      <c r="CW123" s="22">
        <f t="shared" si="67"/>
        <v>2.1622134899554243E-11</v>
      </c>
      <c r="CX123" s="62">
        <f t="shared" si="68"/>
        <v>293.33333333335491</v>
      </c>
      <c r="CY123" s="62">
        <f ca="1">AVERAGE(OFFSET($CX$3,0,0,'Données projet'!$E$13+1,1))-AVERAGE(OFFSET($H$3,0,0,'Données projet'!$E$13+1,1))</f>
        <v>1036.0130072090849</v>
      </c>
      <c r="CZ123" s="62">
        <f t="shared" si="96"/>
        <v>346.56593355696174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303.27281350925557</v>
      </c>
      <c r="DG123" s="23">
        <f>EXP(-LN(2)/25)*DG122+(1-EXP(-LN(2)/25))/(LN(2)/25)*Calculateur!DB123*Calculateur!DD123*VLOOKUP('Données projet'!$B$13,Paramètres!$A$1:$I$89,3,0)*0.475*44/12</f>
        <v>13.960891303449895</v>
      </c>
      <c r="DH123" s="23">
        <f>EXP(-LN(2)/2)*DH122+(1-EXP(-LN(2)/2))/(LN(2)/2)*DB123*DE123*VLOOKUP('Données projet'!$B$13,Paramètres!$A$1:$I$89,3,0)*0.475*44/12</f>
        <v>8.6188331221256554E-5</v>
      </c>
      <c r="DI123" s="24">
        <f t="shared" si="69"/>
        <v>317.23379100103671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6.8212102632969618E-13</v>
      </c>
      <c r="DP123" s="18">
        <f>DO123*VLOOKUP('Données projet'!$B$14,Paramètres!$A$1:$I$89,3,0)*VLOOKUP('Données projet'!$B$14,Paramètres!$A$1:$I$89,5,0)</f>
        <v>3.8130565371830017E-13</v>
      </c>
      <c r="DQ123" s="14">
        <f t="shared" si="97"/>
        <v>4.9019074112354236E-12</v>
      </c>
      <c r="DR123" s="22">
        <f t="shared" si="70"/>
        <v>9.2015960881277352E-12</v>
      </c>
      <c r="DS123" s="62">
        <f t="shared" si="71"/>
        <v>293.33333333334252</v>
      </c>
      <c r="DT123" s="62">
        <f ca="1">AVERAGE(OFFSET($DS$3,0,0,'Données projet'!$E$14+1,1))-AVERAGE(OFFSET($H$3,0,0,'Données projet'!$E$14+1,1))</f>
        <v>446.48069057792151</v>
      </c>
      <c r="DU123" s="62">
        <f t="shared" si="98"/>
        <v>561.75656782935948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56.276006103524452</v>
      </c>
      <c r="EB123" s="23">
        <f>EXP(-LN(2)/25)*EB122+(1-EXP(-LN(2)/25))/(LN(2)/25)*Calculateur!DW123*Calculateur!DY123*VLOOKUP('Données projet'!$B$14,Paramètres!$A$1:$I$89,3,0)*0.475*44/12</f>
        <v>15.353188102699477</v>
      </c>
      <c r="EC123" s="23">
        <f>EXP(-LN(2)/2)*EC122+(1-EXP(-LN(2)/2))/(LN(2)/2)*DW123*DZ123*VLOOKUP('Données projet'!$B$14,Paramètres!$A$1:$I$89,3,0)*0.475*44/12</f>
        <v>1.2496967977121176E-7</v>
      </c>
      <c r="ED123" s="24">
        <f t="shared" si="72"/>
        <v>71.629194331193602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1.7053025658242404E-13</v>
      </c>
      <c r="EK123" s="18">
        <f>EJ123*VLOOKUP('Données projet'!$B$15,Paramètres!$A$1:$I$89,3,0)*VLOOKUP('Données projet'!$B$15,Paramètres!$A$1:$I$89,5,0)</f>
        <v>1.6493686416652052E-13</v>
      </c>
      <c r="EL123" s="14">
        <f t="shared" si="99"/>
        <v>2.3376205369651282E-12</v>
      </c>
      <c r="EM123" s="22">
        <f t="shared" si="73"/>
        <v>4.3586208069709543E-12</v>
      </c>
      <c r="EN123" s="62">
        <f t="shared" si="74"/>
        <v>293.33333333333769</v>
      </c>
      <c r="EO123" s="62">
        <f ca="1">AVERAGE(OFFSET($EN$3,0,0,'Données projet'!$E$15+1,1))-AVERAGE(OFFSET($H$3,0,0,'Données projet'!$E$15+1,1))</f>
        <v>301.18531163828169</v>
      </c>
      <c r="EP123" s="62">
        <f t="shared" si="100"/>
        <v>192.30530273268101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72.674009654151874</v>
      </c>
      <c r="EW123" s="23">
        <f>EXP(-LN(2)/25)*EW122+(1-EXP(-LN(2)/25))/(LN(2)/25)*Calculateur!ER123*Calculateur!ET123*VLOOKUP('Données projet'!$B$15,Paramètres!$A$1:$I$89,3,0)*0.475*44/12</f>
        <v>4.4681206782122445</v>
      </c>
      <c r="EX123" s="23">
        <f>EXP(-LN(2)/2)*EX122+(1-EXP(-LN(2)/2))/(LN(2)/2)*ER123*EU123*VLOOKUP('Données projet'!$B$15,Paramètres!$A$1:$I$89,3,0)*0.475*44/12</f>
        <v>5.8979812737110566E-8</v>
      </c>
      <c r="EY123" s="24">
        <f t="shared" si="75"/>
        <v>77.142130391343926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1.7053025658242404E-13</v>
      </c>
      <c r="FF123" s="18">
        <f>FE123*VLOOKUP('Données projet'!$B$16,Paramètres!$A$1:$I$89,3,0)*VLOOKUP('Données projet'!$B$16,Paramètres!$A$1:$I$89,5,0)</f>
        <v>1.3301360013429075E-13</v>
      </c>
      <c r="FG123" s="14">
        <f t="shared" si="101"/>
        <v>1.9329766731057041E-12</v>
      </c>
      <c r="FH123" s="22">
        <f t="shared" si="76"/>
        <v>3.5982663925596575E-12</v>
      </c>
      <c r="FI123" s="62">
        <f t="shared" si="77"/>
        <v>293.3333333333369</v>
      </c>
      <c r="FJ123" s="62">
        <f ca="1">AVERAGE(OFFSET($FI$3,0,0,'Données projet'!$E$16+1,1))-AVERAGE(OFFSET($H$3,0,0,'Données projet'!$E$16+1,1))</f>
        <v>249.2899297828755</v>
      </c>
      <c r="FK123" s="62">
        <f t="shared" si="102"/>
        <v>162.88011837476813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58.60807230173539</v>
      </c>
      <c r="FR123" s="23">
        <f>EXP(-LN(2)/25)*FR122+(1-EXP(-LN(2)/25))/(LN(2)/25)*Calculateur!FM123*Calculateur!FO123*VLOOKUP('Données projet'!$B$16,Paramètres!$A$1:$I$89,3,0)*0.475*44/12</f>
        <v>3.6033231275905151</v>
      </c>
      <c r="FS123" s="23">
        <f>EXP(-LN(2)/2)*FS122+(1-EXP(-LN(2)/2))/(LN(2)/2)*FM123*FP123*VLOOKUP('Données projet'!$B$16,Paramètres!$A$1:$I$89,3,0)*0.475*44/12</f>
        <v>4.7564365110572828E-8</v>
      </c>
      <c r="FT123" s="24">
        <f t="shared" si="78"/>
        <v>62.211395476890267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1.7053025658242404E-13</v>
      </c>
      <c r="GA123" s="18">
        <f>FZ123*VLOOKUP('Données projet'!$B$17,Paramètres!$A$1:$I$89,3,0)*VLOOKUP('Données projet'!$B$17,Paramètres!$A$1:$I$89,5,0)</f>
        <v>1.1439169611549005E-13</v>
      </c>
      <c r="GB123" s="14">
        <f t="shared" si="103"/>
        <v>1.6918016515029816E-12</v>
      </c>
      <c r="GC123" s="22">
        <f t="shared" si="79"/>
        <v>3.1457867471021712E-12</v>
      </c>
      <c r="GD123" s="62">
        <f t="shared" si="80"/>
        <v>293.33333333333644</v>
      </c>
      <c r="GE123" s="62">
        <f ca="1">AVERAGE(OFFSET($GD$3,0,0,'Données projet'!$E$17+1,1))-AVERAGE(OFFSET($H$3,0,0,'Données projet'!$E$17+1,1))</f>
        <v>218.89895999738746</v>
      </c>
      <c r="GF123" s="62">
        <f t="shared" si="104"/>
        <v>145.64042897395763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62.124556639839476</v>
      </c>
      <c r="GM123" s="23">
        <f>EXP(-LN(2)/25)*GM122+(1-EXP(-LN(2)/25))/(LN(2)/25)*Calculateur!GH123*Calculateur!GJ123*VLOOKUP('Données projet'!$B$17,Paramètres!$A$1:$I$89,3,0)*0.475*44/12</f>
        <v>3.8195225152459478</v>
      </c>
      <c r="GN123" s="23">
        <f>EXP(-LN(2)/2)*GN122+(1-EXP(-LN(2)/2))/(LN(2)/2)*GH123*GK123*VLOOKUP('Données projet'!$B$17,Paramètres!$A$1:$I$89,3,0)*0.475*44/12</f>
        <v>4.0905353995092816E-8</v>
      </c>
      <c r="GO123" s="23">
        <f t="shared" si="81"/>
        <v>65.944079195990767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1.7053025658242404E-13</v>
      </c>
      <c r="GV123" s="18">
        <f>GU123*VLOOKUP('Données projet'!$B$18,Paramètres!$A$1:$I$89,3,0)*VLOOKUP('Données projet'!$B$18,Paramètres!$A$1:$I$89,5,0)</f>
        <v>1.8355876818532125E-13</v>
      </c>
      <c r="GW123" s="14">
        <f t="shared" si="105"/>
        <v>2.5693529898865504E-12</v>
      </c>
      <c r="GX123" s="22">
        <f t="shared" si="82"/>
        <v>4.7946546453085093E-12</v>
      </c>
      <c r="GY123" s="62">
        <f t="shared" si="83"/>
        <v>293.33333333333809</v>
      </c>
      <c r="GZ123" s="62">
        <f ca="1">AVERAGE(OFFSET($GY$3,0,0,'Données projet'!$E$18+1,1))-AVERAGE(OFFSET($H$3,0,0,'Données projet'!$E$18+1,1))</f>
        <v>331.3579800635751</v>
      </c>
      <c r="HA123" s="62">
        <f t="shared" si="106"/>
        <v>209.40702003535273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80.87913977639478</v>
      </c>
      <c r="HH123" s="23">
        <f>EXP(-LN(2)/25)*HH122+(1-EXP(-LN(2)/25))/(LN(2)/25)*Calculateur!HC123*Calculateur!HE123*VLOOKUP('Données projet'!$B$18,Paramètres!$A$1:$I$89,3,0)*0.475*44/12</f>
        <v>4.9725859160749177</v>
      </c>
      <c r="HI123" s="23">
        <f>EXP(-LN(2)/2)*HI122+(1-EXP(-LN(2)/2))/(LN(2)/2)*HC123*HF123*VLOOKUP('Données projet'!$B$18,Paramètres!$A$1:$I$89,3,0)*0.475*44/12</f>
        <v>6.5638823852590519E-8</v>
      </c>
      <c r="HJ123" s="24">
        <f t="shared" si="84"/>
        <v>85.851725758108529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75.073571428571412</v>
      </c>
      <c r="N124" s="14">
        <f>IF('Données projet'!$A$36&gt;35,N123+M124-V123,IF(A124&lt;'Données projet'!$A$36,$K$205^A124,IF(A124='Données projet'!$A$36,'Données projet'!$B$36,N123+M124-V123)))</f>
        <v>2764.4057142857164</v>
      </c>
      <c r="O124" s="14">
        <f>N124*VLOOKUP('Données projet'!$B$9,Paramètres!$A$1:$I$89,3,0)*VLOOKUP('Données projet'!$B$9,Paramètres!$A$1:$I$89,5,0)</f>
        <v>2501.2342902857163</v>
      </c>
      <c r="P124" s="14">
        <f t="shared" si="87"/>
        <v>463.61904676203477</v>
      </c>
      <c r="Q124" s="22">
        <f t="shared" si="107"/>
        <v>5163.7862286914997</v>
      </c>
      <c r="R124" s="62">
        <f t="shared" si="55"/>
        <v>5457.1195620248327</v>
      </c>
      <c r="S124" s="62">
        <f ca="1">AVERAGE(OFFSET($R$3,0,0,'Données projet'!$E$9+1,1))-AVERAGE(OFFSET($H$3,0,0,'Données projet'!$E$9+1,1))</f>
        <v>2472.5049373954762</v>
      </c>
      <c r="T124" s="62">
        <f t="shared" si="88"/>
        <v>286.98388307318311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290.67988819749627</v>
      </c>
      <c r="AA124" s="23">
        <f>EXP(-LN(2)/25)*AA123+(1-EXP(-LN(2)/25))/(LN(2)/25)*Calculateur!V124*Calculateur!X124*VLOOKUP('Données projet'!$B$9,Paramètres!$A$1:$I$89,3,0)*0.475*44/12</f>
        <v>19.803729307757401</v>
      </c>
      <c r="AB124" s="23">
        <f>EXP(-LN(2)/2)*AB123+(1-EXP(-LN(2)/2))/(LN(2)/2)*V124*Y124*VLOOKUP('Données projet'!$B$9,Paramètres!$A$1:$I$89,3,0)*0.475*44/12</f>
        <v>0.8138897366940202</v>
      </c>
      <c r="AC124" s="24">
        <f t="shared" si="57"/>
        <v>311.2975072419477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75.073571428571412</v>
      </c>
      <c r="AI124" s="14">
        <f>IF('Données projet'!$A$62&gt;35,AI123+AH124-AQ123,IF(A124&lt;'Données projet'!$A$62,$AF$205^A124,IF(A124='Données projet'!$A$62,'Données projet'!$B$62,AI123+AH124-AQ123)))</f>
        <v>2764.4057142857164</v>
      </c>
      <c r="AJ124" s="14">
        <f>AI124*VLOOKUP('Données projet'!$B$10,Paramètres!$A$1:$I$89,3,0)*VLOOKUP('Données projet'!$B$10,Paramètres!$A$1:$I$89,5,0)</f>
        <v>2803.1073942857165</v>
      </c>
      <c r="AK124" s="14">
        <f t="shared" si="89"/>
        <v>512.72741165723028</v>
      </c>
      <c r="AL124" s="22">
        <f t="shared" si="58"/>
        <v>5775.0789536839657</v>
      </c>
      <c r="AM124" s="62">
        <f t="shared" si="59"/>
        <v>6068.4122870172987</v>
      </c>
      <c r="AN124" s="62">
        <f ca="1">AVERAGE(OFFSET($AM$3,0,0,'Données projet'!$E$10+1,1))-AVERAGE(OFFSET($H$3,0,0,'Données projet'!$E$10+1,1))</f>
        <v>2761.1400657295467</v>
      </c>
      <c r="AO124" s="62">
        <f t="shared" si="90"/>
        <v>316.41877504316409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325.76194366960789</v>
      </c>
      <c r="AV124" s="23">
        <f>EXP(-LN(2)/25)*AV123+(1-EXP(-LN(2)/25))/(LN(2)/25)*Calculateur!AQ124*Calculateur!AS124*VLOOKUP('Données projet'!$B$10,Paramètres!$A$1:$I$89,3,0)*0.475*44/12</f>
        <v>22.193834569038465</v>
      </c>
      <c r="AW124" s="23">
        <f>EXP(-LN(2)/2)*AW123+(1-EXP(-LN(2)/2))/(LN(2)/2)*AQ124*AT124*VLOOKUP('Données projet'!$B$10,Paramètres!$A$1:$I$89,3,0)*0.475*44/12</f>
        <v>0.91211780836398826</v>
      </c>
      <c r="AX124" s="23">
        <f t="shared" si="60"/>
        <v>348.86789604701033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75.073571428571412</v>
      </c>
      <c r="BD124" s="13">
        <f>IF('Données projet'!$A$88&gt;35,BD123+BC124-BL123,IF(A124&lt;'Données projet'!$A$88,$BA$205^A124,IF(A124='Données projet'!$A$88,'Données projet'!$B$88,BD123+BC124-BL123)))</f>
        <v>2764.4057142857164</v>
      </c>
      <c r="BE124" s="14">
        <f>BD124*VLOOKUP('Données projet'!$B$11,Paramètres!$A$1:$I$89,3,0)*VLOOKUP('Données projet'!$B$11,Paramètres!$A$1:$I$89,5,0)</f>
        <v>2889.3568525714309</v>
      </c>
      <c r="BF124" s="14">
        <f t="shared" si="91"/>
        <v>526.64260493157883</v>
      </c>
      <c r="BG124" s="22">
        <f t="shared" si="61"/>
        <v>5949.5323884844083</v>
      </c>
      <c r="BH124" s="62">
        <f t="shared" si="62"/>
        <v>6242.8657218177414</v>
      </c>
      <c r="BI124" s="62">
        <f ca="1">AVERAGE(OFFSET($BH$3,0,0,'Données projet'!$E$11+1,1))-AVERAGE(OFFSET($H$3,0,0,'Données projet'!$E$11+1,1))</f>
        <v>2843.5086223152098</v>
      </c>
      <c r="BJ124" s="62">
        <f t="shared" si="92"/>
        <v>324.81562437645522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335.78538809021114</v>
      </c>
      <c r="BQ124" s="23">
        <f>EXP(-LN(2)/25)*BQ123+(1-EXP(-LN(2)/25))/(LN(2)/25)*Calculateur!BL124*Calculateur!BN124*VLOOKUP('Données projet'!$B$11,Paramètres!$A$1:$I$89,3,0)*0.475*44/12</f>
        <v>22.876721786547336</v>
      </c>
      <c r="BR124" s="23">
        <f>EXP(-LN(2)/2)*BR123+(1-EXP(-LN(2)/2))/(LN(2)/2)*BL124*BO124*VLOOKUP('Données projet'!$B$11,Paramètres!$A$1:$I$89,3,0)*0.475*44/12</f>
        <v>0.94018297169826426</v>
      </c>
      <c r="BS124" s="24">
        <f t="shared" si="63"/>
        <v>359.60229284845673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75.073571428571412</v>
      </c>
      <c r="BY124" s="13">
        <f>IF('Données projet'!$A$114&gt;35,BY123+BX124-CG123,IF(A124&lt;'Données projet'!$A$114,$BV$205^A124,IF(A124='Données projet'!$A$114,'Données projet'!$B$114,BY123+BX124-CG123)))</f>
        <v>2764.4057142857164</v>
      </c>
      <c r="BZ124" s="14">
        <f>BY124*VLOOKUP('Données projet'!$B$12,Paramètres!$A$1:$I$89,3,0)*VLOOKUP('Données projet'!$B$12,Paramètres!$A$1:$I$89,5,0)</f>
        <v>2759.9826651428593</v>
      </c>
      <c r="CA124" s="14">
        <f t="shared" si="93"/>
        <v>505.75119730655626</v>
      </c>
      <c r="CB124" s="22">
        <f t="shared" si="64"/>
        <v>5687.8198104327321</v>
      </c>
      <c r="CC124" s="62">
        <f t="shared" si="65"/>
        <v>5981.1531437660651</v>
      </c>
      <c r="CD124" s="62">
        <f ca="1">AVERAGE(OFFSET($CC$3,0,0,'Données projet'!$E$12+1,1))-AVERAGE(OFFSET($H$3,0,0,'Données projet'!$E$12+1,1))</f>
        <v>2719.939926994799</v>
      </c>
      <c r="CE124" s="62">
        <f t="shared" si="94"/>
        <v>312.21824046329749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320.75022145930615</v>
      </c>
      <c r="CL124" s="23">
        <f>EXP(-LN(2)/25)*CL123+(1-EXP(-LN(2)/25))/(LN(2)/25)*Calculateur!CG124*Calculateur!CI124*VLOOKUP('Données projet'!$B$12,Paramètres!$A$1:$I$89,3,0)*0.475*44/12</f>
        <v>21.852390960284023</v>
      </c>
      <c r="CM124" s="23">
        <f>EXP(-LN(2)/2)*CM123+(1-EXP(-LN(2)/2))/(LN(2)/2)*CG124*CJ124*VLOOKUP('Données projet'!$B$12,Paramètres!$A$1:$I$89,3,0)*0.475*44/12</f>
        <v>0.89808522669684976</v>
      </c>
      <c r="CN124" s="24">
        <f t="shared" si="66"/>
        <v>343.50069764628699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1.1368683772161603E-12</v>
      </c>
      <c r="CU124" s="18">
        <f>CT124*VLOOKUP('Données projet'!$B$13,Paramètres!$A$1:$I$89,3,0)*VLOOKUP('Données projet'!$B$13,Paramètres!$A$1:$I$89,5,0)</f>
        <v>9.9316821433603771E-13</v>
      </c>
      <c r="CV124" s="14">
        <f t="shared" si="95"/>
        <v>1.1421454694498936E-11</v>
      </c>
      <c r="CW124" s="22">
        <f t="shared" si="67"/>
        <v>2.1622134899554243E-11</v>
      </c>
      <c r="CX124" s="62">
        <f t="shared" si="68"/>
        <v>293.33333333335491</v>
      </c>
      <c r="CY124" s="62">
        <f ca="1">AVERAGE(OFFSET($CX$3,0,0,'Données projet'!$E$13+1,1))-AVERAGE(OFFSET($H$3,0,0,'Données projet'!$E$13+1,1))</f>
        <v>1036.0130072090849</v>
      </c>
      <c r="CZ124" s="62">
        <f t="shared" si="96"/>
        <v>346.56593355696174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297.32581861449023</v>
      </c>
      <c r="DG124" s="23">
        <f>EXP(-LN(2)/25)*DG123+(1-EXP(-LN(2)/25))/(LN(2)/25)*Calculateur!DB124*Calculateur!DD124*VLOOKUP('Données projet'!$B$13,Paramètres!$A$1:$I$89,3,0)*0.475*44/12</f>
        <v>13.579129996585692</v>
      </c>
      <c r="DH124" s="23">
        <f>EXP(-LN(2)/2)*DH123+(1-EXP(-LN(2)/2))/(LN(2)/2)*DB124*DE124*VLOOKUP('Données projet'!$B$13,Paramètres!$A$1:$I$89,3,0)*0.475*44/12</f>
        <v>6.0944353465702743E-5</v>
      </c>
      <c r="DI124" s="24">
        <f t="shared" si="69"/>
        <v>310.90500955542944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6.8212102632969618E-13</v>
      </c>
      <c r="DP124" s="18">
        <f>DO124*VLOOKUP('Données projet'!$B$14,Paramètres!$A$1:$I$89,3,0)*VLOOKUP('Données projet'!$B$14,Paramètres!$A$1:$I$89,5,0)</f>
        <v>3.8130565371830017E-13</v>
      </c>
      <c r="DQ124" s="14">
        <f t="shared" si="97"/>
        <v>4.9019074112354236E-12</v>
      </c>
      <c r="DR124" s="22">
        <f t="shared" si="70"/>
        <v>9.2015960881277352E-12</v>
      </c>
      <c r="DS124" s="62">
        <f t="shared" si="71"/>
        <v>293.33333333334252</v>
      </c>
      <c r="DT124" s="62">
        <f ca="1">AVERAGE(OFFSET($DS$3,0,0,'Données projet'!$E$14+1,1))-AVERAGE(OFFSET($H$3,0,0,'Données projet'!$E$14+1,1))</f>
        <v>446.48069057792151</v>
      </c>
      <c r="DU124" s="62">
        <f t="shared" si="98"/>
        <v>561.75656782935948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55.172467948808752</v>
      </c>
      <c r="EB124" s="23">
        <f>EXP(-LN(2)/25)*EB123+(1-EXP(-LN(2)/25))/(LN(2)/25)*Calculateur!DW124*Calculateur!DY124*VLOOKUP('Données projet'!$B$14,Paramètres!$A$1:$I$89,3,0)*0.475*44/12</f>
        <v>14.933354366642087</v>
      </c>
      <c r="EC124" s="23">
        <f>EXP(-LN(2)/2)*EC123+(1-EXP(-LN(2)/2))/(LN(2)/2)*DW124*DZ124*VLOOKUP('Données projet'!$B$14,Paramètres!$A$1:$I$89,3,0)*0.475*44/12</f>
        <v>8.8366908008935149E-8</v>
      </c>
      <c r="ED124" s="24">
        <f t="shared" si="72"/>
        <v>70.10582240381774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1.7053025658242404E-13</v>
      </c>
      <c r="EK124" s="18">
        <f>EJ124*VLOOKUP('Données projet'!$B$15,Paramètres!$A$1:$I$89,3,0)*VLOOKUP('Données projet'!$B$15,Paramètres!$A$1:$I$89,5,0)</f>
        <v>1.6493686416652052E-13</v>
      </c>
      <c r="EL124" s="14">
        <f t="shared" si="99"/>
        <v>2.3376205369651282E-12</v>
      </c>
      <c r="EM124" s="22">
        <f t="shared" si="73"/>
        <v>4.3586208069709543E-12</v>
      </c>
      <c r="EN124" s="62">
        <f t="shared" si="74"/>
        <v>293.33333333333769</v>
      </c>
      <c r="EO124" s="62">
        <f ca="1">AVERAGE(OFFSET($EN$3,0,0,'Données projet'!$E$15+1,1))-AVERAGE(OFFSET($H$3,0,0,'Données projet'!$E$15+1,1))</f>
        <v>301.18531163828169</v>
      </c>
      <c r="EP124" s="62">
        <f t="shared" si="100"/>
        <v>192.30530273268101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71.24891665160294</v>
      </c>
      <c r="EW124" s="23">
        <f>EXP(-LN(2)/25)*EW123+(1-EXP(-LN(2)/25))/(LN(2)/25)*Calculateur!ER124*Calculateur!ET124*VLOOKUP('Données projet'!$B$15,Paramètres!$A$1:$I$89,3,0)*0.475*44/12</f>
        <v>4.3459396832982762</v>
      </c>
      <c r="EX124" s="23">
        <f>EXP(-LN(2)/2)*EX123+(1-EXP(-LN(2)/2))/(LN(2)/2)*ER124*EU124*VLOOKUP('Données projet'!$B$15,Paramètres!$A$1:$I$89,3,0)*0.475*44/12</f>
        <v>4.1705025539523591E-8</v>
      </c>
      <c r="EY124" s="24">
        <f t="shared" si="75"/>
        <v>75.594856376606231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1.7053025658242404E-13</v>
      </c>
      <c r="FF124" s="18">
        <f>FE124*VLOOKUP('Données projet'!$B$16,Paramètres!$A$1:$I$89,3,0)*VLOOKUP('Données projet'!$B$16,Paramètres!$A$1:$I$89,5,0)</f>
        <v>1.3301360013429075E-13</v>
      </c>
      <c r="FG124" s="14">
        <f t="shared" si="101"/>
        <v>1.9329766731057041E-12</v>
      </c>
      <c r="FH124" s="22">
        <f t="shared" si="76"/>
        <v>3.5982663925596575E-12</v>
      </c>
      <c r="FI124" s="62">
        <f t="shared" si="77"/>
        <v>293.3333333333369</v>
      </c>
      <c r="FJ124" s="62">
        <f ca="1">AVERAGE(OFFSET($FI$3,0,0,'Données projet'!$E$16+1,1))-AVERAGE(OFFSET($H$3,0,0,'Données projet'!$E$16+1,1))</f>
        <v>249.2899297828755</v>
      </c>
      <c r="FK124" s="62">
        <f t="shared" si="102"/>
        <v>162.88011837476813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57.458803751292699</v>
      </c>
      <c r="FR124" s="23">
        <f>EXP(-LN(2)/25)*FR123+(1-EXP(-LN(2)/25))/(LN(2)/25)*Calculateur!FM124*Calculateur!FO124*VLOOKUP('Données projet'!$B$16,Paramètres!$A$1:$I$89,3,0)*0.475*44/12</f>
        <v>3.5047900671760246</v>
      </c>
      <c r="FS124" s="23">
        <f>EXP(-LN(2)/2)*FS123+(1-EXP(-LN(2)/2))/(LN(2)/2)*FM124*FP124*VLOOKUP('Données projet'!$B$16,Paramètres!$A$1:$I$89,3,0)*0.475*44/12</f>
        <v>3.3633085112518875E-8</v>
      </c>
      <c r="FT124" s="24">
        <f t="shared" si="78"/>
        <v>60.963593852101809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1.7053025658242404E-13</v>
      </c>
      <c r="GA124" s="18">
        <f>FZ124*VLOOKUP('Données projet'!$B$17,Paramètres!$A$1:$I$89,3,0)*VLOOKUP('Données projet'!$B$17,Paramètres!$A$1:$I$89,5,0)</f>
        <v>1.1439169611549005E-13</v>
      </c>
      <c r="GB124" s="14">
        <f t="shared" si="103"/>
        <v>1.6918016515029816E-12</v>
      </c>
      <c r="GC124" s="22">
        <f t="shared" si="79"/>
        <v>3.1457867471021712E-12</v>
      </c>
      <c r="GD124" s="62">
        <f t="shared" si="80"/>
        <v>293.33333333333644</v>
      </c>
      <c r="GE124" s="62">
        <f ca="1">AVERAGE(OFFSET($GD$3,0,0,'Données projet'!$E$17+1,1))-AVERAGE(OFFSET($H$3,0,0,'Données projet'!$E$17+1,1))</f>
        <v>218.89895999738746</v>
      </c>
      <c r="GF124" s="62">
        <f t="shared" si="104"/>
        <v>145.64042897395763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60.906331976370225</v>
      </c>
      <c r="GM124" s="23">
        <f>EXP(-LN(2)/25)*GM123+(1-EXP(-LN(2)/25))/(LN(2)/25)*Calculateur!GH124*Calculateur!GJ124*VLOOKUP('Données projet'!$B$17,Paramètres!$A$1:$I$89,3,0)*0.475*44/12</f>
        <v>3.7150774712065879</v>
      </c>
      <c r="GN124" s="23">
        <f>EXP(-LN(2)/2)*GN123+(1-EXP(-LN(2)/2))/(LN(2)/2)*GH124*GK124*VLOOKUP('Données projet'!$B$17,Paramètres!$A$1:$I$89,3,0)*0.475*44/12</f>
        <v>2.8924453196766366E-8</v>
      </c>
      <c r="GO124" s="23">
        <f t="shared" si="81"/>
        <v>64.621409476501256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1.7053025658242404E-13</v>
      </c>
      <c r="GV124" s="18">
        <f>GU124*VLOOKUP('Données projet'!$B$18,Paramètres!$A$1:$I$89,3,0)*VLOOKUP('Données projet'!$B$18,Paramètres!$A$1:$I$89,5,0)</f>
        <v>1.8355876818532125E-13</v>
      </c>
      <c r="GW124" s="14">
        <f t="shared" si="105"/>
        <v>2.5693529898865504E-12</v>
      </c>
      <c r="GX124" s="22">
        <f t="shared" si="82"/>
        <v>4.7946546453085093E-12</v>
      </c>
      <c r="GY124" s="62">
        <f t="shared" si="83"/>
        <v>293.33333333333809</v>
      </c>
      <c r="GZ124" s="62">
        <f ca="1">AVERAGE(OFFSET($GY$3,0,0,'Données projet'!$E$18+1,1))-AVERAGE(OFFSET($H$3,0,0,'Données projet'!$E$18+1,1))</f>
        <v>331.3579800635751</v>
      </c>
      <c r="HA124" s="62">
        <f t="shared" si="106"/>
        <v>209.40702003535273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79.293149176783871</v>
      </c>
      <c r="HH124" s="23">
        <f>EXP(-LN(2)/25)*HH123+(1-EXP(-LN(2)/25))/(LN(2)/25)*Calculateur!HC124*Calculateur!HE124*VLOOKUP('Données projet'!$B$18,Paramètres!$A$1:$I$89,3,0)*0.475*44/12</f>
        <v>4.8366102927029209</v>
      </c>
      <c r="HI124" s="23">
        <f>EXP(-LN(2)/2)*HI123+(1-EXP(-LN(2)/2))/(LN(2)/2)*HC124*HF124*VLOOKUP('Données projet'!$B$18,Paramètres!$A$1:$I$89,3,0)*0.475*44/12</f>
        <v>4.6413657455276061E-8</v>
      </c>
      <c r="HJ124" s="24">
        <f t="shared" si="84"/>
        <v>84.129759515900446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75.073571428571412</v>
      </c>
      <c r="N125" s="14">
        <f>IF('Données projet'!$A$36&gt;35,N124+M125-V124,IF(A125&lt;'Données projet'!$A$36,$K$205^A125,IF(A125='Données projet'!$A$36,'Données projet'!$B$36,N124+M125-V124)))</f>
        <v>2839.4792857142879</v>
      </c>
      <c r="O125" s="14">
        <f>N125*VLOOKUP('Données projet'!$B$9,Paramètres!$A$1:$I$89,3,0)*VLOOKUP('Données projet'!$B$9,Paramètres!$A$1:$I$89,5,0)</f>
        <v>2569.1608577142879</v>
      </c>
      <c r="P125" s="14">
        <f t="shared" si="87"/>
        <v>474.7266959300062</v>
      </c>
      <c r="Q125" s="22">
        <f t="shared" si="107"/>
        <v>5301.4374892638125</v>
      </c>
      <c r="R125" s="62">
        <f t="shared" si="55"/>
        <v>5594.7708225971455</v>
      </c>
      <c r="S125" s="62">
        <f ca="1">AVERAGE(OFFSET($R$3,0,0,'Données projet'!$E$9+1,1))-AVERAGE(OFFSET($H$3,0,0,'Données projet'!$E$9+1,1))</f>
        <v>2472.5049373954762</v>
      </c>
      <c r="T125" s="62">
        <f t="shared" si="88"/>
        <v>286.98388307318311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284.97983288716853</v>
      </c>
      <c r="AA125" s="23">
        <f>EXP(-LN(2)/25)*AA124+(1-EXP(-LN(2)/25))/(LN(2)/25)*Calculateur!V125*Calculateur!X125*VLOOKUP('Données projet'!$B$9,Paramètres!$A$1:$I$89,3,0)*0.475*44/12</f>
        <v>19.262195288403912</v>
      </c>
      <c r="AB125" s="23">
        <f>EXP(-LN(2)/2)*AB124+(1-EXP(-LN(2)/2))/(LN(2)/2)*V125*Y125*VLOOKUP('Données projet'!$B$9,Paramètres!$A$1:$I$89,3,0)*0.475*44/12</f>
        <v>0.57550695195447532</v>
      </c>
      <c r="AC125" s="24">
        <f t="shared" si="57"/>
        <v>304.81753512752692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75.073571428571412</v>
      </c>
      <c r="AI125" s="14">
        <f>IF('Données projet'!$A$62&gt;35,AI124+AH125-AQ124,IF(A125&lt;'Données projet'!$A$62,$AF$205^A125,IF(A125='Données projet'!$A$62,'Données projet'!$B$62,AI124+AH125-AQ124)))</f>
        <v>2839.4792857142879</v>
      </c>
      <c r="AJ125" s="14">
        <f>AI125*VLOOKUP('Données projet'!$B$10,Paramètres!$A$1:$I$89,3,0)*VLOOKUP('Données projet'!$B$10,Paramètres!$A$1:$I$89,5,0)</f>
        <v>2879.2319957142881</v>
      </c>
      <c r="AK125" s="14">
        <f t="shared" si="89"/>
        <v>525.01162700012151</v>
      </c>
      <c r="AL125" s="22">
        <f t="shared" si="58"/>
        <v>5929.0576428942632</v>
      </c>
      <c r="AM125" s="62">
        <f t="shared" si="59"/>
        <v>6222.3909762275962</v>
      </c>
      <c r="AN125" s="62">
        <f ca="1">AVERAGE(OFFSET($AM$3,0,0,'Données projet'!$E$10+1,1))-AVERAGE(OFFSET($H$3,0,0,'Données projet'!$E$10+1,1))</f>
        <v>2761.1400657295467</v>
      </c>
      <c r="AO125" s="62">
        <f t="shared" si="90"/>
        <v>316.41877504316409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319.37395064941302</v>
      </c>
      <c r="AV125" s="23">
        <f>EXP(-LN(2)/25)*AV124+(1-EXP(-LN(2)/25))/(LN(2)/25)*Calculateur!AQ125*Calculateur!AS125*VLOOKUP('Données projet'!$B$10,Paramètres!$A$1:$I$89,3,0)*0.475*44/12</f>
        <v>21.586942995625073</v>
      </c>
      <c r="AW125" s="23">
        <f>EXP(-LN(2)/2)*AW124+(1-EXP(-LN(2)/2))/(LN(2)/2)*AQ125*AT125*VLOOKUP('Données projet'!$B$10,Paramètres!$A$1:$I$89,3,0)*0.475*44/12</f>
        <v>0.64496468753518799</v>
      </c>
      <c r="AX125" s="23">
        <f t="shared" si="60"/>
        <v>341.60585833257329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75.073571428571412</v>
      </c>
      <c r="BD125" s="13">
        <f>IF('Données projet'!$A$88&gt;35,BD124+BC125-BL124,IF(A125&lt;'Données projet'!$A$88,$BA$205^A125,IF(A125='Données projet'!$A$88,'Données projet'!$B$88,BD124+BC125-BL124)))</f>
        <v>2839.4792857142879</v>
      </c>
      <c r="BE125" s="14">
        <f>BD125*VLOOKUP('Données projet'!$B$11,Paramètres!$A$1:$I$89,3,0)*VLOOKUP('Données projet'!$B$11,Paramètres!$A$1:$I$89,5,0)</f>
        <v>2967.823749428574</v>
      </c>
      <c r="BF125" s="14">
        <f t="shared" si="91"/>
        <v>539.26020840007766</v>
      </c>
      <c r="BG125" s="22">
        <f t="shared" si="61"/>
        <v>6108.171226551568</v>
      </c>
      <c r="BH125" s="62">
        <f t="shared" si="62"/>
        <v>6401.504559884901</v>
      </c>
      <c r="BI125" s="62">
        <f ca="1">AVERAGE(OFFSET($BH$3,0,0,'Données projet'!$E$11+1,1))-AVERAGE(OFFSET($H$3,0,0,'Données projet'!$E$11+1,1))</f>
        <v>2843.5086223152098</v>
      </c>
      <c r="BJ125" s="62">
        <f t="shared" si="92"/>
        <v>324.81562437645522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329.20084143862562</v>
      </c>
      <c r="BQ125" s="23">
        <f>EXP(-LN(2)/25)*BQ124+(1-EXP(-LN(2)/25))/(LN(2)/25)*Calculateur!BL125*Calculateur!BN125*VLOOKUP('Données projet'!$B$11,Paramètres!$A$1:$I$89,3,0)*0.475*44/12</f>
        <v>22.251156626259686</v>
      </c>
      <c r="BR125" s="23">
        <f>EXP(-LN(2)/2)*BR124+(1-EXP(-LN(2)/2))/(LN(2)/2)*BL125*BO125*VLOOKUP('Données projet'!$B$11,Paramètres!$A$1:$I$89,3,0)*0.475*44/12</f>
        <v>0.66480975484396254</v>
      </c>
      <c r="BS125" s="24">
        <f t="shared" si="63"/>
        <v>352.11680781972927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75.073571428571412</v>
      </c>
      <c r="BY125" s="13">
        <f>IF('Données projet'!$A$114&gt;35,BY124+BX125-CG124,IF(A125&lt;'Données projet'!$A$114,$BV$205^A125,IF(A125='Données projet'!$A$114,'Données projet'!$B$114,BY124+BX125-CG124)))</f>
        <v>2839.4792857142879</v>
      </c>
      <c r="BZ125" s="14">
        <f>BY125*VLOOKUP('Données projet'!$B$12,Paramètres!$A$1:$I$89,3,0)*VLOOKUP('Données projet'!$B$12,Paramètres!$A$1:$I$89,5,0)</f>
        <v>2834.9361188571452</v>
      </c>
      <c r="CA125" s="14">
        <f t="shared" si="93"/>
        <v>517.86827253286026</v>
      </c>
      <c r="CB125" s="22">
        <f t="shared" si="64"/>
        <v>5839.4676483375924</v>
      </c>
      <c r="CC125" s="62">
        <f t="shared" si="65"/>
        <v>6132.8009816709255</v>
      </c>
      <c r="CD125" s="62">
        <f ca="1">AVERAGE(OFFSET($CC$3,0,0,'Données projet'!$E$12+1,1))-AVERAGE(OFFSET($H$3,0,0,'Données projet'!$E$12+1,1))</f>
        <v>2719.939926994799</v>
      </c>
      <c r="CE125" s="62">
        <f t="shared" si="94"/>
        <v>312.21824046329749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314.46050525480655</v>
      </c>
      <c r="CL125" s="23">
        <f>EXP(-LN(2)/25)*CL124+(1-EXP(-LN(2)/25))/(LN(2)/25)*Calculateur!CG125*Calculateur!CI125*VLOOKUP('Données projet'!$B$12,Paramètres!$A$1:$I$89,3,0)*0.475*44/12</f>
        <v>21.254836180307759</v>
      </c>
      <c r="CM125" s="23">
        <f>EXP(-LN(2)/2)*CM124+(1-EXP(-LN(2)/2))/(LN(2)/2)*CG125*CJ125*VLOOKUP('Données projet'!$B$12,Paramètres!$A$1:$I$89,3,0)*0.475*44/12</f>
        <v>0.63504215388080032</v>
      </c>
      <c r="CN125" s="24">
        <f t="shared" si="66"/>
        <v>336.3503835889951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1.1368683772161603E-12</v>
      </c>
      <c r="CU125" s="18">
        <f>CT125*VLOOKUP('Données projet'!$B$13,Paramètres!$A$1:$I$89,3,0)*VLOOKUP('Données projet'!$B$13,Paramètres!$A$1:$I$89,5,0)</f>
        <v>9.9316821433603771E-13</v>
      </c>
      <c r="CV125" s="14">
        <f t="shared" si="95"/>
        <v>1.1421454694498936E-11</v>
      </c>
      <c r="CW125" s="22">
        <f t="shared" si="67"/>
        <v>2.1622134899554243E-11</v>
      </c>
      <c r="CX125" s="62">
        <f t="shared" si="68"/>
        <v>293.33333333335491</v>
      </c>
      <c r="CY125" s="62">
        <f ca="1">AVERAGE(OFFSET($CX$3,0,0,'Données projet'!$E$13+1,1))-AVERAGE(OFFSET($H$3,0,0,'Données projet'!$E$13+1,1))</f>
        <v>1036.0130072090849</v>
      </c>
      <c r="CZ125" s="62">
        <f t="shared" si="96"/>
        <v>346.56593355696174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291.49544066230254</v>
      </c>
      <c r="DG125" s="23">
        <f>EXP(-LN(2)/25)*DG124+(1-EXP(-LN(2)/25))/(LN(2)/25)*Calculateur!DB125*Calculateur!DD125*VLOOKUP('Données projet'!$B$13,Paramètres!$A$1:$I$89,3,0)*0.475*44/12</f>
        <v>13.207807972733645</v>
      </c>
      <c r="DH125" s="23">
        <f>EXP(-LN(2)/2)*DH124+(1-EXP(-LN(2)/2))/(LN(2)/2)*DB125*DE125*VLOOKUP('Données projet'!$B$13,Paramètres!$A$1:$I$89,3,0)*0.475*44/12</f>
        <v>4.3094165610628284E-5</v>
      </c>
      <c r="DI125" s="24">
        <f t="shared" si="69"/>
        <v>304.70329172920179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6.8212102632969618E-13</v>
      </c>
      <c r="DP125" s="18">
        <f>DO125*VLOOKUP('Données projet'!$B$14,Paramètres!$A$1:$I$89,3,0)*VLOOKUP('Données projet'!$B$14,Paramètres!$A$1:$I$89,5,0)</f>
        <v>3.8130565371830017E-13</v>
      </c>
      <c r="DQ125" s="14">
        <f t="shared" si="97"/>
        <v>4.9019074112354236E-12</v>
      </c>
      <c r="DR125" s="22">
        <f t="shared" si="70"/>
        <v>9.2015960881277352E-12</v>
      </c>
      <c r="DS125" s="62">
        <f t="shared" si="71"/>
        <v>293.33333333334252</v>
      </c>
      <c r="DT125" s="62">
        <f ca="1">AVERAGE(OFFSET($DS$3,0,0,'Données projet'!$E$14+1,1))-AVERAGE(OFFSET($H$3,0,0,'Données projet'!$E$14+1,1))</f>
        <v>446.48069057792151</v>
      </c>
      <c r="DU125" s="62">
        <f t="shared" si="98"/>
        <v>561.75656782935948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54.09056950421521</v>
      </c>
      <c r="EB125" s="23">
        <f>EXP(-LN(2)/25)*EB124+(1-EXP(-LN(2)/25))/(LN(2)/25)*Calculateur!DW125*Calculateur!DY125*VLOOKUP('Données projet'!$B$14,Paramètres!$A$1:$I$89,3,0)*0.475*44/12</f>
        <v>14.525001006175284</v>
      </c>
      <c r="EC125" s="23">
        <f>EXP(-LN(2)/2)*EC124+(1-EXP(-LN(2)/2))/(LN(2)/2)*DW125*DZ125*VLOOKUP('Données projet'!$B$14,Paramètres!$A$1:$I$89,3,0)*0.475*44/12</f>
        <v>6.248483988560588E-8</v>
      </c>
      <c r="ED125" s="24">
        <f t="shared" si="72"/>
        <v>68.615570572875342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1.7053025658242404E-13</v>
      </c>
      <c r="EK125" s="18">
        <f>EJ125*VLOOKUP('Données projet'!$B$15,Paramètres!$A$1:$I$89,3,0)*VLOOKUP('Données projet'!$B$15,Paramètres!$A$1:$I$89,5,0)</f>
        <v>1.6493686416652052E-13</v>
      </c>
      <c r="EL125" s="14">
        <f t="shared" si="99"/>
        <v>2.3376205369651282E-12</v>
      </c>
      <c r="EM125" s="22">
        <f t="shared" si="73"/>
        <v>4.3586208069709543E-12</v>
      </c>
      <c r="EN125" s="62">
        <f t="shared" si="74"/>
        <v>293.33333333333769</v>
      </c>
      <c r="EO125" s="62">
        <f ca="1">AVERAGE(OFFSET($EN$3,0,0,'Données projet'!$E$15+1,1))-AVERAGE(OFFSET($H$3,0,0,'Données projet'!$E$15+1,1))</f>
        <v>301.18531163828169</v>
      </c>
      <c r="EP125" s="62">
        <f t="shared" si="100"/>
        <v>192.30530273268101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69.851768853613081</v>
      </c>
      <c r="EW125" s="23">
        <f>EXP(-LN(2)/25)*EW124+(1-EXP(-LN(2)/25))/(LN(2)/25)*Calculateur!ER125*Calculateur!ET125*VLOOKUP('Données projet'!$B$15,Paramètres!$A$1:$I$89,3,0)*0.475*44/12</f>
        <v>4.2270997341154493</v>
      </c>
      <c r="EX125" s="23">
        <f>EXP(-LN(2)/2)*EX124+(1-EXP(-LN(2)/2))/(LN(2)/2)*ER125*EU125*VLOOKUP('Données projet'!$B$15,Paramètres!$A$1:$I$89,3,0)*0.475*44/12</f>
        <v>2.9489906368555286E-8</v>
      </c>
      <c r="EY125" s="24">
        <f t="shared" si="75"/>
        <v>74.078868617218447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1.7053025658242404E-13</v>
      </c>
      <c r="FF125" s="18">
        <f>FE125*VLOOKUP('Données projet'!$B$16,Paramètres!$A$1:$I$89,3,0)*VLOOKUP('Données projet'!$B$16,Paramètres!$A$1:$I$89,5,0)</f>
        <v>1.3301360013429075E-13</v>
      </c>
      <c r="FG125" s="14">
        <f t="shared" si="101"/>
        <v>1.9329766731057041E-12</v>
      </c>
      <c r="FH125" s="22">
        <f t="shared" si="76"/>
        <v>3.5982663925596575E-12</v>
      </c>
      <c r="FI125" s="62">
        <f t="shared" si="77"/>
        <v>293.3333333333369</v>
      </c>
      <c r="FJ125" s="62">
        <f ca="1">AVERAGE(OFFSET($FI$3,0,0,'Données projet'!$E$16+1,1))-AVERAGE(OFFSET($H$3,0,0,'Données projet'!$E$16+1,1))</f>
        <v>249.2899297828755</v>
      </c>
      <c r="FK125" s="62">
        <f t="shared" si="102"/>
        <v>162.88011837476813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56.33207165613959</v>
      </c>
      <c r="FR125" s="23">
        <f>EXP(-LN(2)/25)*FR124+(1-EXP(-LN(2)/25))/(LN(2)/25)*Calculateur!FM125*Calculateur!FO125*VLOOKUP('Données projet'!$B$16,Paramètres!$A$1:$I$89,3,0)*0.475*44/12</f>
        <v>3.4089513984801969</v>
      </c>
      <c r="FS125" s="23">
        <f>EXP(-LN(2)/2)*FS124+(1-EXP(-LN(2)/2))/(LN(2)/2)*FM125*FP125*VLOOKUP('Données projet'!$B$16,Paramètres!$A$1:$I$89,3,0)*0.475*44/12</f>
        <v>2.3782182555286414E-8</v>
      </c>
      <c r="FT125" s="24">
        <f t="shared" si="78"/>
        <v>59.741023078401973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1.7053025658242404E-13</v>
      </c>
      <c r="GA125" s="18">
        <f>FZ125*VLOOKUP('Données projet'!$B$17,Paramètres!$A$1:$I$89,3,0)*VLOOKUP('Données projet'!$B$17,Paramètres!$A$1:$I$89,5,0)</f>
        <v>1.1439169611549005E-13</v>
      </c>
      <c r="GB125" s="14">
        <f t="shared" si="103"/>
        <v>1.6918016515029816E-12</v>
      </c>
      <c r="GC125" s="22">
        <f t="shared" si="79"/>
        <v>3.1457867471021712E-12</v>
      </c>
      <c r="GD125" s="62">
        <f t="shared" si="80"/>
        <v>293.33333333333644</v>
      </c>
      <c r="GE125" s="62">
        <f ca="1">AVERAGE(OFFSET($GD$3,0,0,'Données projet'!$E$17+1,1))-AVERAGE(OFFSET($H$3,0,0,'Données projet'!$E$17+1,1))</f>
        <v>218.89895999738746</v>
      </c>
      <c r="GF125" s="62">
        <f t="shared" si="104"/>
        <v>145.64042897395763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59.71199595550793</v>
      </c>
      <c r="GM125" s="23">
        <f>EXP(-LN(2)/25)*GM124+(1-EXP(-LN(2)/25))/(LN(2)/25)*Calculateur!GH125*Calculateur!GJ125*VLOOKUP('Données projet'!$B$17,Paramètres!$A$1:$I$89,3,0)*0.475*44/12</f>
        <v>3.6134884823890103</v>
      </c>
      <c r="GN125" s="23">
        <f>EXP(-LN(2)/2)*GN124+(1-EXP(-LN(2)/2))/(LN(2)/2)*GH125*GK125*VLOOKUP('Données projet'!$B$17,Paramètres!$A$1:$I$89,3,0)*0.475*44/12</f>
        <v>2.0452676997546411E-8</v>
      </c>
      <c r="GO125" s="23">
        <f t="shared" si="81"/>
        <v>63.325484458349614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1.7053025658242404E-13</v>
      </c>
      <c r="GV125" s="18">
        <f>GU125*VLOOKUP('Données projet'!$B$18,Paramètres!$A$1:$I$89,3,0)*VLOOKUP('Données projet'!$B$18,Paramètres!$A$1:$I$89,5,0)</f>
        <v>1.8355876818532125E-13</v>
      </c>
      <c r="GW125" s="14">
        <f t="shared" si="105"/>
        <v>2.5693529898865504E-12</v>
      </c>
      <c r="GX125" s="22">
        <f t="shared" si="82"/>
        <v>4.7946546453085093E-12</v>
      </c>
      <c r="GY125" s="62">
        <f t="shared" si="83"/>
        <v>293.33333333333809</v>
      </c>
      <c r="GZ125" s="62">
        <f ca="1">AVERAGE(OFFSET($GY$3,0,0,'Données projet'!$E$18+1,1))-AVERAGE(OFFSET($H$3,0,0,'Données projet'!$E$18+1,1))</f>
        <v>331.3579800635751</v>
      </c>
      <c r="HA125" s="62">
        <f t="shared" si="106"/>
        <v>209.40702003535273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77.73825888547259</v>
      </c>
      <c r="HH125" s="23">
        <f>EXP(-LN(2)/25)*HH124+(1-EXP(-LN(2)/25))/(LN(2)/25)*Calculateur!HC125*Calculateur!HE125*VLOOKUP('Données projet'!$B$18,Paramètres!$A$1:$I$89,3,0)*0.475*44/12</f>
        <v>4.7043529299026785</v>
      </c>
      <c r="HI125" s="23">
        <f>EXP(-LN(2)/2)*HI124+(1-EXP(-LN(2)/2))/(LN(2)/2)*HC125*HF125*VLOOKUP('Données projet'!$B$18,Paramètres!$A$1:$I$89,3,0)*0.475*44/12</f>
        <v>3.2819411926295259E-8</v>
      </c>
      <c r="HJ125" s="24">
        <f t="shared" si="84"/>
        <v>82.442611848194687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75.073571428571412</v>
      </c>
      <c r="N126" s="14">
        <f>IF('Données projet'!$A$36&gt;35,N125+M126-V125,IF(A126&lt;'Données projet'!$A$36,$K$205^A126,IF(A126='Données projet'!$A$36,'Données projet'!$B$36,N125+M126-V125)))</f>
        <v>2914.5528571428595</v>
      </c>
      <c r="O126" s="14">
        <f>N126*VLOOKUP('Données projet'!$B$9,Paramètres!$A$1:$I$89,3,0)*VLOOKUP('Données projet'!$B$9,Paramètres!$A$1:$I$89,5,0)</f>
        <v>2637.087425142859</v>
      </c>
      <c r="P126" s="14">
        <f t="shared" si="87"/>
        <v>485.80020939314596</v>
      </c>
      <c r="Q126" s="22">
        <f t="shared" si="107"/>
        <v>5439.0292968168751</v>
      </c>
      <c r="R126" s="62">
        <f t="shared" si="55"/>
        <v>5732.3626301502081</v>
      </c>
      <c r="S126" s="62">
        <f ca="1">AVERAGE(OFFSET($R$3,0,0,'Données projet'!$E$9+1,1))-AVERAGE(OFFSET($H$3,0,0,'Données projet'!$E$9+1,1))</f>
        <v>2472.5049373954762</v>
      </c>
      <c r="T126" s="62">
        <f t="shared" si="88"/>
        <v>286.98388307318311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279.39155218478584</v>
      </c>
      <c r="AA126" s="23">
        <f>EXP(-LN(2)/25)*AA125+(1-EXP(-LN(2)/25))/(LN(2)/25)*Calculateur!V126*Calculateur!X126*VLOOKUP('Données projet'!$B$9,Paramètres!$A$1:$I$89,3,0)*0.475*44/12</f>
        <v>18.735469545287682</v>
      </c>
      <c r="AB126" s="23">
        <f>EXP(-LN(2)/2)*AB125+(1-EXP(-LN(2)/2))/(LN(2)/2)*V126*Y126*VLOOKUP('Données projet'!$B$9,Paramètres!$A$1:$I$89,3,0)*0.475*44/12</f>
        <v>0.4069448683470101</v>
      </c>
      <c r="AC126" s="24">
        <f t="shared" si="57"/>
        <v>298.53396659842053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75.073571428571412</v>
      </c>
      <c r="AI126" s="14">
        <f>IF('Données projet'!$A$62&gt;35,AI125+AH126-AQ125,IF(A126&lt;'Données projet'!$A$62,$AF$205^A126,IF(A126='Données projet'!$A$62,'Données projet'!$B$62,AI125+AH126-AQ125)))</f>
        <v>2914.5528571428595</v>
      </c>
      <c r="AJ126" s="14">
        <f>AI126*VLOOKUP('Données projet'!$B$10,Paramètres!$A$1:$I$89,3,0)*VLOOKUP('Données projet'!$B$10,Paramètres!$A$1:$I$89,5,0)</f>
        <v>2955.3565971428598</v>
      </c>
      <c r="AK126" s="14">
        <f t="shared" si="89"/>
        <v>537.25809084918205</v>
      </c>
      <c r="AL126" s="22">
        <f t="shared" si="58"/>
        <v>6082.9705815861389</v>
      </c>
      <c r="AM126" s="62">
        <f t="shared" si="59"/>
        <v>6376.3039149194719</v>
      </c>
      <c r="AN126" s="62">
        <f ca="1">AVERAGE(OFFSET($AM$3,0,0,'Données projet'!$E$10+1,1))-AVERAGE(OFFSET($H$3,0,0,'Données projet'!$E$10+1,1))</f>
        <v>2761.1400657295467</v>
      </c>
      <c r="AO126" s="62">
        <f t="shared" si="90"/>
        <v>316.41877504316409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313.11122227605313</v>
      </c>
      <c r="AV126" s="23">
        <f>EXP(-LN(2)/25)*AV125+(1-EXP(-LN(2)/25))/(LN(2)/25)*Calculateur!AQ126*Calculateur!AS126*VLOOKUP('Données projet'!$B$10,Paramètres!$A$1:$I$89,3,0)*0.475*44/12</f>
        <v>20.996646904201711</v>
      </c>
      <c r="AW126" s="23">
        <f>EXP(-LN(2)/2)*AW125+(1-EXP(-LN(2)/2))/(LN(2)/2)*AQ126*AT126*VLOOKUP('Données projet'!$B$10,Paramètres!$A$1:$I$89,3,0)*0.475*44/12</f>
        <v>0.45605890418199418</v>
      </c>
      <c r="AX126" s="23">
        <f t="shared" si="60"/>
        <v>334.56392808443684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75.073571428571412</v>
      </c>
      <c r="BD126" s="13">
        <f>IF('Données projet'!$A$88&gt;35,BD125+BC126-BL125,IF(A126&lt;'Données projet'!$A$88,$BA$205^A126,IF(A126='Données projet'!$A$88,'Données projet'!$B$88,BD125+BC126-BL125)))</f>
        <v>2914.5528571428595</v>
      </c>
      <c r="BE126" s="14">
        <f>BD126*VLOOKUP('Données projet'!$B$11,Paramètres!$A$1:$I$89,3,0)*VLOOKUP('Données projet'!$B$11,Paramètres!$A$1:$I$89,5,0)</f>
        <v>3046.2906462857172</v>
      </c>
      <c r="BF126" s="14">
        <f t="shared" si="91"/>
        <v>551.83903581604056</v>
      </c>
      <c r="BG126" s="22">
        <f t="shared" si="61"/>
        <v>6266.7425296605606</v>
      </c>
      <c r="BH126" s="62">
        <f t="shared" si="62"/>
        <v>6560.0758629938937</v>
      </c>
      <c r="BI126" s="62">
        <f ca="1">AVERAGE(OFFSET($BH$3,0,0,'Données projet'!$E$11+1,1))-AVERAGE(OFFSET($H$3,0,0,'Données projet'!$E$11+1,1))</f>
        <v>2843.5086223152098</v>
      </c>
      <c r="BJ126" s="62">
        <f t="shared" si="92"/>
        <v>324.81562437645522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322.74541373070082</v>
      </c>
      <c r="BQ126" s="23">
        <f>EXP(-LN(2)/25)*BQ125+(1-EXP(-LN(2)/25))/(LN(2)/25)*Calculateur!BL126*Calculateur!BN126*VLOOKUP('Données projet'!$B$11,Paramètres!$A$1:$I$89,3,0)*0.475*44/12</f>
        <v>21.642697578177142</v>
      </c>
      <c r="BR126" s="23">
        <f>EXP(-LN(2)/2)*BR125+(1-EXP(-LN(2)/2))/(LN(2)/2)*BL126*BO126*VLOOKUP('Données projet'!$B$11,Paramètres!$A$1:$I$89,3,0)*0.475*44/12</f>
        <v>0.47009148584913213</v>
      </c>
      <c r="BS126" s="24">
        <f t="shared" si="63"/>
        <v>344.85820279472711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75.073571428571412</v>
      </c>
      <c r="BY126" s="13">
        <f>IF('Données projet'!$A$114&gt;35,BY125+BX126-CG125,IF(A126&lt;'Données projet'!$A$114,$BV$205^A126,IF(A126='Données projet'!$A$114,'Données projet'!$B$114,BY125+BX126-CG125)))</f>
        <v>2914.5528571428595</v>
      </c>
      <c r="BZ126" s="14">
        <f>BY126*VLOOKUP('Données projet'!$B$12,Paramètres!$A$1:$I$89,3,0)*VLOOKUP('Données projet'!$B$12,Paramètres!$A$1:$I$89,5,0)</f>
        <v>2909.889572571431</v>
      </c>
      <c r="CA126" s="14">
        <f t="shared" si="93"/>
        <v>529.9481099154857</v>
      </c>
      <c r="CB126" s="22">
        <f t="shared" si="64"/>
        <v>5991.0506303313787</v>
      </c>
      <c r="CC126" s="62">
        <f t="shared" si="65"/>
        <v>6284.3839636647117</v>
      </c>
      <c r="CD126" s="62">
        <f ca="1">AVERAGE(OFFSET($CC$3,0,0,'Données projet'!$E$12+1,1))-AVERAGE(OFFSET($H$3,0,0,'Données projet'!$E$12+1,1))</f>
        <v>2719.939926994799</v>
      </c>
      <c r="CE126" s="62">
        <f t="shared" si="94"/>
        <v>312.21824046329749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308.29412654872914</v>
      </c>
      <c r="CL126" s="23">
        <f>EXP(-LN(2)/25)*CL125+(1-EXP(-LN(2)/25))/(LN(2)/25)*Calculateur!CG126*Calculateur!CI126*VLOOKUP('Données projet'!$B$12,Paramètres!$A$1:$I$89,3,0)*0.475*44/12</f>
        <v>20.673621567213988</v>
      </c>
      <c r="CM126" s="23">
        <f>EXP(-LN(2)/2)*CM125+(1-EXP(-LN(2)/2))/(LN(2)/2)*CG126*CJ126*VLOOKUP('Données projet'!$B$12,Paramètres!$A$1:$I$89,3,0)*0.475*44/12</f>
        <v>0.44904261334842493</v>
      </c>
      <c r="CN126" s="24">
        <f t="shared" si="66"/>
        <v>329.41679072929156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1.1368683772161603E-12</v>
      </c>
      <c r="CU126" s="18">
        <f>CT126*VLOOKUP('Données projet'!$B$13,Paramètres!$A$1:$I$89,3,0)*VLOOKUP('Données projet'!$B$13,Paramètres!$A$1:$I$89,5,0)</f>
        <v>9.9316821433603771E-13</v>
      </c>
      <c r="CV126" s="14">
        <f t="shared" si="95"/>
        <v>1.1421454694498936E-11</v>
      </c>
      <c r="CW126" s="22">
        <f t="shared" si="67"/>
        <v>2.1622134899554243E-11</v>
      </c>
      <c r="CX126" s="62">
        <f t="shared" si="68"/>
        <v>293.33333333335491</v>
      </c>
      <c r="CY126" s="62">
        <f ca="1">AVERAGE(OFFSET($CX$3,0,0,'Données projet'!$E$13+1,1))-AVERAGE(OFFSET($H$3,0,0,'Données projet'!$E$13+1,1))</f>
        <v>1036.0130072090849</v>
      </c>
      <c r="CZ126" s="62">
        <f t="shared" si="96"/>
        <v>346.56593355696174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285.77939286557785</v>
      </c>
      <c r="DG126" s="23">
        <f>EXP(-LN(2)/25)*DG125+(1-EXP(-LN(2)/25))/(LN(2)/25)*Calculateur!DB126*Calculateur!DD126*VLOOKUP('Données projet'!$B$13,Paramètres!$A$1:$I$89,3,0)*0.475*44/12</f>
        <v>12.84663976915081</v>
      </c>
      <c r="DH126" s="23">
        <f>EXP(-LN(2)/2)*DH125+(1-EXP(-LN(2)/2))/(LN(2)/2)*DB126*DE126*VLOOKUP('Données projet'!$B$13,Paramètres!$A$1:$I$89,3,0)*0.475*44/12</f>
        <v>3.0472176732851378E-5</v>
      </c>
      <c r="DI126" s="24">
        <f t="shared" si="69"/>
        <v>298.62606310690535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6.8212102632969618E-13</v>
      </c>
      <c r="DP126" s="18">
        <f>DO126*VLOOKUP('Données projet'!$B$14,Paramètres!$A$1:$I$89,3,0)*VLOOKUP('Données projet'!$B$14,Paramètres!$A$1:$I$89,5,0)</f>
        <v>3.8130565371830017E-13</v>
      </c>
      <c r="DQ126" s="14">
        <f t="shared" si="97"/>
        <v>4.9019074112354236E-12</v>
      </c>
      <c r="DR126" s="22">
        <f t="shared" si="70"/>
        <v>9.2015960881277352E-12</v>
      </c>
      <c r="DS126" s="62">
        <f t="shared" si="71"/>
        <v>293.33333333334252</v>
      </c>
      <c r="DT126" s="62">
        <f ca="1">AVERAGE(OFFSET($DS$3,0,0,'Données projet'!$E$14+1,1))-AVERAGE(OFFSET($H$3,0,0,'Données projet'!$E$14+1,1))</f>
        <v>446.48069057792151</v>
      </c>
      <c r="DU126" s="62">
        <f t="shared" si="98"/>
        <v>561.75656782935948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53.029886428227258</v>
      </c>
      <c r="EB126" s="23">
        <f>EXP(-LN(2)/25)*EB125+(1-EXP(-LN(2)/25))/(LN(2)/25)*Calculateur!DW126*Calculateur!DY126*VLOOKUP('Données projet'!$B$14,Paramètres!$A$1:$I$89,3,0)*0.475*44/12</f>
        <v>14.127814089824815</v>
      </c>
      <c r="EC126" s="23">
        <f>EXP(-LN(2)/2)*EC125+(1-EXP(-LN(2)/2))/(LN(2)/2)*DW126*DZ126*VLOOKUP('Données projet'!$B$14,Paramètres!$A$1:$I$89,3,0)*0.475*44/12</f>
        <v>4.4183454004467574E-8</v>
      </c>
      <c r="ED126" s="24">
        <f t="shared" si="72"/>
        <v>67.157700562235519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1.7053025658242404E-13</v>
      </c>
      <c r="EK126" s="18">
        <f>EJ126*VLOOKUP('Données projet'!$B$15,Paramètres!$A$1:$I$89,3,0)*VLOOKUP('Données projet'!$B$15,Paramètres!$A$1:$I$89,5,0)</f>
        <v>1.6493686416652052E-13</v>
      </c>
      <c r="EL126" s="14">
        <f t="shared" si="99"/>
        <v>2.3376205369651282E-12</v>
      </c>
      <c r="EM126" s="22">
        <f t="shared" si="73"/>
        <v>4.3586208069709543E-12</v>
      </c>
      <c r="EN126" s="62">
        <f t="shared" si="74"/>
        <v>293.33333333333769</v>
      </c>
      <c r="EO126" s="62">
        <f ca="1">AVERAGE(OFFSET($EN$3,0,0,'Données projet'!$E$15+1,1))-AVERAGE(OFFSET($H$3,0,0,'Données projet'!$E$15+1,1))</f>
        <v>301.18531163828169</v>
      </c>
      <c r="EP126" s="62">
        <f t="shared" si="100"/>
        <v>192.30530273268101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68.482018271765796</v>
      </c>
      <c r="EW126" s="23">
        <f>EXP(-LN(2)/25)*EW125+(1-EXP(-LN(2)/25))/(LN(2)/25)*Calculateur!ER126*Calculateur!ET126*VLOOKUP('Données projet'!$B$15,Paramètres!$A$1:$I$89,3,0)*0.475*44/12</f>
        <v>4.1115094695925487</v>
      </c>
      <c r="EX126" s="23">
        <f>EXP(-LN(2)/2)*EX125+(1-EXP(-LN(2)/2))/(LN(2)/2)*ER126*EU126*VLOOKUP('Données projet'!$B$15,Paramètres!$A$1:$I$89,3,0)*0.475*44/12</f>
        <v>2.0852512769761799E-8</v>
      </c>
      <c r="EY126" s="24">
        <f t="shared" si="75"/>
        <v>72.593527762210854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1.7053025658242404E-13</v>
      </c>
      <c r="FF126" s="18">
        <f>FE126*VLOOKUP('Données projet'!$B$16,Paramètres!$A$1:$I$89,3,0)*VLOOKUP('Données projet'!$B$16,Paramètres!$A$1:$I$89,5,0)</f>
        <v>1.3301360013429075E-13</v>
      </c>
      <c r="FG126" s="14">
        <f t="shared" si="101"/>
        <v>1.9329766731057041E-12</v>
      </c>
      <c r="FH126" s="22">
        <f t="shared" si="76"/>
        <v>3.5982663925596575E-12</v>
      </c>
      <c r="FI126" s="62">
        <f t="shared" si="77"/>
        <v>293.3333333333369</v>
      </c>
      <c r="FJ126" s="62">
        <f ca="1">AVERAGE(OFFSET($FI$3,0,0,'Données projet'!$E$16+1,1))-AVERAGE(OFFSET($H$3,0,0,'Données projet'!$E$16+1,1))</f>
        <v>249.2899297828755</v>
      </c>
      <c r="FK126" s="62">
        <f t="shared" si="102"/>
        <v>162.88011837476813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55.22743409013372</v>
      </c>
      <c r="FR126" s="23">
        <f>EXP(-LN(2)/25)*FR125+(1-EXP(-LN(2)/25))/(LN(2)/25)*Calculateur!FM126*Calculateur!FO126*VLOOKUP('Données projet'!$B$16,Paramètres!$A$1:$I$89,3,0)*0.475*44/12</f>
        <v>3.3157334432197931</v>
      </c>
      <c r="FS126" s="23">
        <f>EXP(-LN(2)/2)*FS125+(1-EXP(-LN(2)/2))/(LN(2)/2)*FM126*FP126*VLOOKUP('Données projet'!$B$16,Paramètres!$A$1:$I$89,3,0)*0.475*44/12</f>
        <v>1.6816542556259438E-8</v>
      </c>
      <c r="FT126" s="24">
        <f t="shared" si="78"/>
        <v>58.543167550170054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1.7053025658242404E-13</v>
      </c>
      <c r="GA126" s="18">
        <f>FZ126*VLOOKUP('Données projet'!$B$17,Paramètres!$A$1:$I$89,3,0)*VLOOKUP('Données projet'!$B$17,Paramètres!$A$1:$I$89,5,0)</f>
        <v>1.1439169611549005E-13</v>
      </c>
      <c r="GB126" s="14">
        <f t="shared" si="103"/>
        <v>1.6918016515029816E-12</v>
      </c>
      <c r="GC126" s="22">
        <f t="shared" si="79"/>
        <v>3.1457867471021712E-12</v>
      </c>
      <c r="GD126" s="62">
        <f t="shared" si="80"/>
        <v>293.33333333333644</v>
      </c>
      <c r="GE126" s="62">
        <f ca="1">AVERAGE(OFFSET($GD$3,0,0,'Données projet'!$E$17+1,1))-AVERAGE(OFFSET($H$3,0,0,'Données projet'!$E$17+1,1))</f>
        <v>218.89895999738746</v>
      </c>
      <c r="GF126" s="62">
        <f t="shared" si="104"/>
        <v>145.64042897395763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58.541080135541705</v>
      </c>
      <c r="GM126" s="23">
        <f>EXP(-LN(2)/25)*GM125+(1-EXP(-LN(2)/25))/(LN(2)/25)*Calculateur!GH126*Calculateur!GJ126*VLOOKUP('Données projet'!$B$17,Paramètres!$A$1:$I$89,3,0)*0.475*44/12</f>
        <v>3.5146774498129822</v>
      </c>
      <c r="GN126" s="23">
        <f>EXP(-LN(2)/2)*GN125+(1-EXP(-LN(2)/2))/(LN(2)/2)*GH126*GK126*VLOOKUP('Données projet'!$B$17,Paramètres!$A$1:$I$89,3,0)*0.475*44/12</f>
        <v>1.4462226598383185E-8</v>
      </c>
      <c r="GO126" s="23">
        <f t="shared" si="81"/>
        <v>62.055757599816907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1.7053025658242404E-13</v>
      </c>
      <c r="GV126" s="18">
        <f>GU126*VLOOKUP('Données projet'!$B$18,Paramètres!$A$1:$I$89,3,0)*VLOOKUP('Données projet'!$B$18,Paramètres!$A$1:$I$89,5,0)</f>
        <v>1.8355876818532125E-13</v>
      </c>
      <c r="GW126" s="14">
        <f t="shared" si="105"/>
        <v>2.5693529898865504E-12</v>
      </c>
      <c r="GX126" s="22">
        <f t="shared" si="82"/>
        <v>4.7946546453085093E-12</v>
      </c>
      <c r="GY126" s="62">
        <f t="shared" si="83"/>
        <v>293.33333333333809</v>
      </c>
      <c r="GZ126" s="62">
        <f ca="1">AVERAGE(OFFSET($GY$3,0,0,'Données projet'!$E$18+1,1))-AVERAGE(OFFSET($H$3,0,0,'Données projet'!$E$18+1,1))</f>
        <v>331.3579800635751</v>
      </c>
      <c r="HA126" s="62">
        <f t="shared" si="106"/>
        <v>209.40702003535273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76.213859044384492</v>
      </c>
      <c r="HH126" s="23">
        <f>EXP(-LN(2)/25)*HH125+(1-EXP(-LN(2)/25))/(LN(2)/25)*Calculateur!HC126*Calculateur!HE126*VLOOKUP('Données projet'!$B$18,Paramètres!$A$1:$I$89,3,0)*0.475*44/12</f>
        <v>4.5757121516433212</v>
      </c>
      <c r="HI126" s="23">
        <f>EXP(-LN(2)/2)*HI125+(1-EXP(-LN(2)/2))/(LN(2)/2)*HC126*HF126*VLOOKUP('Données projet'!$B$18,Paramètres!$A$1:$I$89,3,0)*0.475*44/12</f>
        <v>2.3206828727638031E-8</v>
      </c>
      <c r="HJ126" s="24">
        <f t="shared" si="84"/>
        <v>80.789571219234631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75.073571428571412</v>
      </c>
      <c r="N127" s="14">
        <f>IF('Données projet'!$A$36&gt;35,N126+M127-V126,IF(A127&lt;'Données projet'!$A$36,$K$205^A127,IF(A127='Données projet'!$A$36,'Données projet'!$B$36,N126+M127-V126)))</f>
        <v>2989.626428571431</v>
      </c>
      <c r="O127" s="14">
        <f>N127*VLOOKUP('Données projet'!$B$9,Paramètres!$A$1:$I$89,3,0)*VLOOKUP('Données projet'!$B$9,Paramètres!$A$1:$I$89,5,0)</f>
        <v>2705.0139925714307</v>
      </c>
      <c r="P127" s="14">
        <f t="shared" si="87"/>
        <v>496.84056752174951</v>
      </c>
      <c r="Q127" s="22">
        <f t="shared" si="107"/>
        <v>5576.5633588289556</v>
      </c>
      <c r="R127" s="62">
        <f t="shared" si="55"/>
        <v>5869.8966921622887</v>
      </c>
      <c r="S127" s="62">
        <f ca="1">AVERAGE(OFFSET($R$3,0,0,'Données projet'!$E$9+1,1))-AVERAGE(OFFSET($H$3,0,0,'Données projet'!$E$9+1,1))</f>
        <v>2472.5049373954762</v>
      </c>
      <c r="T127" s="62">
        <f t="shared" si="88"/>
        <v>286.98388307318311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273.91285425846223</v>
      </c>
      <c r="AA127" s="23">
        <f>EXP(-LN(2)/25)*AA126+(1-EXP(-LN(2)/25))/(LN(2)/25)*Calculateur!V127*Calculateur!X127*VLOOKUP('Données projet'!$B$9,Paramètres!$A$1:$I$89,3,0)*0.475*44/12</f>
        <v>18.223147145316268</v>
      </c>
      <c r="AB127" s="23">
        <f>EXP(-LN(2)/2)*AB126+(1-EXP(-LN(2)/2))/(LN(2)/2)*V127*Y127*VLOOKUP('Données projet'!$B$9,Paramètres!$A$1:$I$89,3,0)*0.475*44/12</f>
        <v>0.28775347597723766</v>
      </c>
      <c r="AC127" s="24">
        <f t="shared" si="57"/>
        <v>292.42375487975573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75.073571428571412</v>
      </c>
      <c r="AI127" s="14">
        <f>IF('Données projet'!$A$62&gt;35,AI126+AH127-AQ126,IF(A127&lt;'Données projet'!$A$62,$AF$205^A127,IF(A127='Données projet'!$A$62,'Données projet'!$B$62,AI126+AH127-AQ126)))</f>
        <v>2989.626428571431</v>
      </c>
      <c r="AJ127" s="14">
        <f>AI127*VLOOKUP('Données projet'!$B$10,Paramètres!$A$1:$I$89,3,0)*VLOOKUP('Données projet'!$B$10,Paramètres!$A$1:$I$89,5,0)</f>
        <v>3031.4811985714309</v>
      </c>
      <c r="AK127" s="14">
        <f t="shared" si="89"/>
        <v>549.46788741941066</v>
      </c>
      <c r="AL127" s="22">
        <f t="shared" si="58"/>
        <v>6236.8196581007151</v>
      </c>
      <c r="AM127" s="62">
        <f t="shared" si="59"/>
        <v>6530.1529914340481</v>
      </c>
      <c r="AN127" s="62">
        <f ca="1">AVERAGE(OFFSET($AM$3,0,0,'Données projet'!$E$10+1,1))-AVERAGE(OFFSET($H$3,0,0,'Données projet'!$E$10+1,1))</f>
        <v>2761.1400657295467</v>
      </c>
      <c r="AO127" s="62">
        <f t="shared" si="90"/>
        <v>316.41877504316409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306.97130218620771</v>
      </c>
      <c r="AV127" s="23">
        <f>EXP(-LN(2)/25)*AV126+(1-EXP(-LN(2)/25))/(LN(2)/25)*Calculateur!AQ127*Calculateur!AS127*VLOOKUP('Données projet'!$B$10,Paramètres!$A$1:$I$89,3,0)*0.475*44/12</f>
        <v>20.422492490440643</v>
      </c>
      <c r="AW127" s="23">
        <f>EXP(-LN(2)/2)*AW126+(1-EXP(-LN(2)/2))/(LN(2)/2)*AQ127*AT127*VLOOKUP('Données projet'!$B$10,Paramètres!$A$1:$I$89,3,0)*0.475*44/12</f>
        <v>0.32248234376759405</v>
      </c>
      <c r="AX127" s="23">
        <f t="shared" si="60"/>
        <v>327.71627702041593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75.073571428571412</v>
      </c>
      <c r="BD127" s="13">
        <f>IF('Données projet'!$A$88&gt;35,BD126+BC127-BL126,IF(A127&lt;'Données projet'!$A$88,$BA$205^A127,IF(A127='Données projet'!$A$88,'Données projet'!$B$88,BD126+BC127-BL126)))</f>
        <v>2989.626428571431</v>
      </c>
      <c r="BE127" s="14">
        <f>BD127*VLOOKUP('Données projet'!$B$11,Paramètres!$A$1:$I$89,3,0)*VLOOKUP('Données projet'!$B$11,Paramètres!$A$1:$I$89,5,0)</f>
        <v>3124.75754314286</v>
      </c>
      <c r="BF127" s="14">
        <f t="shared" si="91"/>
        <v>564.38020081957768</v>
      </c>
      <c r="BG127" s="22">
        <f t="shared" si="61"/>
        <v>6425.2482374012461</v>
      </c>
      <c r="BH127" s="62">
        <f t="shared" si="62"/>
        <v>6718.5815707345791</v>
      </c>
      <c r="BI127" s="62">
        <f ca="1">AVERAGE(OFFSET($BH$3,0,0,'Données projet'!$E$11+1,1))-AVERAGE(OFFSET($H$3,0,0,'Données projet'!$E$11+1,1))</f>
        <v>2843.5086223152098</v>
      </c>
      <c r="BJ127" s="62">
        <f t="shared" si="92"/>
        <v>324.81562437645522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316.4165730227063</v>
      </c>
      <c r="BQ127" s="23">
        <f>EXP(-LN(2)/25)*BQ126+(1-EXP(-LN(2)/25))/(LN(2)/25)*Calculateur!BL127*Calculateur!BN127*VLOOKUP('Données projet'!$B$11,Paramètres!$A$1:$I$89,3,0)*0.475*44/12</f>
        <v>21.050876874761887</v>
      </c>
      <c r="BR127" s="23">
        <f>EXP(-LN(2)/2)*BR126+(1-EXP(-LN(2)/2))/(LN(2)/2)*BL127*BO127*VLOOKUP('Données projet'!$B$11,Paramètres!$A$1:$I$89,3,0)*0.475*44/12</f>
        <v>0.33240487742198127</v>
      </c>
      <c r="BS127" s="24">
        <f t="shared" si="63"/>
        <v>337.79985477489021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75.073571428571412</v>
      </c>
      <c r="BY127" s="13">
        <f>IF('Données projet'!$A$114&gt;35,BY126+BX127-CG126,IF(A127&lt;'Données projet'!$A$114,$BV$205^A127,IF(A127='Données projet'!$A$114,'Données projet'!$B$114,BY126+BX127-CG126)))</f>
        <v>2989.626428571431</v>
      </c>
      <c r="BZ127" s="14">
        <f>BY127*VLOOKUP('Données projet'!$B$12,Paramètres!$A$1:$I$89,3,0)*VLOOKUP('Données projet'!$B$12,Paramètres!$A$1:$I$89,5,0)</f>
        <v>2984.8430262857169</v>
      </c>
      <c r="CA127" s="14">
        <f t="shared" si="93"/>
        <v>541.99177891750674</v>
      </c>
      <c r="CB127" s="22">
        <f t="shared" si="64"/>
        <v>6142.5706190622805</v>
      </c>
      <c r="CC127" s="62">
        <f t="shared" si="65"/>
        <v>6435.9039523956135</v>
      </c>
      <c r="CD127" s="62">
        <f ca="1">AVERAGE(OFFSET($CC$3,0,0,'Données projet'!$E$12+1,1))-AVERAGE(OFFSET($H$3,0,0,'Données projet'!$E$12+1,1))</f>
        <v>2719.939926994799</v>
      </c>
      <c r="CE127" s="62">
        <f t="shared" si="94"/>
        <v>312.21824046329749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302.24866676795824</v>
      </c>
      <c r="CL127" s="23">
        <f>EXP(-LN(2)/25)*CL126+(1-EXP(-LN(2)/25))/(LN(2)/25)*Calculateur!CG127*Calculateur!CI127*VLOOKUP('Données projet'!$B$12,Paramètres!$A$1:$I$89,3,0)*0.475*44/12</f>
        <v>20.108300298280014</v>
      </c>
      <c r="CM127" s="23">
        <f>EXP(-LN(2)/2)*CM126+(1-EXP(-LN(2)/2))/(LN(2)/2)*CG127*CJ127*VLOOKUP('Données projet'!$B$12,Paramètres!$A$1:$I$89,3,0)*0.475*44/12</f>
        <v>0.31752107694040022</v>
      </c>
      <c r="CN127" s="24">
        <f t="shared" si="66"/>
        <v>322.67448814317868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1.1368683772161603E-12</v>
      </c>
      <c r="CU127" s="18">
        <f>CT127*VLOOKUP('Données projet'!$B$13,Paramètres!$A$1:$I$89,3,0)*VLOOKUP('Données projet'!$B$13,Paramètres!$A$1:$I$89,5,0)</f>
        <v>9.9316821433603771E-13</v>
      </c>
      <c r="CV127" s="14">
        <f t="shared" si="95"/>
        <v>1.1421454694498936E-11</v>
      </c>
      <c r="CW127" s="22">
        <f t="shared" si="67"/>
        <v>2.1622134899554243E-11</v>
      </c>
      <c r="CX127" s="62">
        <f t="shared" si="68"/>
        <v>293.33333333335491</v>
      </c>
      <c r="CY127" s="62">
        <f ca="1">AVERAGE(OFFSET($CX$3,0,0,'Données projet'!$E$13+1,1))-AVERAGE(OFFSET($H$3,0,0,'Données projet'!$E$13+1,1))</f>
        <v>1036.0130072090849</v>
      </c>
      <c r="CZ127" s="62">
        <f t="shared" si="96"/>
        <v>346.56593355696174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280.17543327970202</v>
      </c>
      <c r="DG127" s="23">
        <f>EXP(-LN(2)/25)*DG126+(1-EXP(-LN(2)/25))/(LN(2)/25)*Calculateur!DB127*Calculateur!DD127*VLOOKUP('Données projet'!$B$13,Paramètres!$A$1:$I$89,3,0)*0.475*44/12</f>
        <v>12.495347729087957</v>
      </c>
      <c r="DH127" s="23">
        <f>EXP(-LN(2)/2)*DH126+(1-EXP(-LN(2)/2))/(LN(2)/2)*DB127*DE127*VLOOKUP('Données projet'!$B$13,Paramètres!$A$1:$I$89,3,0)*0.475*44/12</f>
        <v>2.1547082805314145E-5</v>
      </c>
      <c r="DI127" s="24">
        <f t="shared" si="69"/>
        <v>292.67080255587274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6.8212102632969618E-13</v>
      </c>
      <c r="DP127" s="18">
        <f>DO127*VLOOKUP('Données projet'!$B$14,Paramètres!$A$1:$I$89,3,0)*VLOOKUP('Données projet'!$B$14,Paramètres!$A$1:$I$89,5,0)</f>
        <v>3.8130565371830017E-13</v>
      </c>
      <c r="DQ127" s="14">
        <f t="shared" si="97"/>
        <v>4.9019074112354236E-12</v>
      </c>
      <c r="DR127" s="22">
        <f t="shared" si="70"/>
        <v>9.2015960881277352E-12</v>
      </c>
      <c r="DS127" s="62">
        <f t="shared" si="71"/>
        <v>293.33333333334252</v>
      </c>
      <c r="DT127" s="62">
        <f ca="1">AVERAGE(OFFSET($DS$3,0,0,'Données projet'!$E$14+1,1))-AVERAGE(OFFSET($H$3,0,0,'Données projet'!$E$14+1,1))</f>
        <v>446.48069057792151</v>
      </c>
      <c r="DU127" s="62">
        <f t="shared" si="98"/>
        <v>561.75656782935948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51.990002700406635</v>
      </c>
      <c r="EB127" s="23">
        <f>EXP(-LN(2)/25)*EB126+(1-EXP(-LN(2)/25))/(LN(2)/25)*Calculateur!DW127*Calculateur!DY127*VLOOKUP('Données projet'!$B$14,Paramètres!$A$1:$I$89,3,0)*0.475*44/12</f>
        <v>13.741488270589102</v>
      </c>
      <c r="EC127" s="23">
        <f>EXP(-LN(2)/2)*EC126+(1-EXP(-LN(2)/2))/(LN(2)/2)*DW127*DZ127*VLOOKUP('Données projet'!$B$14,Paramètres!$A$1:$I$89,3,0)*0.475*44/12</f>
        <v>3.124241994280294E-8</v>
      </c>
      <c r="ED127" s="24">
        <f t="shared" si="72"/>
        <v>65.731491002238158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1.7053025658242404E-13</v>
      </c>
      <c r="EK127" s="18">
        <f>EJ127*VLOOKUP('Données projet'!$B$15,Paramètres!$A$1:$I$89,3,0)*VLOOKUP('Données projet'!$B$15,Paramètres!$A$1:$I$89,5,0)</f>
        <v>1.6493686416652052E-13</v>
      </c>
      <c r="EL127" s="14">
        <f t="shared" si="99"/>
        <v>2.3376205369651282E-12</v>
      </c>
      <c r="EM127" s="22">
        <f t="shared" si="73"/>
        <v>4.3586208069709543E-12</v>
      </c>
      <c r="EN127" s="62">
        <f t="shared" si="74"/>
        <v>293.33333333333769</v>
      </c>
      <c r="EO127" s="62">
        <f ca="1">AVERAGE(OFFSET($EN$3,0,0,'Données projet'!$E$15+1,1))-AVERAGE(OFFSET($H$3,0,0,'Données projet'!$E$15+1,1))</f>
        <v>301.18531163828169</v>
      </c>
      <c r="EP127" s="62">
        <f t="shared" si="100"/>
        <v>192.30530273268101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67.139127663363183</v>
      </c>
      <c r="EW127" s="23">
        <f>EXP(-LN(2)/25)*EW126+(1-EXP(-LN(2)/25))/(LN(2)/25)*Calculateur!ER127*Calculateur!ET127*VLOOKUP('Données projet'!$B$15,Paramètres!$A$1:$I$89,3,0)*0.475*44/12</f>
        <v>3.9990800269316544</v>
      </c>
      <c r="EX127" s="23">
        <f>EXP(-LN(2)/2)*EX126+(1-EXP(-LN(2)/2))/(LN(2)/2)*ER127*EU127*VLOOKUP('Données projet'!$B$15,Paramètres!$A$1:$I$89,3,0)*0.475*44/12</f>
        <v>1.4744953184277645E-8</v>
      </c>
      <c r="EY127" s="24">
        <f t="shared" si="75"/>
        <v>71.13820770503979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1.7053025658242404E-13</v>
      </c>
      <c r="FF127" s="18">
        <f>FE127*VLOOKUP('Données projet'!$B$16,Paramètres!$A$1:$I$89,3,0)*VLOOKUP('Données projet'!$B$16,Paramètres!$A$1:$I$89,5,0)</f>
        <v>1.3301360013429075E-13</v>
      </c>
      <c r="FG127" s="14">
        <f t="shared" si="101"/>
        <v>1.9329766731057041E-12</v>
      </c>
      <c r="FH127" s="22">
        <f t="shared" si="76"/>
        <v>3.5982663925596575E-12</v>
      </c>
      <c r="FI127" s="62">
        <f t="shared" si="77"/>
        <v>293.3333333333369</v>
      </c>
      <c r="FJ127" s="62">
        <f ca="1">AVERAGE(OFFSET($FI$3,0,0,'Données projet'!$E$16+1,1))-AVERAGE(OFFSET($H$3,0,0,'Données projet'!$E$16+1,1))</f>
        <v>249.2899297828755</v>
      </c>
      <c r="FK127" s="62">
        <f t="shared" si="102"/>
        <v>162.88011837476813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54.144457793034832</v>
      </c>
      <c r="FR127" s="23">
        <f>EXP(-LN(2)/25)*FR126+(1-EXP(-LN(2)/25))/(LN(2)/25)*Calculateur!FM127*Calculateur!FO127*VLOOKUP('Données projet'!$B$16,Paramètres!$A$1:$I$89,3,0)*0.475*44/12</f>
        <v>3.2250645378481044</v>
      </c>
      <c r="FS127" s="23">
        <f>EXP(-LN(2)/2)*FS126+(1-EXP(-LN(2)/2))/(LN(2)/2)*FM127*FP127*VLOOKUP('Données projet'!$B$16,Paramètres!$A$1:$I$89,3,0)*0.475*44/12</f>
        <v>1.1891091277643207E-8</v>
      </c>
      <c r="FT127" s="24">
        <f t="shared" si="78"/>
        <v>57.369522342774026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1.7053025658242404E-13</v>
      </c>
      <c r="GA127" s="18">
        <f>FZ127*VLOOKUP('Données projet'!$B$17,Paramètres!$A$1:$I$89,3,0)*VLOOKUP('Données projet'!$B$17,Paramètres!$A$1:$I$89,5,0)</f>
        <v>1.1439169611549005E-13</v>
      </c>
      <c r="GB127" s="14">
        <f t="shared" si="103"/>
        <v>1.6918016515029816E-12</v>
      </c>
      <c r="GC127" s="22">
        <f t="shared" si="79"/>
        <v>3.1457867471021712E-12</v>
      </c>
      <c r="GD127" s="62">
        <f t="shared" si="80"/>
        <v>293.33333333333644</v>
      </c>
      <c r="GE127" s="62">
        <f ca="1">AVERAGE(OFFSET($GD$3,0,0,'Données projet'!$E$17+1,1))-AVERAGE(OFFSET($H$3,0,0,'Données projet'!$E$17+1,1))</f>
        <v>218.89895999738746</v>
      </c>
      <c r="GF127" s="62">
        <f t="shared" si="104"/>
        <v>145.64042897395763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57.393125260616884</v>
      </c>
      <c r="GM127" s="23">
        <f>EXP(-LN(2)/25)*GM126+(1-EXP(-LN(2)/25))/(LN(2)/25)*Calculateur!GH127*Calculateur!GJ127*VLOOKUP('Données projet'!$B$17,Paramètres!$A$1:$I$89,3,0)*0.475*44/12</f>
        <v>3.4185684101189922</v>
      </c>
      <c r="GN127" s="23">
        <f>EXP(-LN(2)/2)*GN126+(1-EXP(-LN(2)/2))/(LN(2)/2)*GH127*GK127*VLOOKUP('Données projet'!$B$17,Paramètres!$A$1:$I$89,3,0)*0.475*44/12</f>
        <v>1.0226338498773207E-8</v>
      </c>
      <c r="GO127" s="23">
        <f t="shared" si="81"/>
        <v>60.811693680962215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1.7053025658242404E-13</v>
      </c>
      <c r="GV127" s="18">
        <f>GU127*VLOOKUP('Données projet'!$B$18,Paramètres!$A$1:$I$89,3,0)*VLOOKUP('Données projet'!$B$18,Paramètres!$A$1:$I$89,5,0)</f>
        <v>1.8355876818532125E-13</v>
      </c>
      <c r="GW127" s="14">
        <f t="shared" si="105"/>
        <v>2.5693529898865504E-12</v>
      </c>
      <c r="GX127" s="22">
        <f t="shared" si="82"/>
        <v>4.7946546453085093E-12</v>
      </c>
      <c r="GY127" s="62">
        <f t="shared" si="83"/>
        <v>293.33333333333809</v>
      </c>
      <c r="GZ127" s="62">
        <f ca="1">AVERAGE(OFFSET($GY$3,0,0,'Données projet'!$E$18+1,1))-AVERAGE(OFFSET($H$3,0,0,'Données projet'!$E$18+1,1))</f>
        <v>331.3579800635751</v>
      </c>
      <c r="HA127" s="62">
        <f t="shared" si="106"/>
        <v>209.40702003535273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74.719351754388029</v>
      </c>
      <c r="HH127" s="23">
        <f>EXP(-LN(2)/25)*HH126+(1-EXP(-LN(2)/25))/(LN(2)/25)*Calculateur!HC127*Calculateur!HE127*VLOOKUP('Données projet'!$B$18,Paramètres!$A$1:$I$89,3,0)*0.475*44/12</f>
        <v>4.4505890622303905</v>
      </c>
      <c r="HI127" s="23">
        <f>EXP(-LN(2)/2)*HI126+(1-EXP(-LN(2)/2))/(LN(2)/2)*HC127*HF127*VLOOKUP('Données projet'!$B$18,Paramètres!$A$1:$I$89,3,0)*0.475*44/12</f>
        <v>1.640970596314763E-8</v>
      </c>
      <c r="HJ127" s="24">
        <f t="shared" si="84"/>
        <v>79.169940833028122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3064.7</v>
      </c>
      <c r="L128" s="13">
        <f>VLOOKUP(A128,'Données projet'!$A$35:$I$55,9,0)</f>
        <v>75.073571428571412</v>
      </c>
      <c r="M128" s="13">
        <f t="array" ref="M128">INDEX(L:L,MIN(IF(ISNUMBER(L128:L324),ROW(L128:L324),"")))</f>
        <v>75.073571428571412</v>
      </c>
      <c r="N128" s="14">
        <f>IF('Données projet'!$A$36&gt;35,N127+M128-V127,IF(A128&lt;'Données projet'!$A$36,$K$205^A128,IF(A128='Données projet'!$A$36,'Données projet'!$B$36,N127+M128-V127)))</f>
        <v>3064.7000000000025</v>
      </c>
      <c r="O128" s="14">
        <f>N128*VLOOKUP('Données projet'!$B$9,Paramètres!$A$1:$I$89,3,0)*VLOOKUP('Données projet'!$B$9,Paramètres!$A$1:$I$89,5,0)</f>
        <v>2772.9405600000023</v>
      </c>
      <c r="P128" s="14">
        <f t="shared" si="87"/>
        <v>507.84869864325623</v>
      </c>
      <c r="Q128" s="22">
        <f t="shared" si="107"/>
        <v>5714.041292137008</v>
      </c>
      <c r="R128" s="62">
        <f t="shared" si="55"/>
        <v>6007.374625470341</v>
      </c>
      <c r="S128" s="62">
        <f ca="1">AVERAGE(OFFSET($R$3,0,0,'Données projet'!$E$9+1,1))-AVERAGE(OFFSET($H$3,0,0,'Données projet'!$E$9+1,1))</f>
        <v>2472.5049373954762</v>
      </c>
      <c r="T128" s="62">
        <f t="shared" si="88"/>
        <v>286.98388307318311</v>
      </c>
      <c r="U128" s="16">
        <f>IF(ISNA(VLOOKUP(A128,'Données projet'!$A$35:$I$55,3,0)),0,VLOOKUP(A128,'Données projet'!$A$35:$I$55,3,0))</f>
        <v>8</v>
      </c>
      <c r="V128" s="16">
        <f>IF(ISNA(VLOOKUP(A128,'Données projet'!$A$35:$I$55,4,0)),0,VLOOKUP(A128,'Données projet'!$A$35:$I$55,4,0))</f>
        <v>612.94000000000005</v>
      </c>
      <c r="W128" s="17">
        <f>IF(ISNA(VLOOKUP(A128,'Données projet'!$A$35:$I$55,5,0)),0%,VLOOKUP(A128,'Données projet'!$A$35:$I$55,5,0)*VLOOKUP('Données projet'!$B$9,Paramètres!$A$1:$I$89,7,0))</f>
        <v>0.34400000000000003</v>
      </c>
      <c r="X128" s="17">
        <f>IF(ISNA(VLOOKUP(A128,'Données projet'!$A$35:$I$55,6,0)),0%,VLOOKUP(A128,'Données projet'!$A$35:$I$55,6,0)*VLOOKUP('Données projet'!$B$9,Paramètres!$A$1:$I$89,7,0))</f>
        <v>1.72E-2</v>
      </c>
      <c r="Y128" s="17">
        <f>IF(ISNA(VLOOKUP(A128,'Données projet'!$A$35:$I$55,7,0)),0%,VLOOKUP(A128,'Données projet'!$A$35:$I$55,7,0))</f>
        <v>0.06</v>
      </c>
      <c r="Z128" s="23">
        <f>EXP(-LN(2)/35)*Z127+(1-EXP(-LN(2)/35))/(LN(2)/35)*V128*W128*VLOOKUP('Données projet'!$B$9,Paramètres!$A$1:$I$89,3,0)*0.475*44/12</f>
        <v>479.4413616028412</v>
      </c>
      <c r="AA128" s="23">
        <f>EXP(-LN(2)/25)*AA127+(1-EXP(-LN(2)/25))/(LN(2)/25)*Calculateur!V128*Calculateur!X128*VLOOKUP('Données projet'!$B$9,Paramètres!$A$1:$I$89,3,0)*0.475*44/12</f>
        <v>28.228303157670979</v>
      </c>
      <c r="AB128" s="23">
        <f>EXP(-LN(2)/2)*AB127+(1-EXP(-LN(2)/2))/(LN(2)/2)*V128*Y128*VLOOKUP('Données projet'!$B$9,Paramètres!$A$1:$I$89,3,0)*0.475*44/12</f>
        <v>31.599601045704748</v>
      </c>
      <c r="AC128" s="24">
        <f t="shared" si="57"/>
        <v>539.26926580621694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3064.7</v>
      </c>
      <c r="AG128" s="13">
        <f>VLOOKUP(A128,'Données projet'!$A$61:$I$81,9,0)</f>
        <v>75.073571428571412</v>
      </c>
      <c r="AH128" s="13">
        <f t="array" ref="AH128">INDEX(AG:AG,MIN(IF(ISNUMBER(AG128:AG324),ROW(AG128:AG324),"")))</f>
        <v>75.073571428571412</v>
      </c>
      <c r="AI128" s="14">
        <f>IF('Données projet'!$A$62&gt;35,AI127+AH128-AQ127,IF(A128&lt;'Données projet'!$A$62,$AF$205^A128,IF(A128='Données projet'!$A$62,'Données projet'!$B$62,AI127+AH128-AQ127)))</f>
        <v>3064.7000000000025</v>
      </c>
      <c r="AJ128" s="14">
        <f>AI128*VLOOKUP('Données projet'!$B$10,Paramètres!$A$1:$I$89,3,0)*VLOOKUP('Données projet'!$B$10,Paramètres!$A$1:$I$89,5,0)</f>
        <v>3107.6058000000025</v>
      </c>
      <c r="AK128" s="14">
        <f t="shared" si="89"/>
        <v>561.64204337036449</v>
      </c>
      <c r="AL128" s="22">
        <f t="shared" si="58"/>
        <v>6390.6066605367232</v>
      </c>
      <c r="AM128" s="62">
        <f t="shared" si="59"/>
        <v>6683.9399938700562</v>
      </c>
      <c r="AN128" s="62">
        <f ca="1">AVERAGE(OFFSET($AM$3,0,0,'Données projet'!$E$10+1,1))-AVERAGE(OFFSET($H$3,0,0,'Données projet'!$E$10+1,1))</f>
        <v>2761.1400657295467</v>
      </c>
      <c r="AO128" s="62">
        <f t="shared" si="90"/>
        <v>316.41877504316409</v>
      </c>
      <c r="AP128" s="16">
        <f>IF(ISNA(VLOOKUP(A128,'Données projet'!$A$61:$I$81,3,0)),0,VLOOKUP(A128,'Données projet'!$A$61:$I$81,3,0))</f>
        <v>8</v>
      </c>
      <c r="AQ128" s="16">
        <f>IF(ISNA(VLOOKUP(A128,'Données projet'!$A$61:$I$81,4,0)),0,VLOOKUP(A128,'Données projet'!$A$61:$I$81,4,0))</f>
        <v>612.94000000000005</v>
      </c>
      <c r="AR128" s="17">
        <f>IF(ISNA(VLOOKUP(A128,'Données projet'!$A$61:$I$81,5,0)),0%,VLOOKUP(A128,'Données projet'!$A$61:$I$81,5,0)*VLOOKUP('Données projet'!$B$10,Paramètres!$A$1:$I$89,7,0))</f>
        <v>0.34400000000000003</v>
      </c>
      <c r="AS128" s="17">
        <f>IF(ISNA(VLOOKUP(A128,'Données projet'!$A$61:$I$81,6,0)),0%,VLOOKUP(A128,'Données projet'!$A$61:$I$81,6,0)*VLOOKUP('Données projet'!$B$10,Paramètres!$A$1:$I$89,7,0))</f>
        <v>1.72E-2</v>
      </c>
      <c r="AT128" s="17">
        <f>IF(ISNA(VLOOKUP(A128,'Données projet'!$A$61:$I$81,7,0)),0%,VLOOKUP(A128,'Données projet'!$A$61:$I$81,7,0))</f>
        <v>0.06</v>
      </c>
      <c r="AU128" s="23">
        <f>EXP(-LN(2)/35)*AU127+(1-EXP(-LN(2)/35))/(LN(2)/35)*AQ128*AR128*VLOOKUP('Données projet'!$B$10,Paramètres!$A$1:$I$89,3,0)*0.475*44/12</f>
        <v>537.30497421008079</v>
      </c>
      <c r="AV128" s="23">
        <f>EXP(-LN(2)/25)*AV127+(1-EXP(-LN(2)/25))/(LN(2)/25)*Calculateur!AQ128*Calculateur!AS128*VLOOKUP('Données projet'!$B$10,Paramètres!$A$1:$I$89,3,0)*0.475*44/12</f>
        <v>31.635167331872651</v>
      </c>
      <c r="AW128" s="23">
        <f>EXP(-LN(2)/2)*AW127+(1-EXP(-LN(2)/2))/(LN(2)/2)*AQ128*AT128*VLOOKUP('Données projet'!$B$10,Paramètres!$A$1:$I$89,3,0)*0.475*44/12</f>
        <v>35.413345999496713</v>
      </c>
      <c r="AX128" s="23">
        <f t="shared" si="60"/>
        <v>604.35348754145014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>
        <f>VLOOKUP(A128,'Données projet'!$A$87:$I$107,2,0)</f>
        <v>3064.7</v>
      </c>
      <c r="BB128" s="13">
        <f>VLOOKUP(A128,'Données projet'!$A$87:$I$107,9,0)</f>
        <v>75.073571428571412</v>
      </c>
      <c r="BC128" s="13">
        <f t="array" ref="BC128">INDEX(BB:BB,MIN(IF(ISNUMBER(BB128:BB324),ROW(BB128:BB324),"")))</f>
        <v>75.073571428571412</v>
      </c>
      <c r="BD128" s="13">
        <f>IF('Données projet'!$A$88&gt;35,BD127+BC128-BL127,IF(A128&lt;'Données projet'!$A$88,$BA$205^A128,IF(A128='Données projet'!$A$88,'Données projet'!$B$88,BD127+BC128-BL127)))</f>
        <v>3064.7000000000025</v>
      </c>
      <c r="BE128" s="14">
        <f>BD128*VLOOKUP('Données projet'!$B$11,Paramètres!$A$1:$I$89,3,0)*VLOOKUP('Données projet'!$B$11,Paramètres!$A$1:$I$89,5,0)</f>
        <v>3203.2244400000031</v>
      </c>
      <c r="BF128" s="14">
        <f t="shared" si="91"/>
        <v>576.88475793332884</v>
      </c>
      <c r="BG128" s="22">
        <f t="shared" si="61"/>
        <v>6583.6901864005531</v>
      </c>
      <c r="BH128" s="62">
        <f t="shared" si="62"/>
        <v>6877.0235197338861</v>
      </c>
      <c r="BI128" s="62">
        <f ca="1">AVERAGE(OFFSET($BH$3,0,0,'Données projet'!$E$11+1,1))-AVERAGE(OFFSET($H$3,0,0,'Données projet'!$E$11+1,1))</f>
        <v>2843.5086223152098</v>
      </c>
      <c r="BJ128" s="62">
        <f t="shared" si="92"/>
        <v>324.81562437645522</v>
      </c>
      <c r="BK128" s="16">
        <f>IF(ISNA(VLOOKUP(A128,'Données projet'!$A$87:$I$107,3,0)),0,VLOOKUP(A128,'Données projet'!$A$87:$I$107,3,0))</f>
        <v>8</v>
      </c>
      <c r="BL128" s="16">
        <f>IF(ISNA(VLOOKUP(A128,'Données projet'!$A$87:$I$107,4,0)),0,VLOOKUP(A128,'Données projet'!$A$87:$I$107,4,0))</f>
        <v>612.94000000000005</v>
      </c>
      <c r="BM128" s="17">
        <f>IF(ISNA(VLOOKUP(A128,'Données projet'!$A$87:$I$107,5,0)),0%,VLOOKUP(A128,'Données projet'!$A$87:$I$107,5,0)*VLOOKUP('Données projet'!$B$11,Paramètres!$A$1:$I$89,7,0))</f>
        <v>0.34400000000000003</v>
      </c>
      <c r="BN128" s="17">
        <f>IF(ISNA(VLOOKUP(A128,'Données projet'!$A$87:$I$107,6,0)),0%,VLOOKUP(A128,'Données projet'!$A$87:$I$107,6,0)*VLOOKUP('Données projet'!$B$11,Paramètres!$A$1:$I$89,7,0))</f>
        <v>1.72E-2</v>
      </c>
      <c r="BO128" s="17">
        <f>IF(ISNA(VLOOKUP(A128,'Données projet'!$A$87:$I$107,7,0)),0%,VLOOKUP(A128,'Données projet'!$A$87:$I$107,7,0))</f>
        <v>0.06</v>
      </c>
      <c r="BP128" s="23">
        <f>EXP(-LN(2)/35)*BP127+(1-EXP(-LN(2)/35))/(LN(2)/35)*BL128*BM128*VLOOKUP('Données projet'!$B$11,Paramètres!$A$1:$I$89,3,0)*0.475*44/12</f>
        <v>553.83743495500619</v>
      </c>
      <c r="BQ128" s="23">
        <f>EXP(-LN(2)/25)*BQ127+(1-EXP(-LN(2)/25))/(LN(2)/25)*Calculateur!BL128*Calculateur!BN128*VLOOKUP('Données projet'!$B$11,Paramètres!$A$1:$I$89,3,0)*0.475*44/12</f>
        <v>32.608557095930266</v>
      </c>
      <c r="BR128" s="23">
        <f>EXP(-LN(2)/2)*BR127+(1-EXP(-LN(2)/2))/(LN(2)/2)*BL128*BO128*VLOOKUP('Données projet'!$B$11,Paramètres!$A$1:$I$89,3,0)*0.475*44/12</f>
        <v>36.502987414865849</v>
      </c>
      <c r="BS128" s="24">
        <f t="shared" si="63"/>
        <v>622.94897946580227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>
        <f>VLOOKUP(A128,'Données projet'!$A$113:$I$133,2,0)</f>
        <v>3064.7</v>
      </c>
      <c r="BW128" s="13">
        <f>VLOOKUP(A128,'Données projet'!$A$113:$I$133,9,0)</f>
        <v>75.073571428571412</v>
      </c>
      <c r="BX128" s="13">
        <f t="array" ref="BX128">INDEX(BW:BW,MIN(IF(ISNUMBER(BW128:BW324),ROW(BW128:BW324),"")))</f>
        <v>75.073571428571412</v>
      </c>
      <c r="BY128" s="13">
        <f>IF('Données projet'!$A$114&gt;35,BY127+BX128-CG127,IF(A128&lt;'Données projet'!$A$114,$BV$205^A128,IF(A128='Données projet'!$A$114,'Données projet'!$B$114,BY127+BX128-CG127)))</f>
        <v>3064.7000000000025</v>
      </c>
      <c r="BZ128" s="14">
        <f>BY128*VLOOKUP('Données projet'!$B$12,Paramètres!$A$1:$I$89,3,0)*VLOOKUP('Données projet'!$B$12,Paramètres!$A$1:$I$89,5,0)</f>
        <v>3059.7964800000027</v>
      </c>
      <c r="CA128" s="14">
        <f t="shared" si="93"/>
        <v>554.00029222965975</v>
      </c>
      <c r="CB128" s="22">
        <f t="shared" si="64"/>
        <v>6294.0293782999952</v>
      </c>
      <c r="CC128" s="62">
        <f t="shared" si="65"/>
        <v>6587.3627116333282</v>
      </c>
      <c r="CD128" s="62">
        <f ca="1">AVERAGE(OFFSET($CC$3,0,0,'Données projet'!$E$12+1,1))-AVERAGE(OFFSET($H$3,0,0,'Données projet'!$E$12+1,1))</f>
        <v>2719.939926994799</v>
      </c>
      <c r="CE128" s="62">
        <f t="shared" si="94"/>
        <v>312.21824046329749</v>
      </c>
      <c r="CF128" s="16">
        <f>IF(ISNA(VLOOKUP(A128,'Données projet'!$A$113:$I$133,3,0)),0,VLOOKUP(A128,'Données projet'!$A$113:$I$133,3,0))</f>
        <v>8</v>
      </c>
      <c r="CG128" s="16">
        <f>IF(ISNA(VLOOKUP(A128,'Données projet'!$A$113:$I$133,4,0)),0,VLOOKUP(A128,'Données projet'!$A$113:$I$133,4,0))</f>
        <v>612.94000000000005</v>
      </c>
      <c r="CH128" s="17">
        <f>IF(ISNA(VLOOKUP(A128,'Données projet'!$A$113:$I$133,5,0)),0%,VLOOKUP(A128,'Données projet'!$A$113:$I$133,5,0)*VLOOKUP('Données projet'!$B$12,Paramètres!$A$1:$I$89,7,0))</f>
        <v>0.34400000000000003</v>
      </c>
      <c r="CI128" s="17">
        <f>IF(ISNA(VLOOKUP(A128,'Données projet'!$A$113:$I$133,6,0)),0%,VLOOKUP(A128,'Données projet'!$A$113:$I$133,6,0)*VLOOKUP('Données projet'!$B$12,Paramètres!$A$1:$I$89,7,0))</f>
        <v>1.72E-2</v>
      </c>
      <c r="CJ128" s="17">
        <f>IF(ISNA(VLOOKUP(A128,'Données projet'!$A$113:$I$133,7,0)),0%,VLOOKUP(A128,'Données projet'!$A$113:$I$133,7,0))</f>
        <v>0.06</v>
      </c>
      <c r="CK128" s="23">
        <f>EXP(-LN(2)/35)*CK127+(1-EXP(-LN(2)/35))/(LN(2)/35)*CG128*CH128*VLOOKUP('Données projet'!$B$12,Paramètres!$A$1:$I$89,3,0)*0.475*44/12</f>
        <v>529.03874383761786</v>
      </c>
      <c r="CL128" s="23">
        <f>EXP(-LN(2)/25)*CL127+(1-EXP(-LN(2)/25))/(LN(2)/25)*Calculateur!CG128*Calculateur!CI128*VLOOKUP('Données projet'!$B$12,Paramètres!$A$1:$I$89,3,0)*0.475*44/12</f>
        <v>31.148472449843837</v>
      </c>
      <c r="CM128" s="23">
        <f>EXP(-LN(2)/2)*CM127+(1-EXP(-LN(2)/2))/(LN(2)/2)*CG128*CJ128*VLOOKUP('Données projet'!$B$12,Paramètres!$A$1:$I$89,3,0)*0.475*44/12</f>
        <v>34.868525291812148</v>
      </c>
      <c r="CN128" s="24">
        <f t="shared" si="66"/>
        <v>595.0557415792739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1.1368683772161603E-12</v>
      </c>
      <c r="CU128" s="18">
        <f>CT128*VLOOKUP('Données projet'!$B$13,Paramètres!$A$1:$I$89,3,0)*VLOOKUP('Données projet'!$B$13,Paramètres!$A$1:$I$89,5,0)</f>
        <v>9.9316821433603771E-13</v>
      </c>
      <c r="CV128" s="14">
        <f t="shared" si="95"/>
        <v>1.1421454694498936E-11</v>
      </c>
      <c r="CW128" s="22">
        <f t="shared" si="67"/>
        <v>2.1622134899554243E-11</v>
      </c>
      <c r="CX128" s="62">
        <f t="shared" si="68"/>
        <v>293.33333333335491</v>
      </c>
      <c r="CY128" s="62">
        <f ca="1">AVERAGE(OFFSET($CX$3,0,0,'Données projet'!$E$13+1,1))-AVERAGE(OFFSET($H$3,0,0,'Données projet'!$E$13+1,1))</f>
        <v>1036.0130072090849</v>
      </c>
      <c r="CZ128" s="62">
        <f t="shared" si="96"/>
        <v>346.56593355696174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274.68136392322737</v>
      </c>
      <c r="DG128" s="23">
        <f>EXP(-LN(2)/25)*DG127+(1-EXP(-LN(2)/25))/(LN(2)/25)*Calculateur!DB128*Calculateur!DD128*VLOOKUP('Données projet'!$B$13,Paramètres!$A$1:$I$89,3,0)*0.475*44/12</f>
        <v>12.153661788334269</v>
      </c>
      <c r="DH128" s="23">
        <f>EXP(-LN(2)/2)*DH127+(1-EXP(-LN(2)/2))/(LN(2)/2)*DB128*DE128*VLOOKUP('Données projet'!$B$13,Paramètres!$A$1:$I$89,3,0)*0.475*44/12</f>
        <v>1.5236088366425691E-5</v>
      </c>
      <c r="DI128" s="24">
        <f t="shared" si="69"/>
        <v>286.83504094764999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6.8212102632969618E-13</v>
      </c>
      <c r="DP128" s="18">
        <f>DO128*VLOOKUP('Données projet'!$B$14,Paramètres!$A$1:$I$89,3,0)*VLOOKUP('Données projet'!$B$14,Paramètres!$A$1:$I$89,5,0)</f>
        <v>3.8130565371830017E-13</v>
      </c>
      <c r="DQ128" s="14">
        <f t="shared" si="97"/>
        <v>4.9019074112354236E-12</v>
      </c>
      <c r="DR128" s="22">
        <f t="shared" si="70"/>
        <v>9.2015960881277352E-12</v>
      </c>
      <c r="DS128" s="62">
        <f t="shared" si="71"/>
        <v>293.33333333334252</v>
      </c>
      <c r="DT128" s="62">
        <f ca="1">AVERAGE(OFFSET($DS$3,0,0,'Données projet'!$E$14+1,1))-AVERAGE(OFFSET($H$3,0,0,'Données projet'!$E$14+1,1))</f>
        <v>446.48069057792151</v>
      </c>
      <c r="DU128" s="62">
        <f t="shared" si="98"/>
        <v>561.75656782935948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50.97051045822213</v>
      </c>
      <c r="EB128" s="23">
        <f>EXP(-LN(2)/25)*EB127+(1-EXP(-LN(2)/25))/(LN(2)/25)*Calculateur!DW128*Calculateur!DY128*VLOOKUP('Données projet'!$B$14,Paramètres!$A$1:$I$89,3,0)*0.475*44/12</f>
        <v>13.365726551196381</v>
      </c>
      <c r="EC128" s="23">
        <f>EXP(-LN(2)/2)*EC127+(1-EXP(-LN(2)/2))/(LN(2)/2)*DW128*DZ128*VLOOKUP('Données projet'!$B$14,Paramètres!$A$1:$I$89,3,0)*0.475*44/12</f>
        <v>2.2091727002233787E-8</v>
      </c>
      <c r="ED128" s="24">
        <f t="shared" si="72"/>
        <v>64.336237031510237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1.7053025658242404E-13</v>
      </c>
      <c r="EK128" s="18">
        <f>EJ128*VLOOKUP('Données projet'!$B$15,Paramètres!$A$1:$I$89,3,0)*VLOOKUP('Données projet'!$B$15,Paramètres!$A$1:$I$89,5,0)</f>
        <v>1.6493686416652052E-13</v>
      </c>
      <c r="EL128" s="14">
        <f t="shared" si="99"/>
        <v>2.3376205369651282E-12</v>
      </c>
      <c r="EM128" s="22">
        <f t="shared" si="73"/>
        <v>4.3586208069709543E-12</v>
      </c>
      <c r="EN128" s="62">
        <f t="shared" si="74"/>
        <v>293.33333333333769</v>
      </c>
      <c r="EO128" s="62">
        <f ca="1">AVERAGE(OFFSET($EN$3,0,0,'Données projet'!$E$15+1,1))-AVERAGE(OFFSET($H$3,0,0,'Données projet'!$E$15+1,1))</f>
        <v>301.18531163828169</v>
      </c>
      <c r="EP128" s="62">
        <f t="shared" si="100"/>
        <v>192.30530273268101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65.822570320708948</v>
      </c>
      <c r="EW128" s="23">
        <f>EXP(-LN(2)/25)*EW127+(1-EXP(-LN(2)/25))/(LN(2)/25)*Calculateur!ER128*Calculateur!ET128*VLOOKUP('Données projet'!$B$15,Paramètres!$A$1:$I$89,3,0)*0.475*44/12</f>
        <v>3.8897249732927297</v>
      </c>
      <c r="EX128" s="23">
        <f>EXP(-LN(2)/2)*EX127+(1-EXP(-LN(2)/2))/(LN(2)/2)*ER128*EU128*VLOOKUP('Données projet'!$B$15,Paramètres!$A$1:$I$89,3,0)*0.475*44/12</f>
        <v>1.0426256384880901E-8</v>
      </c>
      <c r="EY128" s="24">
        <f t="shared" si="75"/>
        <v>69.71229530442794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1.7053025658242404E-13</v>
      </c>
      <c r="FF128" s="18">
        <f>FE128*VLOOKUP('Données projet'!$B$16,Paramètres!$A$1:$I$89,3,0)*VLOOKUP('Données projet'!$B$16,Paramètres!$A$1:$I$89,5,0)</f>
        <v>1.3301360013429075E-13</v>
      </c>
      <c r="FG128" s="14">
        <f t="shared" si="101"/>
        <v>1.9329766731057041E-12</v>
      </c>
      <c r="FH128" s="22">
        <f t="shared" si="76"/>
        <v>3.5982663925596575E-12</v>
      </c>
      <c r="FI128" s="62">
        <f t="shared" si="77"/>
        <v>293.3333333333369</v>
      </c>
      <c r="FJ128" s="62">
        <f ca="1">AVERAGE(OFFSET($FI$3,0,0,'Données projet'!$E$16+1,1))-AVERAGE(OFFSET($H$3,0,0,'Données projet'!$E$16+1,1))</f>
        <v>249.2899297828755</v>
      </c>
      <c r="FK128" s="62">
        <f t="shared" si="102"/>
        <v>162.88011837476813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53.082718000571738</v>
      </c>
      <c r="FR128" s="23">
        <f>EXP(-LN(2)/25)*FR127+(1-EXP(-LN(2)/25))/(LN(2)/25)*Calculateur!FM128*Calculateur!FO128*VLOOKUP('Données projet'!$B$16,Paramètres!$A$1:$I$89,3,0)*0.475*44/12</f>
        <v>3.1368749784618748</v>
      </c>
      <c r="FS128" s="23">
        <f>EXP(-LN(2)/2)*FS127+(1-EXP(-LN(2)/2))/(LN(2)/2)*FM128*FP128*VLOOKUP('Données projet'!$B$16,Paramètres!$A$1:$I$89,3,0)*0.475*44/12</f>
        <v>8.4082712781297189E-9</v>
      </c>
      <c r="FT128" s="24">
        <f t="shared" si="78"/>
        <v>56.219592987441885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1.7053025658242404E-13</v>
      </c>
      <c r="GA128" s="18">
        <f>FZ128*VLOOKUP('Données projet'!$B$17,Paramètres!$A$1:$I$89,3,0)*VLOOKUP('Données projet'!$B$17,Paramètres!$A$1:$I$89,5,0)</f>
        <v>1.1439169611549005E-13</v>
      </c>
      <c r="GB128" s="14">
        <f t="shared" si="103"/>
        <v>1.6918016515029816E-12</v>
      </c>
      <c r="GC128" s="22">
        <f t="shared" si="79"/>
        <v>3.1457867471021712E-12</v>
      </c>
      <c r="GD128" s="62">
        <f t="shared" si="80"/>
        <v>293.33333333333644</v>
      </c>
      <c r="GE128" s="62">
        <f ca="1">AVERAGE(OFFSET($GD$3,0,0,'Données projet'!$E$17+1,1))-AVERAGE(OFFSET($H$3,0,0,'Données projet'!$E$17+1,1))</f>
        <v>218.89895999738746</v>
      </c>
      <c r="GF128" s="62">
        <f t="shared" si="104"/>
        <v>145.64042897395763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56.267681080606003</v>
      </c>
      <c r="GM128" s="23">
        <f>EXP(-LN(2)/25)*GM127+(1-EXP(-LN(2)/25))/(LN(2)/25)*Calculateur!GH128*Calculateur!GJ128*VLOOKUP('Données projet'!$B$17,Paramètres!$A$1:$I$89,3,0)*0.475*44/12</f>
        <v>3.3250874771695891</v>
      </c>
      <c r="GN128" s="23">
        <f>EXP(-LN(2)/2)*GN127+(1-EXP(-LN(2)/2))/(LN(2)/2)*GH128*GK128*VLOOKUP('Données projet'!$B$17,Paramètres!$A$1:$I$89,3,0)*0.475*44/12</f>
        <v>7.231113299191594E-9</v>
      </c>
      <c r="GO128" s="23">
        <f t="shared" si="81"/>
        <v>59.592768565006708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1.7053025658242404E-13</v>
      </c>
      <c r="GV128" s="18">
        <f>GU128*VLOOKUP('Données projet'!$B$18,Paramètres!$A$1:$I$89,3,0)*VLOOKUP('Données projet'!$B$18,Paramètres!$A$1:$I$89,5,0)</f>
        <v>1.8355876818532125E-13</v>
      </c>
      <c r="GW128" s="14">
        <f t="shared" si="105"/>
        <v>2.5693529898865504E-12</v>
      </c>
      <c r="GX128" s="22">
        <f t="shared" si="82"/>
        <v>4.7946546453085093E-12</v>
      </c>
      <c r="GY128" s="62">
        <f t="shared" si="83"/>
        <v>293.33333333333809</v>
      </c>
      <c r="GZ128" s="62">
        <f ca="1">AVERAGE(OFFSET($GY$3,0,0,'Données projet'!$E$18+1,1))-AVERAGE(OFFSET($H$3,0,0,'Données projet'!$E$18+1,1))</f>
        <v>331.3579800635751</v>
      </c>
      <c r="HA128" s="62">
        <f t="shared" si="106"/>
        <v>209.40702003535273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73.254150840788967</v>
      </c>
      <c r="HH128" s="23">
        <f>EXP(-LN(2)/25)*HH127+(1-EXP(-LN(2)/25))/(LN(2)/25)*Calculateur!HC128*Calculateur!HE128*VLOOKUP('Données projet'!$B$18,Paramètres!$A$1:$I$89,3,0)*0.475*44/12</f>
        <v>4.3288874702773938</v>
      </c>
      <c r="HI128" s="23">
        <f>EXP(-LN(2)/2)*HI127+(1-EXP(-LN(2)/2))/(LN(2)/2)*HC128*HF128*VLOOKUP('Données projet'!$B$18,Paramètres!$A$1:$I$89,3,0)*0.475*44/12</f>
        <v>1.1603414363819015E-8</v>
      </c>
      <c r="HJ128" s="24">
        <f t="shared" si="84"/>
        <v>77.583038322669779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104.98066666666666</v>
      </c>
      <c r="N129" s="14">
        <f>IF('Données projet'!$A$36&gt;35,N128+M129-V128,IF(A129&lt;'Données projet'!$A$36,$K$205^A129,IF(A129='Données projet'!$A$36,'Données projet'!$B$36,N128+M129-V128)))</f>
        <v>2556.7406666666693</v>
      </c>
      <c r="O129" s="14">
        <f>N129*VLOOKUP('Données projet'!$B$9,Paramètres!$A$1:$I$89,3,0)*VLOOKUP('Données projet'!$B$9,Paramètres!$A$1:$I$89,5,0)</f>
        <v>2313.3389552000021</v>
      </c>
      <c r="P129" s="14">
        <f t="shared" si="87"/>
        <v>432.70696405922257</v>
      </c>
      <c r="Q129" s="22">
        <f t="shared" si="107"/>
        <v>4782.6966427098159</v>
      </c>
      <c r="R129" s="62">
        <f t="shared" si="55"/>
        <v>5076.029976043149</v>
      </c>
      <c r="S129" s="62">
        <f ca="1">AVERAGE(OFFSET($R$3,0,0,'Données projet'!$E$9+1,1))-AVERAGE(OFFSET($H$3,0,0,'Données projet'!$E$9+1,1))</f>
        <v>2472.5049373954762</v>
      </c>
      <c r="T129" s="62">
        <f t="shared" si="88"/>
        <v>286.98388307318311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470.03980893216499</v>
      </c>
      <c r="AA129" s="23">
        <f>EXP(-LN(2)/25)*AA128+(1-EXP(-LN(2)/25))/(LN(2)/25)*Calculateur!V129*Calculateur!X129*VLOOKUP('Données projet'!$B$9,Paramètres!$A$1:$I$89,3,0)*0.475*44/12</f>
        <v>27.456398723362518</v>
      </c>
      <c r="AB129" s="23">
        <f>EXP(-LN(2)/2)*AB128+(1-EXP(-LN(2)/2))/(LN(2)/2)*V129*Y129*VLOOKUP('Données projet'!$B$9,Paramètres!$A$1:$I$89,3,0)*0.475*44/12</f>
        <v>22.344292182207347</v>
      </c>
      <c r="AC129" s="24">
        <f t="shared" si="57"/>
        <v>519.8404998377348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104.98066666666666</v>
      </c>
      <c r="AI129" s="14">
        <f>IF('Données projet'!$A$62&gt;35,AI128+AH129-AQ128,IF(A129&lt;'Données projet'!$A$62,$AF$205^A129,IF(A129='Données projet'!$A$62,'Données projet'!$B$62,AI128+AH129-AQ128)))</f>
        <v>2556.7406666666693</v>
      </c>
      <c r="AJ129" s="14">
        <f>AI129*VLOOKUP('Données projet'!$B$10,Paramètres!$A$1:$I$89,3,0)*VLOOKUP('Données projet'!$B$10,Paramètres!$A$1:$I$89,5,0)</f>
        <v>2592.5350360000029</v>
      </c>
      <c r="AK129" s="14">
        <f t="shared" si="89"/>
        <v>478.54099877397726</v>
      </c>
      <c r="AL129" s="22">
        <f t="shared" si="58"/>
        <v>5348.7907605646815</v>
      </c>
      <c r="AM129" s="62">
        <f t="shared" si="59"/>
        <v>5642.1240938980145</v>
      </c>
      <c r="AN129" s="62">
        <f ca="1">AVERAGE(OFFSET($AM$3,0,0,'Données projet'!$E$10+1,1))-AVERAGE(OFFSET($H$3,0,0,'Données projet'!$E$10+1,1))</f>
        <v>2761.1400657295467</v>
      </c>
      <c r="AO129" s="62">
        <f t="shared" si="90"/>
        <v>316.41877504316409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526.76875138949538</v>
      </c>
      <c r="AV129" s="23">
        <f>EXP(-LN(2)/25)*AV128+(1-EXP(-LN(2)/25))/(LN(2)/25)*Calculateur!AQ129*Calculateur!AS129*VLOOKUP('Données projet'!$B$10,Paramètres!$A$1:$I$89,3,0)*0.475*44/12</f>
        <v>30.770102017561445</v>
      </c>
      <c r="AW129" s="23">
        <f>EXP(-LN(2)/2)*AW128+(1-EXP(-LN(2)/2))/(LN(2)/2)*AQ129*AT129*VLOOKUP('Données projet'!$B$10,Paramètres!$A$1:$I$89,3,0)*0.475*44/12</f>
        <v>25.04101710074962</v>
      </c>
      <c r="AX129" s="23">
        <f t="shared" si="60"/>
        <v>582.5798705078065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104.98066666666666</v>
      </c>
      <c r="BD129" s="13">
        <f>IF('Données projet'!$A$88&gt;35,BD128+BC129-BL128,IF(A129&lt;'Données projet'!$A$88,$BA$205^A129,IF(A129='Données projet'!$A$88,'Données projet'!$B$88,BD128+BC129-BL128)))</f>
        <v>2556.7406666666693</v>
      </c>
      <c r="BE129" s="14">
        <f>BD129*VLOOKUP('Données projet'!$B$11,Paramètres!$A$1:$I$89,3,0)*VLOOKUP('Données projet'!$B$11,Paramètres!$A$1:$I$89,5,0)</f>
        <v>2672.3053448000032</v>
      </c>
      <c r="BF129" s="14">
        <f t="shared" si="91"/>
        <v>491.52838804992132</v>
      </c>
      <c r="BG129" s="22">
        <f t="shared" si="61"/>
        <v>5510.3437513802855</v>
      </c>
      <c r="BH129" s="62">
        <f t="shared" si="62"/>
        <v>5803.6770847136186</v>
      </c>
      <c r="BI129" s="62">
        <f ca="1">AVERAGE(OFFSET($BH$3,0,0,'Données projet'!$E$11+1,1))-AVERAGE(OFFSET($H$3,0,0,'Données projet'!$E$11+1,1))</f>
        <v>2843.5086223152098</v>
      </c>
      <c r="BJ129" s="62">
        <f t="shared" si="92"/>
        <v>324.81562437645522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542.97702066301815</v>
      </c>
      <c r="BQ129" s="23">
        <f>EXP(-LN(2)/25)*BQ128+(1-EXP(-LN(2)/25))/(LN(2)/25)*Calculateur!BL129*Calculateur!BN129*VLOOKUP('Données projet'!$B$11,Paramètres!$A$1:$I$89,3,0)*0.475*44/12</f>
        <v>31.716874387332563</v>
      </c>
      <c r="BR129" s="23">
        <f>EXP(-LN(2)/2)*BR128+(1-EXP(-LN(2)/2))/(LN(2)/2)*BL129*BO129*VLOOKUP('Données projet'!$B$11,Paramètres!$A$1:$I$89,3,0)*0.475*44/12</f>
        <v>25.811509934618847</v>
      </c>
      <c r="BS129" s="24">
        <f t="shared" si="63"/>
        <v>600.50540498496957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104.98066666666666</v>
      </c>
      <c r="BY129" s="13">
        <f>IF('Données projet'!$A$114&gt;35,BY128+BX129-CG128,IF(A129&lt;'Données projet'!$A$114,$BV$205^A129,IF(A129='Données projet'!$A$114,'Données projet'!$B$114,BY128+BX129-CG128)))</f>
        <v>2556.7406666666693</v>
      </c>
      <c r="BZ129" s="14">
        <f>BY129*VLOOKUP('Données projet'!$B$12,Paramètres!$A$1:$I$89,3,0)*VLOOKUP('Données projet'!$B$12,Paramètres!$A$1:$I$89,5,0)</f>
        <v>2552.649881600003</v>
      </c>
      <c r="CA129" s="14">
        <f t="shared" si="93"/>
        <v>472.02992776990789</v>
      </c>
      <c r="CB129" s="22">
        <f t="shared" si="64"/>
        <v>5267.9840013192616</v>
      </c>
      <c r="CC129" s="62">
        <f t="shared" si="65"/>
        <v>5561.3173346525946</v>
      </c>
      <c r="CD129" s="62">
        <f ca="1">AVERAGE(OFFSET($CC$3,0,0,'Données projet'!$E$12+1,1))-AVERAGE(OFFSET($H$3,0,0,'Données projet'!$E$12+1,1))</f>
        <v>2719.939926994799</v>
      </c>
      <c r="CE129" s="62">
        <f t="shared" si="94"/>
        <v>312.21824046329749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518.66461675273376</v>
      </c>
      <c r="CL129" s="23">
        <f>EXP(-LN(2)/25)*CL128+(1-EXP(-LN(2)/25))/(LN(2)/25)*Calculateur!CG129*Calculateur!CI129*VLOOKUP('Données projet'!$B$12,Paramètres!$A$1:$I$89,3,0)*0.475*44/12</f>
        <v>30.296715832675883</v>
      </c>
      <c r="CM129" s="23">
        <f>EXP(-LN(2)/2)*CM128+(1-EXP(-LN(2)/2))/(LN(2)/2)*CG129*CJ129*VLOOKUP('Données projet'!$B$12,Paramètres!$A$1:$I$89,3,0)*0.475*44/12</f>
        <v>24.655770683815014</v>
      </c>
      <c r="CN129" s="24">
        <f t="shared" si="66"/>
        <v>573.61710326922469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1.1368683772161603E-12</v>
      </c>
      <c r="CU129" s="18">
        <f>CT129*VLOOKUP('Données projet'!$B$13,Paramètres!$A$1:$I$89,3,0)*VLOOKUP('Données projet'!$B$13,Paramètres!$A$1:$I$89,5,0)</f>
        <v>9.9316821433603771E-13</v>
      </c>
      <c r="CV129" s="14">
        <f t="shared" si="95"/>
        <v>1.1421454694498936E-11</v>
      </c>
      <c r="CW129" s="22">
        <f t="shared" si="67"/>
        <v>2.1622134899554243E-11</v>
      </c>
      <c r="CX129" s="62">
        <f t="shared" si="68"/>
        <v>293.33333333335491</v>
      </c>
      <c r="CY129" s="62">
        <f ca="1">AVERAGE(OFFSET($CX$3,0,0,'Données projet'!$E$13+1,1))-AVERAGE(OFFSET($H$3,0,0,'Données projet'!$E$13+1,1))</f>
        <v>1036.0130072090849</v>
      </c>
      <c r="CZ129" s="62">
        <f t="shared" si="96"/>
        <v>346.56593355696174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269.29502991578175</v>
      </c>
      <c r="DG129" s="23">
        <f>EXP(-LN(2)/25)*DG128+(1-EXP(-LN(2)/25))/(LN(2)/25)*Calculateur!DB129*Calculateur!DD129*VLOOKUP('Données projet'!$B$13,Paramètres!$A$1:$I$89,3,0)*0.475*44/12</f>
        <v>11.821319267598971</v>
      </c>
      <c r="DH129" s="23">
        <f>EXP(-LN(2)/2)*DH128+(1-EXP(-LN(2)/2))/(LN(2)/2)*DB129*DE129*VLOOKUP('Données projet'!$B$13,Paramètres!$A$1:$I$89,3,0)*0.475*44/12</f>
        <v>1.0773541402657074E-5</v>
      </c>
      <c r="DI129" s="24">
        <f t="shared" si="69"/>
        <v>281.11635995692217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6.8212102632969618E-13</v>
      </c>
      <c r="DP129" s="18">
        <f>DO129*VLOOKUP('Données projet'!$B$14,Paramètres!$A$1:$I$89,3,0)*VLOOKUP('Données projet'!$B$14,Paramètres!$A$1:$I$89,5,0)</f>
        <v>3.8130565371830017E-13</v>
      </c>
      <c r="DQ129" s="14">
        <f t="shared" si="97"/>
        <v>4.9019074112354236E-12</v>
      </c>
      <c r="DR129" s="22">
        <f t="shared" si="70"/>
        <v>9.2015960881277352E-12</v>
      </c>
      <c r="DS129" s="62">
        <f t="shared" si="71"/>
        <v>293.33333333334252</v>
      </c>
      <c r="DT129" s="62">
        <f ca="1">AVERAGE(OFFSET($DS$3,0,0,'Données projet'!$E$14+1,1))-AVERAGE(OFFSET($H$3,0,0,'Données projet'!$E$14+1,1))</f>
        <v>446.48069057792151</v>
      </c>
      <c r="DU129" s="62">
        <f t="shared" si="98"/>
        <v>561.75656782935948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49.971009837077993</v>
      </c>
      <c r="EB129" s="23">
        <f>EXP(-LN(2)/25)*EB128+(1-EXP(-LN(2)/25))/(LN(2)/25)*Calculateur!DW129*Calculateur!DY129*VLOOKUP('Données projet'!$B$14,Paramètres!$A$1:$I$89,3,0)*0.475*44/12</f>
        <v>13.000240055780905</v>
      </c>
      <c r="EC129" s="23">
        <f>EXP(-LN(2)/2)*EC128+(1-EXP(-LN(2)/2))/(LN(2)/2)*DW129*DZ129*VLOOKUP('Données projet'!$B$14,Paramètres!$A$1:$I$89,3,0)*0.475*44/12</f>
        <v>1.562120997140147E-8</v>
      </c>
      <c r="ED129" s="24">
        <f t="shared" si="72"/>
        <v>62.971249908480111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1.7053025658242404E-13</v>
      </c>
      <c r="EK129" s="18">
        <f>EJ129*VLOOKUP('Données projet'!$B$15,Paramètres!$A$1:$I$89,3,0)*VLOOKUP('Données projet'!$B$15,Paramètres!$A$1:$I$89,5,0)</f>
        <v>1.6493686416652052E-13</v>
      </c>
      <c r="EL129" s="14">
        <f t="shared" si="99"/>
        <v>2.3376205369651282E-12</v>
      </c>
      <c r="EM129" s="22">
        <f t="shared" si="73"/>
        <v>4.3586208069709543E-12</v>
      </c>
      <c r="EN129" s="62">
        <f t="shared" si="74"/>
        <v>293.33333333333769</v>
      </c>
      <c r="EO129" s="62">
        <f ca="1">AVERAGE(OFFSET($EN$3,0,0,'Données projet'!$E$15+1,1))-AVERAGE(OFFSET($H$3,0,0,'Données projet'!$E$15+1,1))</f>
        <v>301.18531163828169</v>
      </c>
      <c r="EP129" s="62">
        <f t="shared" si="100"/>
        <v>192.30530273268101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64.531829864523473</v>
      </c>
      <c r="EW129" s="23">
        <f>EXP(-LN(2)/25)*EW128+(1-EXP(-LN(2)/25))/(LN(2)/25)*Calculateur!ER129*Calculateur!ET129*VLOOKUP('Données projet'!$B$15,Paramètres!$A$1:$I$89,3,0)*0.475*44/12</f>
        <v>3.783360239346294</v>
      </c>
      <c r="EX129" s="23">
        <f>EXP(-LN(2)/2)*EX128+(1-EXP(-LN(2)/2))/(LN(2)/2)*ER129*EU129*VLOOKUP('Données projet'!$B$15,Paramètres!$A$1:$I$89,3,0)*0.475*44/12</f>
        <v>7.372476592138824E-9</v>
      </c>
      <c r="EY129" s="24">
        <f t="shared" si="75"/>
        <v>68.315190111242245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1.7053025658242404E-13</v>
      </c>
      <c r="FF129" s="18">
        <f>FE129*VLOOKUP('Données projet'!$B$16,Paramètres!$A$1:$I$89,3,0)*VLOOKUP('Données projet'!$B$16,Paramètres!$A$1:$I$89,5,0)</f>
        <v>1.3301360013429075E-13</v>
      </c>
      <c r="FG129" s="14">
        <f t="shared" si="101"/>
        <v>1.9329766731057041E-12</v>
      </c>
      <c r="FH129" s="22">
        <f t="shared" si="76"/>
        <v>3.5982663925596575E-12</v>
      </c>
      <c r="FI129" s="62">
        <f t="shared" si="77"/>
        <v>293.3333333333369</v>
      </c>
      <c r="FJ129" s="62">
        <f ca="1">AVERAGE(OFFSET($FI$3,0,0,'Données projet'!$E$16+1,1))-AVERAGE(OFFSET($H$3,0,0,'Données projet'!$E$16+1,1))</f>
        <v>249.2899297828755</v>
      </c>
      <c r="FK129" s="62">
        <f t="shared" si="102"/>
        <v>162.88011837476813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52.041798277841515</v>
      </c>
      <c r="FR129" s="23">
        <f>EXP(-LN(2)/25)*FR128+(1-EXP(-LN(2)/25))/(LN(2)/25)*Calculateur!FM129*Calculateur!FO129*VLOOKUP('Données projet'!$B$16,Paramètres!$A$1:$I$89,3,0)*0.475*44/12</f>
        <v>3.051096967214749</v>
      </c>
      <c r="FS129" s="23">
        <f>EXP(-LN(2)/2)*FS128+(1-EXP(-LN(2)/2))/(LN(2)/2)*FM129*FP129*VLOOKUP('Données projet'!$B$16,Paramètres!$A$1:$I$89,3,0)*0.475*44/12</f>
        <v>5.9455456388216035E-9</v>
      </c>
      <c r="FT129" s="24">
        <f t="shared" si="78"/>
        <v>55.092895251001806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1.7053025658242404E-13</v>
      </c>
      <c r="GA129" s="18">
        <f>FZ129*VLOOKUP('Données projet'!$B$17,Paramètres!$A$1:$I$89,3,0)*VLOOKUP('Données projet'!$B$17,Paramètres!$A$1:$I$89,5,0)</f>
        <v>1.1439169611549005E-13</v>
      </c>
      <c r="GB129" s="14">
        <f t="shared" si="103"/>
        <v>1.6918016515029816E-12</v>
      </c>
      <c r="GC129" s="22">
        <f t="shared" si="79"/>
        <v>3.1457867471021712E-12</v>
      </c>
      <c r="GD129" s="62">
        <f t="shared" si="80"/>
        <v>293.33333333333644</v>
      </c>
      <c r="GE129" s="62">
        <f ca="1">AVERAGE(OFFSET($GD$3,0,0,'Données projet'!$E$17+1,1))-AVERAGE(OFFSET($H$3,0,0,'Données projet'!$E$17+1,1))</f>
        <v>218.89895999738746</v>
      </c>
      <c r="GF129" s="62">
        <f t="shared" si="104"/>
        <v>145.64042897395763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55.164306174511971</v>
      </c>
      <c r="GM129" s="23">
        <f>EXP(-LN(2)/25)*GM128+(1-EXP(-LN(2)/25))/(LN(2)/25)*Calculateur!GH129*Calculateur!GJ129*VLOOKUP('Données projet'!$B$17,Paramètres!$A$1:$I$89,3,0)*0.475*44/12</f>
        <v>3.2341627852476358</v>
      </c>
      <c r="GN129" s="23">
        <f>EXP(-LN(2)/2)*GN128+(1-EXP(-LN(2)/2))/(LN(2)/2)*GH129*GK129*VLOOKUP('Données projet'!$B$17,Paramètres!$A$1:$I$89,3,0)*0.475*44/12</f>
        <v>5.1131692493866044E-9</v>
      </c>
      <c r="GO129" s="23">
        <f t="shared" si="81"/>
        <v>58.398468964872777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1.7053025658242404E-13</v>
      </c>
      <c r="GV129" s="18">
        <f>GU129*VLOOKUP('Données projet'!$B$18,Paramètres!$A$1:$I$89,3,0)*VLOOKUP('Données projet'!$B$18,Paramètres!$A$1:$I$89,5,0)</f>
        <v>1.8355876818532125E-13</v>
      </c>
      <c r="GW129" s="14">
        <f t="shared" si="105"/>
        <v>2.5693529898865504E-12</v>
      </c>
      <c r="GX129" s="22">
        <f t="shared" si="82"/>
        <v>4.7946546453085093E-12</v>
      </c>
      <c r="GY129" s="62">
        <f t="shared" si="83"/>
        <v>293.33333333333809</v>
      </c>
      <c r="GZ129" s="62">
        <f ca="1">AVERAGE(OFFSET($GY$3,0,0,'Données projet'!$E$18+1,1))-AVERAGE(OFFSET($H$3,0,0,'Données projet'!$E$18+1,1))</f>
        <v>331.3579800635751</v>
      </c>
      <c r="HA129" s="62">
        <f t="shared" si="106"/>
        <v>209.40702003535273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71.817681623421265</v>
      </c>
      <c r="HH129" s="23">
        <f>EXP(-LN(2)/25)*HH128+(1-EXP(-LN(2)/25))/(LN(2)/25)*Calculateur!HC129*Calculateur!HE129*VLOOKUP('Données projet'!$B$18,Paramètres!$A$1:$I$89,3,0)*0.475*44/12</f>
        <v>4.2105138147563599</v>
      </c>
      <c r="HI129" s="23">
        <f>EXP(-LN(2)/2)*HI128+(1-EXP(-LN(2)/2))/(LN(2)/2)*HC129*HF129*VLOOKUP('Données projet'!$B$18,Paramètres!$A$1:$I$89,3,0)*0.475*44/12</f>
        <v>8.2048529815738148E-9</v>
      </c>
      <c r="HJ129" s="24">
        <f t="shared" si="84"/>
        <v>76.028195446382469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104.98066666666666</v>
      </c>
      <c r="N130" s="14">
        <f>IF('Données projet'!$A$36&gt;35,N129+M130-V129,IF(A130&lt;'Données projet'!$A$36,$K$205^A130,IF(A130='Données projet'!$A$36,'Données projet'!$B$36,N129+M130-V129)))</f>
        <v>2661.7213333333361</v>
      </c>
      <c r="O130" s="14">
        <f>N130*VLOOKUP('Données projet'!$B$9,Paramètres!$A$1:$I$89,3,0)*VLOOKUP('Données projet'!$B$9,Paramètres!$A$1:$I$89,5,0)</f>
        <v>2408.3254624000024</v>
      </c>
      <c r="P130" s="14">
        <f t="shared" si="87"/>
        <v>448.36901807045922</v>
      </c>
      <c r="Q130" s="22">
        <f t="shared" si="107"/>
        <v>4975.4095534860544</v>
      </c>
      <c r="R130" s="62">
        <f t="shared" si="55"/>
        <v>5268.7428868193874</v>
      </c>
      <c r="S130" s="62">
        <f ca="1">AVERAGE(OFFSET($R$3,0,0,'Données projet'!$E$9+1,1))-AVERAGE(OFFSET($H$3,0,0,'Données projet'!$E$9+1,1))</f>
        <v>2472.5049373954762</v>
      </c>
      <c r="T130" s="62">
        <f t="shared" si="88"/>
        <v>286.98388307318311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460.82261497497979</v>
      </c>
      <c r="AA130" s="23">
        <f>EXP(-LN(2)/25)*AA129+(1-EXP(-LN(2)/25))/(LN(2)/25)*Calculateur!V130*Calculateur!X130*VLOOKUP('Données projet'!$B$9,Paramètres!$A$1:$I$89,3,0)*0.475*44/12</f>
        <v>26.705602056402913</v>
      </c>
      <c r="AB130" s="23">
        <f>EXP(-LN(2)/2)*AB129+(1-EXP(-LN(2)/2))/(LN(2)/2)*V130*Y130*VLOOKUP('Données projet'!$B$9,Paramètres!$A$1:$I$89,3,0)*0.475*44/12</f>
        <v>15.799800522852376</v>
      </c>
      <c r="AC130" s="24">
        <f t="shared" si="57"/>
        <v>503.32801755423509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104.98066666666666</v>
      </c>
      <c r="AI130" s="14">
        <f>IF('Données projet'!$A$62&gt;35,AI129+AH130-AQ129,IF(A130&lt;'Données projet'!$A$62,$AF$205^A130,IF(A130='Données projet'!$A$62,'Données projet'!$B$62,AI129+AH130-AQ129)))</f>
        <v>2661.7213333333361</v>
      </c>
      <c r="AJ130" s="14">
        <f>AI130*VLOOKUP('Données projet'!$B$10,Paramètres!$A$1:$I$89,3,0)*VLOOKUP('Données projet'!$B$10,Paramètres!$A$1:$I$89,5,0)</f>
        <v>2698.9854320000031</v>
      </c>
      <c r="AK130" s="14">
        <f t="shared" si="89"/>
        <v>495.86203955196515</v>
      </c>
      <c r="AL130" s="22">
        <f t="shared" si="58"/>
        <v>5564.3593462863437</v>
      </c>
      <c r="AM130" s="62">
        <f t="shared" si="59"/>
        <v>5857.6926796196767</v>
      </c>
      <c r="AN130" s="62">
        <f ca="1">AVERAGE(OFFSET($AM$3,0,0,'Données projet'!$E$10+1,1))-AVERAGE(OFFSET($H$3,0,0,'Données projet'!$E$10+1,1))</f>
        <v>2761.1400657295467</v>
      </c>
      <c r="AO130" s="62">
        <f t="shared" si="90"/>
        <v>316.41877504316409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516.43913747196029</v>
      </c>
      <c r="AV130" s="23">
        <f>EXP(-LN(2)/25)*AV129+(1-EXP(-LN(2)/25))/(LN(2)/25)*Calculateur!AQ130*Calculateur!AS130*VLOOKUP('Données projet'!$B$10,Paramètres!$A$1:$I$89,3,0)*0.475*44/12</f>
        <v>29.928691959761888</v>
      </c>
      <c r="AW130" s="23">
        <f>EXP(-LN(2)/2)*AW129+(1-EXP(-LN(2)/2))/(LN(2)/2)*AQ130*AT130*VLOOKUP('Données projet'!$B$10,Paramètres!$A$1:$I$89,3,0)*0.475*44/12</f>
        <v>17.706672999748356</v>
      </c>
      <c r="AX130" s="23">
        <f t="shared" si="60"/>
        <v>564.07450243147048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104.98066666666666</v>
      </c>
      <c r="BD130" s="13">
        <f>IF('Données projet'!$A$88&gt;35,BD129+BC130-BL129,IF(A130&lt;'Données projet'!$A$88,$BA$205^A130,IF(A130='Données projet'!$A$88,'Données projet'!$B$88,BD129+BC130-BL129)))</f>
        <v>2661.7213333333361</v>
      </c>
      <c r="BE130" s="14">
        <f>BD130*VLOOKUP('Données projet'!$B$11,Paramètres!$A$1:$I$89,3,0)*VLOOKUP('Données projet'!$B$11,Paramètres!$A$1:$I$89,5,0)</f>
        <v>2782.0311376000031</v>
      </c>
      <c r="BF130" s="14">
        <f t="shared" si="91"/>
        <v>509.31951414938595</v>
      </c>
      <c r="BG130" s="22">
        <f t="shared" si="61"/>
        <v>5732.4357184635192</v>
      </c>
      <c r="BH130" s="62">
        <f t="shared" si="62"/>
        <v>6025.7690517968522</v>
      </c>
      <c r="BI130" s="62">
        <f ca="1">AVERAGE(OFFSET($BH$3,0,0,'Données projet'!$E$11+1,1))-AVERAGE(OFFSET($H$3,0,0,'Données projet'!$E$11+1,1))</f>
        <v>2843.5086223152098</v>
      </c>
      <c r="BJ130" s="62">
        <f t="shared" si="92"/>
        <v>324.81562437645522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532.32957247109732</v>
      </c>
      <c r="BQ130" s="23">
        <f>EXP(-LN(2)/25)*BQ129+(1-EXP(-LN(2)/25))/(LN(2)/25)*Calculateur!BL130*Calculateur!BN130*VLOOKUP('Données projet'!$B$11,Paramètres!$A$1:$I$89,3,0)*0.475*44/12</f>
        <v>30.849574789293019</v>
      </c>
      <c r="BR130" s="23">
        <f>EXP(-LN(2)/2)*BR129+(1-EXP(-LN(2)/2))/(LN(2)/2)*BL130*BO130*VLOOKUP('Données projet'!$B$11,Paramètres!$A$1:$I$89,3,0)*0.475*44/12</f>
        <v>18.251493707432928</v>
      </c>
      <c r="BS130" s="24">
        <f t="shared" si="63"/>
        <v>581.43064096782325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104.98066666666666</v>
      </c>
      <c r="BY130" s="13">
        <f>IF('Données projet'!$A$114&gt;35,BY129+BX130-CG129,IF(A130&lt;'Données projet'!$A$114,$BV$205^A130,IF(A130='Données projet'!$A$114,'Données projet'!$B$114,BY129+BX130-CG129)))</f>
        <v>2661.7213333333361</v>
      </c>
      <c r="BZ130" s="14">
        <f>BY130*VLOOKUP('Données projet'!$B$12,Paramètres!$A$1:$I$89,3,0)*VLOOKUP('Données projet'!$B$12,Paramètres!$A$1:$I$89,5,0)</f>
        <v>2657.4625792000029</v>
      </c>
      <c r="CA130" s="14">
        <f t="shared" si="93"/>
        <v>489.11529694053388</v>
      </c>
      <c r="CB130" s="22">
        <f t="shared" si="64"/>
        <v>5480.2898009447681</v>
      </c>
      <c r="CC130" s="62">
        <f t="shared" si="65"/>
        <v>5773.6231342781011</v>
      </c>
      <c r="CD130" s="62">
        <f ca="1">AVERAGE(OFFSET($CC$3,0,0,'Données projet'!$E$12+1,1))-AVERAGE(OFFSET($H$3,0,0,'Données projet'!$E$12+1,1))</f>
        <v>2719.939926994799</v>
      </c>
      <c r="CE130" s="62">
        <f t="shared" si="94"/>
        <v>312.21824046329749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508.4939199723915</v>
      </c>
      <c r="CL130" s="23">
        <f>EXP(-LN(2)/25)*CL129+(1-EXP(-LN(2)/25))/(LN(2)/25)*Calculateur!CG130*Calculateur!CI130*VLOOKUP('Données projet'!$B$12,Paramètres!$A$1:$I$89,3,0)*0.475*44/12</f>
        <v>29.468250544996319</v>
      </c>
      <c r="CM130" s="23">
        <f>EXP(-LN(2)/2)*CM129+(1-EXP(-LN(2)/2))/(LN(2)/2)*CG130*CJ130*VLOOKUP('Données projet'!$B$12,Paramètres!$A$1:$I$89,3,0)*0.475*44/12</f>
        <v>17.434262645906077</v>
      </c>
      <c r="CN130" s="24">
        <f t="shared" si="66"/>
        <v>555.39643316329386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1.1368683772161603E-12</v>
      </c>
      <c r="CU130" s="18">
        <f>CT130*VLOOKUP('Données projet'!$B$13,Paramètres!$A$1:$I$89,3,0)*VLOOKUP('Données projet'!$B$13,Paramètres!$A$1:$I$89,5,0)</f>
        <v>9.9316821433603771E-13</v>
      </c>
      <c r="CV130" s="14">
        <f t="shared" si="95"/>
        <v>1.1421454694498936E-11</v>
      </c>
      <c r="CW130" s="22">
        <f t="shared" si="67"/>
        <v>2.1622134899554243E-11</v>
      </c>
      <c r="CX130" s="62">
        <f t="shared" si="68"/>
        <v>293.33333333335491</v>
      </c>
      <c r="CY130" s="62">
        <f ca="1">AVERAGE(OFFSET($CX$3,0,0,'Données projet'!$E$13+1,1))-AVERAGE(OFFSET($H$3,0,0,'Données projet'!$E$13+1,1))</f>
        <v>1036.0130072090849</v>
      </c>
      <c r="CZ130" s="62">
        <f t="shared" si="96"/>
        <v>346.56593355696174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264.01431863288281</v>
      </c>
      <c r="DG130" s="23">
        <f>EXP(-LN(2)/25)*DG129+(1-EXP(-LN(2)/25))/(LN(2)/25)*Calculateur!DB130*Calculateur!DD130*VLOOKUP('Données projet'!$B$13,Paramètres!$A$1:$I$89,3,0)*0.475*44/12</f>
        <v>11.498064670570315</v>
      </c>
      <c r="DH130" s="23">
        <f>EXP(-LN(2)/2)*DH129+(1-EXP(-LN(2)/2))/(LN(2)/2)*DB130*DE130*VLOOKUP('Données projet'!$B$13,Paramètres!$A$1:$I$89,3,0)*0.475*44/12</f>
        <v>7.6180441832128463E-6</v>
      </c>
      <c r="DI130" s="24">
        <f t="shared" si="69"/>
        <v>275.51239092149734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6.8212102632969618E-13</v>
      </c>
      <c r="DP130" s="18">
        <f>DO130*VLOOKUP('Données projet'!$B$14,Paramètres!$A$1:$I$89,3,0)*VLOOKUP('Données projet'!$B$14,Paramètres!$A$1:$I$89,5,0)</f>
        <v>3.8130565371830017E-13</v>
      </c>
      <c r="DQ130" s="14">
        <f t="shared" si="97"/>
        <v>4.9019074112354236E-12</v>
      </c>
      <c r="DR130" s="22">
        <f t="shared" si="70"/>
        <v>9.2015960881277352E-12</v>
      </c>
      <c r="DS130" s="62">
        <f t="shared" si="71"/>
        <v>293.33333333334252</v>
      </c>
      <c r="DT130" s="62">
        <f ca="1">AVERAGE(OFFSET($DS$3,0,0,'Données projet'!$E$14+1,1))-AVERAGE(OFFSET($H$3,0,0,'Données projet'!$E$14+1,1))</f>
        <v>446.48069057792151</v>
      </c>
      <c r="DU130" s="62">
        <f t="shared" si="98"/>
        <v>561.75656782935948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48.991108813479315</v>
      </c>
      <c r="EB130" s="23">
        <f>EXP(-LN(2)/25)*EB129+(1-EXP(-LN(2)/25))/(LN(2)/25)*Calculateur!DW130*Calculateur!DY130*VLOOKUP('Données projet'!$B$14,Paramètres!$A$1:$I$89,3,0)*0.475*44/12</f>
        <v>12.644747807802664</v>
      </c>
      <c r="EC130" s="23">
        <f>EXP(-LN(2)/2)*EC129+(1-EXP(-LN(2)/2))/(LN(2)/2)*DW130*DZ130*VLOOKUP('Données projet'!$B$14,Paramètres!$A$1:$I$89,3,0)*0.475*44/12</f>
        <v>1.1045863501116894E-8</v>
      </c>
      <c r="ED130" s="24">
        <f t="shared" si="72"/>
        <v>61.635856632327844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1.7053025658242404E-13</v>
      </c>
      <c r="EK130" s="18">
        <f>EJ130*VLOOKUP('Données projet'!$B$15,Paramètres!$A$1:$I$89,3,0)*VLOOKUP('Données projet'!$B$15,Paramètres!$A$1:$I$89,5,0)</f>
        <v>1.6493686416652052E-13</v>
      </c>
      <c r="EL130" s="14">
        <f t="shared" si="99"/>
        <v>2.3376205369651282E-12</v>
      </c>
      <c r="EM130" s="22">
        <f t="shared" si="73"/>
        <v>4.3586208069709543E-12</v>
      </c>
      <c r="EN130" s="62">
        <f t="shared" si="74"/>
        <v>293.33333333333769</v>
      </c>
      <c r="EO130" s="62">
        <f ca="1">AVERAGE(OFFSET($EN$3,0,0,'Données projet'!$E$15+1,1))-AVERAGE(OFFSET($H$3,0,0,'Données projet'!$E$15+1,1))</f>
        <v>301.18531163828169</v>
      </c>
      <c r="EP130" s="62">
        <f t="shared" si="100"/>
        <v>192.30530273268101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63.266400041409852</v>
      </c>
      <c r="EW130" s="23">
        <f>EXP(-LN(2)/25)*EW129+(1-EXP(-LN(2)/25))/(LN(2)/25)*Calculateur!ER130*Calculateur!ET130*VLOOKUP('Données projet'!$B$15,Paramètres!$A$1:$I$89,3,0)*0.475*44/12</f>
        <v>3.6799040546431017</v>
      </c>
      <c r="EX130" s="23">
        <f>EXP(-LN(2)/2)*EX129+(1-EXP(-LN(2)/2))/(LN(2)/2)*ER130*EU130*VLOOKUP('Données projet'!$B$15,Paramètres!$A$1:$I$89,3,0)*0.475*44/12</f>
        <v>5.2131281924404514E-9</v>
      </c>
      <c r="EY130" s="24">
        <f t="shared" si="75"/>
        <v>66.94630410126608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1.7053025658242404E-13</v>
      </c>
      <c r="FF130" s="18">
        <f>FE130*VLOOKUP('Données projet'!$B$16,Paramètres!$A$1:$I$89,3,0)*VLOOKUP('Données projet'!$B$16,Paramètres!$A$1:$I$89,5,0)</f>
        <v>1.3301360013429075E-13</v>
      </c>
      <c r="FG130" s="14">
        <f t="shared" si="101"/>
        <v>1.9329766731057041E-12</v>
      </c>
      <c r="FH130" s="22">
        <f t="shared" si="76"/>
        <v>3.5982663925596575E-12</v>
      </c>
      <c r="FI130" s="62">
        <f t="shared" si="77"/>
        <v>293.3333333333369</v>
      </c>
      <c r="FJ130" s="62">
        <f ca="1">AVERAGE(OFFSET($FI$3,0,0,'Données projet'!$E$16+1,1))-AVERAGE(OFFSET($H$3,0,0,'Données projet'!$E$16+1,1))</f>
        <v>249.2899297828755</v>
      </c>
      <c r="FK130" s="62">
        <f t="shared" si="102"/>
        <v>162.88011837476813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51.021290355975694</v>
      </c>
      <c r="FR130" s="23">
        <f>EXP(-LN(2)/25)*FR129+(1-EXP(-LN(2)/25))/(LN(2)/25)*Calculateur!FM130*Calculateur!FO130*VLOOKUP('Données projet'!$B$16,Paramètres!$A$1:$I$89,3,0)*0.475*44/12</f>
        <v>2.9676645601960456</v>
      </c>
      <c r="FS130" s="23">
        <f>EXP(-LN(2)/2)*FS129+(1-EXP(-LN(2)/2))/(LN(2)/2)*FM130*FP130*VLOOKUP('Données projet'!$B$16,Paramètres!$A$1:$I$89,3,0)*0.475*44/12</f>
        <v>4.2041356390648594E-9</v>
      </c>
      <c r="FT130" s="24">
        <f t="shared" si="78"/>
        <v>53.988954920375875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1.7053025658242404E-13</v>
      </c>
      <c r="GA130" s="18">
        <f>FZ130*VLOOKUP('Données projet'!$B$17,Paramètres!$A$1:$I$89,3,0)*VLOOKUP('Données projet'!$B$17,Paramètres!$A$1:$I$89,5,0)</f>
        <v>1.1439169611549005E-13</v>
      </c>
      <c r="GB130" s="14">
        <f t="shared" si="103"/>
        <v>1.6918016515029816E-12</v>
      </c>
      <c r="GC130" s="22">
        <f t="shared" si="79"/>
        <v>3.1457867471021712E-12</v>
      </c>
      <c r="GD130" s="62">
        <f t="shared" si="80"/>
        <v>293.33333333333644</v>
      </c>
      <c r="GE130" s="62">
        <f ca="1">AVERAGE(OFFSET($GD$3,0,0,'Données projet'!$E$17+1,1))-AVERAGE(OFFSET($H$3,0,0,'Données projet'!$E$17+1,1))</f>
        <v>218.89895999738746</v>
      </c>
      <c r="GF130" s="62">
        <f t="shared" si="104"/>
        <v>145.64042897395763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54.082567777334205</v>
      </c>
      <c r="GM130" s="23">
        <f>EXP(-LN(2)/25)*GM129+(1-EXP(-LN(2)/25))/(LN(2)/25)*Calculateur!GH130*Calculateur!GJ130*VLOOKUP('Données projet'!$B$17,Paramètres!$A$1:$I$89,3,0)*0.475*44/12</f>
        <v>3.1457244338078101</v>
      </c>
      <c r="GN130" s="23">
        <f>EXP(-LN(2)/2)*GN129+(1-EXP(-LN(2)/2))/(LN(2)/2)*GH130*GK130*VLOOKUP('Données projet'!$B$17,Paramètres!$A$1:$I$89,3,0)*0.475*44/12</f>
        <v>3.6155566495957974E-9</v>
      </c>
      <c r="GO130" s="23">
        <f t="shared" si="81"/>
        <v>57.228292214757566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1.7053025658242404E-13</v>
      </c>
      <c r="GV130" s="18">
        <f>GU130*VLOOKUP('Données projet'!$B$18,Paramètres!$A$1:$I$89,3,0)*VLOOKUP('Données projet'!$B$18,Paramètres!$A$1:$I$89,5,0)</f>
        <v>1.8355876818532125E-13</v>
      </c>
      <c r="GW130" s="14">
        <f t="shared" si="105"/>
        <v>2.5693529898865504E-12</v>
      </c>
      <c r="GX130" s="22">
        <f t="shared" si="82"/>
        <v>4.7946546453085093E-12</v>
      </c>
      <c r="GY130" s="62">
        <f t="shared" si="83"/>
        <v>293.33333333333809</v>
      </c>
      <c r="GZ130" s="62">
        <f ca="1">AVERAGE(OFFSET($GY$3,0,0,'Données projet'!$E$18+1,1))-AVERAGE(OFFSET($H$3,0,0,'Données projet'!$E$18+1,1))</f>
        <v>331.3579800635751</v>
      </c>
      <c r="HA130" s="62">
        <f t="shared" si="106"/>
        <v>209.40702003535273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70.40938069124644</v>
      </c>
      <c r="HH130" s="23">
        <f>EXP(-LN(2)/25)*HH129+(1-EXP(-LN(2)/25))/(LN(2)/25)*Calculateur!HC130*Calculateur!HE130*VLOOKUP('Données projet'!$B$18,Paramètres!$A$1:$I$89,3,0)*0.475*44/12</f>
        <v>4.0953770930705486</v>
      </c>
      <c r="HI130" s="23">
        <f>EXP(-LN(2)/2)*HI129+(1-EXP(-LN(2)/2))/(LN(2)/2)*HC130*HF130*VLOOKUP('Données projet'!$B$18,Paramètres!$A$1:$I$89,3,0)*0.475*44/12</f>
        <v>5.8017071819095076E-9</v>
      </c>
      <c r="HJ130" s="24">
        <f t="shared" si="84"/>
        <v>74.504757790118703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104.98066666666666</v>
      </c>
      <c r="N131" s="14">
        <f>IF('Données projet'!$A$36&gt;35,N130+M131-V130,IF(A131&lt;'Données projet'!$A$36,$K$205^A131,IF(A131='Données projet'!$A$36,'Données projet'!$B$36,N130+M131-V130)))</f>
        <v>2766.702000000003</v>
      </c>
      <c r="O131" s="14">
        <f>N131*VLOOKUP('Données projet'!$B$9,Paramètres!$A$1:$I$89,3,0)*VLOOKUP('Données projet'!$B$9,Paramètres!$A$1:$I$89,5,0)</f>
        <v>2503.3119696000026</v>
      </c>
      <c r="P131" s="14">
        <f t="shared" si="87"/>
        <v>463.95931399470288</v>
      </c>
      <c r="Q131" s="22">
        <f t="shared" ref="Q131:Q153" si="108">(O131+P131)*0.475*44/12</f>
        <v>5167.9974855941118</v>
      </c>
      <c r="R131" s="62">
        <f t="shared" ref="R131:R194" si="109">Q131+(I131+J131)*44/12</f>
        <v>5461.3308189274449</v>
      </c>
      <c r="S131" s="62">
        <f ca="1">AVERAGE(OFFSET($R$3,0,0,'Données projet'!$E$9+1,1))-AVERAGE(OFFSET($H$3,0,0,'Données projet'!$E$9+1,1))</f>
        <v>2472.5049373954762</v>
      </c>
      <c r="T131" s="62">
        <f t="shared" si="88"/>
        <v>286.98388307318311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451.7861645693618</v>
      </c>
      <c r="AA131" s="23">
        <f>EXP(-LN(2)/25)*AA130+(1-EXP(-LN(2)/25))/(LN(2)/25)*Calculateur!V131*Calculateur!X131*VLOOKUP('Données projet'!$B$9,Paramètres!$A$1:$I$89,3,0)*0.475*44/12</f>
        <v>25.975335963784001</v>
      </c>
      <c r="AB131" s="23">
        <f>EXP(-LN(2)/2)*AB130+(1-EXP(-LN(2)/2))/(LN(2)/2)*V131*Y131*VLOOKUP('Données projet'!$B$9,Paramètres!$A$1:$I$89,3,0)*0.475*44/12</f>
        <v>11.172146091103675</v>
      </c>
      <c r="AC131" s="24">
        <f t="shared" si="57"/>
        <v>488.93364662424949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104.98066666666666</v>
      </c>
      <c r="AI131" s="14">
        <f>IF('Données projet'!$A$62&gt;35,AI130+AH131-AQ130,IF(A131&lt;'Données projet'!$A$62,$AF$205^A131,IF(A131='Données projet'!$A$62,'Données projet'!$B$62,AI130+AH131-AQ130)))</f>
        <v>2766.702000000003</v>
      </c>
      <c r="AJ131" s="14">
        <f>AI131*VLOOKUP('Données projet'!$B$10,Paramètres!$A$1:$I$89,3,0)*VLOOKUP('Données projet'!$B$10,Paramètres!$A$1:$I$89,5,0)</f>
        <v>2805.4358280000033</v>
      </c>
      <c r="AK131" s="14">
        <f t="shared" si="89"/>
        <v>513.10372134229692</v>
      </c>
      <c r="AL131" s="22">
        <f t="shared" si="58"/>
        <v>5779.7897151045063</v>
      </c>
      <c r="AM131" s="62">
        <f t="shared" si="59"/>
        <v>6073.1230484378393</v>
      </c>
      <c r="AN131" s="62">
        <f ca="1">AVERAGE(OFFSET($AM$3,0,0,'Données projet'!$E$10+1,1))-AVERAGE(OFFSET($H$3,0,0,'Données projet'!$E$10+1,1))</f>
        <v>2761.1400657295467</v>
      </c>
      <c r="AO131" s="62">
        <f t="shared" si="90"/>
        <v>316.41877504316409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506.31208098290568</v>
      </c>
      <c r="AV131" s="23">
        <f>EXP(-LN(2)/25)*AV130+(1-EXP(-LN(2)/25))/(LN(2)/25)*Calculateur!AQ131*Calculateur!AS131*VLOOKUP('Données projet'!$B$10,Paramètres!$A$1:$I$89,3,0)*0.475*44/12</f>
        <v>29.110290304240692</v>
      </c>
      <c r="AW131" s="23">
        <f>EXP(-LN(2)/2)*AW130+(1-EXP(-LN(2)/2))/(LN(2)/2)*AQ131*AT131*VLOOKUP('Données projet'!$B$10,Paramètres!$A$1:$I$89,3,0)*0.475*44/12</f>
        <v>12.52050855037481</v>
      </c>
      <c r="AX131" s="23">
        <f t="shared" si="60"/>
        <v>547.9428798375211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104.98066666666666</v>
      </c>
      <c r="BD131" s="13">
        <f>IF('Données projet'!$A$88&gt;35,BD130+BC131-BL130,IF(A131&lt;'Données projet'!$A$88,$BA$205^A131,IF(A131='Données projet'!$A$88,'Données projet'!$B$88,BD130+BC131-BL130)))</f>
        <v>2766.702000000003</v>
      </c>
      <c r="BE131" s="14">
        <f>BD131*VLOOKUP('Données projet'!$B$11,Paramètres!$A$1:$I$89,3,0)*VLOOKUP('Données projet'!$B$11,Paramètres!$A$1:$I$89,5,0)</f>
        <v>2891.7569304000035</v>
      </c>
      <c r="BF131" s="14">
        <f t="shared" si="91"/>
        <v>527.02912749366283</v>
      </c>
      <c r="BG131" s="22">
        <f t="shared" si="61"/>
        <v>5954.3857174981349</v>
      </c>
      <c r="BH131" s="62">
        <f t="shared" si="62"/>
        <v>6247.7190508314679</v>
      </c>
      <c r="BI131" s="62">
        <f ca="1">AVERAGE(OFFSET($BH$3,0,0,'Données projet'!$E$11+1,1))-AVERAGE(OFFSET($H$3,0,0,'Données projet'!$E$11+1,1))</f>
        <v>2843.5086223152098</v>
      </c>
      <c r="BJ131" s="62">
        <f t="shared" si="92"/>
        <v>324.81562437645522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521.8909142439179</v>
      </c>
      <c r="BQ131" s="23">
        <f>EXP(-LN(2)/25)*BQ130+(1-EXP(-LN(2)/25))/(LN(2)/25)*Calculateur!BL131*Calculateur!BN131*VLOOKUP('Données projet'!$B$11,Paramètres!$A$1:$I$89,3,0)*0.475*44/12</f>
        <v>30.00599154437117</v>
      </c>
      <c r="BR131" s="23">
        <f>EXP(-LN(2)/2)*BR130+(1-EXP(-LN(2)/2))/(LN(2)/2)*BL131*BO131*VLOOKUP('Données projet'!$B$11,Paramètres!$A$1:$I$89,3,0)*0.475*44/12</f>
        <v>12.905754967309425</v>
      </c>
      <c r="BS131" s="24">
        <f t="shared" si="63"/>
        <v>564.80266075559859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104.98066666666666</v>
      </c>
      <c r="BY131" s="13">
        <f>IF('Données projet'!$A$114&gt;35,BY130+BX131-CG130,IF(A131&lt;'Données projet'!$A$114,$BV$205^A131,IF(A131='Données projet'!$A$114,'Données projet'!$B$114,BY130+BX131-CG130)))</f>
        <v>2766.702000000003</v>
      </c>
      <c r="BZ131" s="14">
        <f>BY131*VLOOKUP('Données projet'!$B$12,Paramètres!$A$1:$I$89,3,0)*VLOOKUP('Données projet'!$B$12,Paramètres!$A$1:$I$89,5,0)</f>
        <v>2762.2752768000032</v>
      </c>
      <c r="CA131" s="14">
        <f t="shared" si="93"/>
        <v>506.12238688888294</v>
      </c>
      <c r="CB131" s="22">
        <f t="shared" si="64"/>
        <v>5692.459264258142</v>
      </c>
      <c r="CC131" s="62">
        <f t="shared" si="65"/>
        <v>5985.792597591475</v>
      </c>
      <c r="CD131" s="62">
        <f ca="1">AVERAGE(OFFSET($CC$3,0,0,'Données projet'!$E$12+1,1))-AVERAGE(OFFSET($H$3,0,0,'Données projet'!$E$12+1,1))</f>
        <v>2719.939926994799</v>
      </c>
      <c r="CE131" s="62">
        <f t="shared" si="94"/>
        <v>312.21824046329749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498.52266435239926</v>
      </c>
      <c r="CL131" s="23">
        <f>EXP(-LN(2)/25)*CL130+(1-EXP(-LN(2)/25))/(LN(2)/25)*Calculateur!CG131*Calculateur!CI131*VLOOKUP('Données projet'!$B$12,Paramètres!$A$1:$I$89,3,0)*0.475*44/12</f>
        <v>28.66243968417545</v>
      </c>
      <c r="CM131" s="23">
        <f>EXP(-LN(2)/2)*CM130+(1-EXP(-LN(2)/2))/(LN(2)/2)*CG131*CJ131*VLOOKUP('Données projet'!$B$12,Paramètres!$A$1:$I$89,3,0)*0.475*44/12</f>
        <v>12.327885341907509</v>
      </c>
      <c r="CN131" s="24">
        <f t="shared" si="66"/>
        <v>539.51298937848219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1.1368683772161603E-12</v>
      </c>
      <c r="CU131" s="18">
        <f>CT131*VLOOKUP('Données projet'!$B$13,Paramètres!$A$1:$I$89,3,0)*VLOOKUP('Données projet'!$B$13,Paramètres!$A$1:$I$89,5,0)</f>
        <v>9.9316821433603771E-13</v>
      </c>
      <c r="CV131" s="14">
        <f t="shared" si="95"/>
        <v>1.1421454694498936E-11</v>
      </c>
      <c r="CW131" s="22">
        <f t="shared" si="67"/>
        <v>2.1622134899554243E-11</v>
      </c>
      <c r="CX131" s="62">
        <f t="shared" si="68"/>
        <v>293.33333333335491</v>
      </c>
      <c r="CY131" s="62">
        <f ca="1">AVERAGE(OFFSET($CX$3,0,0,'Données projet'!$E$13+1,1))-AVERAGE(OFFSET($H$3,0,0,'Données projet'!$E$13+1,1))</f>
        <v>1036.0130072090849</v>
      </c>
      <c r="CZ131" s="62">
        <f t="shared" si="96"/>
        <v>346.56593355696174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258.83715887732569</v>
      </c>
      <c r="DG131" s="23">
        <f>EXP(-LN(2)/25)*DG130+(1-EXP(-LN(2)/25))/(LN(2)/25)*Calculateur!DB131*Calculateur!DD131*VLOOKUP('Données projet'!$B$13,Paramètres!$A$1:$I$89,3,0)*0.475*44/12</f>
        <v>11.183649487496629</v>
      </c>
      <c r="DH131" s="23">
        <f>EXP(-LN(2)/2)*DH130+(1-EXP(-LN(2)/2))/(LN(2)/2)*DB131*DE131*VLOOKUP('Données projet'!$B$13,Paramètres!$A$1:$I$89,3,0)*0.475*44/12</f>
        <v>5.386770701328538E-6</v>
      </c>
      <c r="DI131" s="24">
        <f t="shared" si="69"/>
        <v>270.02081375159298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6.8212102632969618E-13</v>
      </c>
      <c r="DP131" s="18">
        <f>DO131*VLOOKUP('Données projet'!$B$14,Paramètres!$A$1:$I$89,3,0)*VLOOKUP('Données projet'!$B$14,Paramètres!$A$1:$I$89,5,0)</f>
        <v>3.8130565371830017E-13</v>
      </c>
      <c r="DQ131" s="14">
        <f t="shared" si="97"/>
        <v>4.9019074112354236E-12</v>
      </c>
      <c r="DR131" s="22">
        <f t="shared" si="70"/>
        <v>9.2015960881277352E-12</v>
      </c>
      <c r="DS131" s="62">
        <f t="shared" si="71"/>
        <v>293.33333333334252</v>
      </c>
      <c r="DT131" s="62">
        <f ca="1">AVERAGE(OFFSET($DS$3,0,0,'Données projet'!$E$14+1,1))-AVERAGE(OFFSET($H$3,0,0,'Données projet'!$E$14+1,1))</f>
        <v>446.48069057792151</v>
      </c>
      <c r="DU131" s="62">
        <f t="shared" si="98"/>
        <v>561.75656782935948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48.030423051272798</v>
      </c>
      <c r="EB131" s="23">
        <f>EXP(-LN(2)/25)*EB130+(1-EXP(-LN(2)/25))/(LN(2)/25)*Calculateur!DW131*Calculateur!DY131*VLOOKUP('Données projet'!$B$14,Paramètres!$A$1:$I$89,3,0)*0.475*44/12</f>
        <v>12.298976514039913</v>
      </c>
      <c r="EC131" s="23">
        <f>EXP(-LN(2)/2)*EC130+(1-EXP(-LN(2)/2))/(LN(2)/2)*DW131*DZ131*VLOOKUP('Données projet'!$B$14,Paramètres!$A$1:$I$89,3,0)*0.475*44/12</f>
        <v>7.810604985700735E-9</v>
      </c>
      <c r="ED131" s="24">
        <f t="shared" si="72"/>
        <v>60.329399573123318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1.7053025658242404E-13</v>
      </c>
      <c r="EK131" s="18">
        <f>EJ131*VLOOKUP('Données projet'!$B$15,Paramètres!$A$1:$I$89,3,0)*VLOOKUP('Données projet'!$B$15,Paramètres!$A$1:$I$89,5,0)</f>
        <v>1.6493686416652052E-13</v>
      </c>
      <c r="EL131" s="14">
        <f t="shared" si="99"/>
        <v>2.3376205369651282E-12</v>
      </c>
      <c r="EM131" s="22">
        <f t="shared" si="73"/>
        <v>4.3586208069709543E-12</v>
      </c>
      <c r="EN131" s="62">
        <f t="shared" si="74"/>
        <v>293.33333333333769</v>
      </c>
      <c r="EO131" s="62">
        <f ca="1">AVERAGE(OFFSET($EN$3,0,0,'Données projet'!$E$15+1,1))-AVERAGE(OFFSET($H$3,0,0,'Données projet'!$E$15+1,1))</f>
        <v>301.18531163828169</v>
      </c>
      <c r="EP131" s="62">
        <f t="shared" si="100"/>
        <v>192.30530273268101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62.025784525291513</v>
      </c>
      <c r="EW131" s="23">
        <f>EXP(-LN(2)/25)*EW130+(1-EXP(-LN(2)/25))/(LN(2)/25)*Calculateur!ER131*Calculateur!ET131*VLOOKUP('Données projet'!$B$15,Paramètres!$A$1:$I$89,3,0)*0.475*44/12</f>
        <v>3.5792768847511423</v>
      </c>
      <c r="EX131" s="23">
        <f>EXP(-LN(2)/2)*EX130+(1-EXP(-LN(2)/2))/(LN(2)/2)*ER131*EU131*VLOOKUP('Données projet'!$B$15,Paramètres!$A$1:$I$89,3,0)*0.475*44/12</f>
        <v>3.6862382960694124E-9</v>
      </c>
      <c r="EY131" s="24">
        <f t="shared" si="75"/>
        <v>65.60506141372889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1.7053025658242404E-13</v>
      </c>
      <c r="FF131" s="18">
        <f>FE131*VLOOKUP('Données projet'!$B$16,Paramètres!$A$1:$I$89,3,0)*VLOOKUP('Données projet'!$B$16,Paramètres!$A$1:$I$89,5,0)</f>
        <v>1.3301360013429075E-13</v>
      </c>
      <c r="FG131" s="14">
        <f t="shared" si="101"/>
        <v>1.9329766731057041E-12</v>
      </c>
      <c r="FH131" s="22">
        <f t="shared" si="76"/>
        <v>3.5982663925596575E-12</v>
      </c>
      <c r="FI131" s="62">
        <f t="shared" si="77"/>
        <v>293.3333333333369</v>
      </c>
      <c r="FJ131" s="62">
        <f ca="1">AVERAGE(OFFSET($FI$3,0,0,'Données projet'!$E$16+1,1))-AVERAGE(OFFSET($H$3,0,0,'Données projet'!$E$16+1,1))</f>
        <v>249.2899297828755</v>
      </c>
      <c r="FK131" s="62">
        <f t="shared" si="102"/>
        <v>162.88011837476813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50.020793972009294</v>
      </c>
      <c r="FR131" s="23">
        <f>EXP(-LN(2)/25)*FR130+(1-EXP(-LN(2)/25))/(LN(2)/25)*Calculateur!FM131*Calculateur!FO131*VLOOKUP('Données projet'!$B$16,Paramètres!$A$1:$I$89,3,0)*0.475*44/12</f>
        <v>2.886513616734788</v>
      </c>
      <c r="FS131" s="23">
        <f>EXP(-LN(2)/2)*FS130+(1-EXP(-LN(2)/2))/(LN(2)/2)*FM131*FP131*VLOOKUP('Données projet'!$B$16,Paramètres!$A$1:$I$89,3,0)*0.475*44/12</f>
        <v>2.9727728194108017E-9</v>
      </c>
      <c r="FT131" s="24">
        <f t="shared" si="78"/>
        <v>52.907307591716858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1.7053025658242404E-13</v>
      </c>
      <c r="GA131" s="18">
        <f>FZ131*VLOOKUP('Données projet'!$B$17,Paramètres!$A$1:$I$89,3,0)*VLOOKUP('Données projet'!$B$17,Paramètres!$A$1:$I$89,5,0)</f>
        <v>1.1439169611549005E-13</v>
      </c>
      <c r="GB131" s="14">
        <f t="shared" si="103"/>
        <v>1.6918016515029816E-12</v>
      </c>
      <c r="GC131" s="22">
        <f t="shared" si="79"/>
        <v>3.1457867471021712E-12</v>
      </c>
      <c r="GD131" s="62">
        <f t="shared" si="80"/>
        <v>293.33333333333644</v>
      </c>
      <c r="GE131" s="62">
        <f ca="1">AVERAGE(OFFSET($GD$3,0,0,'Données projet'!$E$17+1,1))-AVERAGE(OFFSET($H$3,0,0,'Données projet'!$E$17+1,1))</f>
        <v>218.89895999738746</v>
      </c>
      <c r="GF131" s="62">
        <f t="shared" si="104"/>
        <v>145.64042897395763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53.022041610329822</v>
      </c>
      <c r="GM131" s="23">
        <f>EXP(-LN(2)/25)*GM130+(1-EXP(-LN(2)/25))/(LN(2)/25)*Calculateur!GH131*Calculateur!GJ131*VLOOKUP('Données projet'!$B$17,Paramètres!$A$1:$I$89,3,0)*0.475*44/12</f>
        <v>3.0597044337388772</v>
      </c>
      <c r="GN131" s="23">
        <f>EXP(-LN(2)/2)*GN130+(1-EXP(-LN(2)/2))/(LN(2)/2)*GH131*GK131*VLOOKUP('Données projet'!$B$17,Paramètres!$A$1:$I$89,3,0)*0.475*44/12</f>
        <v>2.5565846246933026E-9</v>
      </c>
      <c r="GO131" s="23">
        <f t="shared" si="81"/>
        <v>56.081746046625284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1.7053025658242404E-13</v>
      </c>
      <c r="GV131" s="18">
        <f>GU131*VLOOKUP('Données projet'!$B$18,Paramètres!$A$1:$I$89,3,0)*VLOOKUP('Données projet'!$B$18,Paramètres!$A$1:$I$89,5,0)</f>
        <v>1.8355876818532125E-13</v>
      </c>
      <c r="GW131" s="14">
        <f t="shared" si="105"/>
        <v>2.5693529898865504E-12</v>
      </c>
      <c r="GX131" s="22">
        <f t="shared" si="82"/>
        <v>4.7946546453085093E-12</v>
      </c>
      <c r="GY131" s="62">
        <f t="shared" si="83"/>
        <v>293.33333333333809</v>
      </c>
      <c r="GZ131" s="62">
        <f ca="1">AVERAGE(OFFSET($GY$3,0,0,'Données projet'!$E$18+1,1))-AVERAGE(OFFSET($H$3,0,0,'Données projet'!$E$18+1,1))</f>
        <v>331.3579800635751</v>
      </c>
      <c r="HA131" s="62">
        <f t="shared" si="106"/>
        <v>209.40702003535273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69.02869568137281</v>
      </c>
      <c r="HH131" s="23">
        <f>EXP(-LN(2)/25)*HH130+(1-EXP(-LN(2)/25))/(LN(2)/25)*Calculateur!HC131*Calculateur!HE131*VLOOKUP('Données projet'!$B$18,Paramètres!$A$1:$I$89,3,0)*0.475*44/12</f>
        <v>3.9833887910940131</v>
      </c>
      <c r="HI131" s="23">
        <f>EXP(-LN(2)/2)*HI130+(1-EXP(-LN(2)/2))/(LN(2)/2)*HC131*HF131*VLOOKUP('Données projet'!$B$18,Paramètres!$A$1:$I$89,3,0)*0.475*44/12</f>
        <v>4.1024264907869074E-9</v>
      </c>
      <c r="HJ131" s="24">
        <f t="shared" si="84"/>
        <v>73.012084476569257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104.98066666666666</v>
      </c>
      <c r="N132" s="14">
        <f>IF('Données projet'!$A$36&gt;35,N131+M132-V131,IF(A132&lt;'Données projet'!$A$36,$K$205^A132,IF(A132='Données projet'!$A$36,'Données projet'!$B$36,N131+M132-V131)))</f>
        <v>2871.6826666666698</v>
      </c>
      <c r="O132" s="14">
        <f>N132*VLOOKUP('Données projet'!$B$9,Paramètres!$A$1:$I$89,3,0)*VLOOKUP('Données projet'!$B$9,Paramètres!$A$1:$I$89,5,0)</f>
        <v>2598.2984768000028</v>
      </c>
      <c r="P132" s="14">
        <f t="shared" si="87"/>
        <v>479.48088635964365</v>
      </c>
      <c r="Q132" s="22">
        <f t="shared" si="108"/>
        <v>5360.4657241697169</v>
      </c>
      <c r="R132" s="62">
        <f t="shared" si="109"/>
        <v>5653.7990575030499</v>
      </c>
      <c r="S132" s="62">
        <f ca="1">AVERAGE(OFFSET($R$3,0,0,'Données projet'!$E$9+1,1))-AVERAGE(OFFSET($H$3,0,0,'Données projet'!$E$9+1,1))</f>
        <v>2472.5049373954762</v>
      </c>
      <c r="T132" s="62">
        <f t="shared" si="88"/>
        <v>286.98388307318311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442.92691344450748</v>
      </c>
      <c r="AA132" s="23">
        <f>EXP(-LN(2)/25)*AA131+(1-EXP(-LN(2)/25))/(LN(2)/25)*Calculateur!V132*Calculateur!X132*VLOOKUP('Données projet'!$B$9,Paramètres!$A$1:$I$89,3,0)*0.475*44/12</f>
        <v>25.265039035870778</v>
      </c>
      <c r="AB132" s="23">
        <f>EXP(-LN(2)/2)*AB131+(1-EXP(-LN(2)/2))/(LN(2)/2)*V132*Y132*VLOOKUP('Données projet'!$B$9,Paramètres!$A$1:$I$89,3,0)*0.475*44/12</f>
        <v>7.8999002614261897</v>
      </c>
      <c r="AC132" s="24">
        <f t="shared" ref="AC132:AC153" si="111">SUM(Z132:AB132)</f>
        <v>476.09185274180442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104.98066666666666</v>
      </c>
      <c r="AI132" s="14">
        <f>IF('Données projet'!$A$62&gt;35,AI131+AH132-AQ131,IF(A132&lt;'Données projet'!$A$62,$AF$205^A132,IF(A132='Données projet'!$A$62,'Données projet'!$B$62,AI131+AH132-AQ131)))</f>
        <v>2871.6826666666698</v>
      </c>
      <c r="AJ132" s="14">
        <f>AI132*VLOOKUP('Données projet'!$B$10,Paramètres!$A$1:$I$89,3,0)*VLOOKUP('Données projet'!$B$10,Paramètres!$A$1:$I$89,5,0)</f>
        <v>2911.8862240000035</v>
      </c>
      <c r="AK132" s="14">
        <f t="shared" si="89"/>
        <v>530.26940010184774</v>
      </c>
      <c r="AL132" s="22">
        <f t="shared" ref="AL132:AL153" si="112">(AJ132+AK132)*0.475*44/12</f>
        <v>5995.0877119773904</v>
      </c>
      <c r="AM132" s="62">
        <f t="shared" ref="AM132:AM195" si="113">AL132+(AD132+AE132)*44/12</f>
        <v>6288.4210453107235</v>
      </c>
      <c r="AN132" s="62">
        <f ca="1">AVERAGE(OFFSET($AM$3,0,0,'Données projet'!$E$10+1,1))-AVERAGE(OFFSET($H$3,0,0,'Données projet'!$E$10+1,1))</f>
        <v>2761.1400657295467</v>
      </c>
      <c r="AO132" s="62">
        <f t="shared" si="90"/>
        <v>316.41877504316409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496.38360989470686</v>
      </c>
      <c r="AV132" s="23">
        <f>EXP(-LN(2)/25)*AV131+(1-EXP(-LN(2)/25))/(LN(2)/25)*Calculateur!AQ132*Calculateur!AS132*VLOOKUP('Données projet'!$B$10,Paramètres!$A$1:$I$89,3,0)*0.475*44/12</f>
        <v>28.314267885027597</v>
      </c>
      <c r="AW132" s="23">
        <f>EXP(-LN(2)/2)*AW131+(1-EXP(-LN(2)/2))/(LN(2)/2)*AQ132*AT132*VLOOKUP('Données projet'!$B$10,Paramètres!$A$1:$I$89,3,0)*0.475*44/12</f>
        <v>8.8533364998741781</v>
      </c>
      <c r="AX132" s="23">
        <f t="shared" ref="AX132:AX153" si="114">SUM(AU132:AW132)</f>
        <v>533.55121427960864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104.98066666666666</v>
      </c>
      <c r="BD132" s="13">
        <f>IF('Données projet'!$A$88&gt;35,BD131+BC132-BL131,IF(A132&lt;'Données projet'!$A$88,$BA$205^A132,IF(A132='Données projet'!$A$88,'Données projet'!$B$88,BD131+BC132-BL131)))</f>
        <v>2871.6826666666698</v>
      </c>
      <c r="BE132" s="14">
        <f>BD132*VLOOKUP('Données projet'!$B$11,Paramètres!$A$1:$I$89,3,0)*VLOOKUP('Données projet'!$B$11,Paramètres!$A$1:$I$89,5,0)</f>
        <v>3001.4827232000034</v>
      </c>
      <c r="BF132" s="14">
        <f t="shared" si="91"/>
        <v>544.66067511880146</v>
      </c>
      <c r="BG132" s="22">
        <f t="shared" ref="BG132:BG153" si="115">(BE132+BF132)*0.475*44/12</f>
        <v>6176.1997520719187</v>
      </c>
      <c r="BH132" s="62">
        <f t="shared" ref="BH132:BH195" si="116">BG132+(AY132+AZ132)*44/12</f>
        <v>6469.5330854052518</v>
      </c>
      <c r="BI132" s="62">
        <f ca="1">AVERAGE(OFFSET($BH$3,0,0,'Données projet'!$E$11+1,1))-AVERAGE(OFFSET($H$3,0,0,'Données projet'!$E$11+1,1))</f>
        <v>2843.5086223152098</v>
      </c>
      <c r="BJ132" s="62">
        <f t="shared" si="92"/>
        <v>324.81562437645522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511.65695173762066</v>
      </c>
      <c r="BQ132" s="23">
        <f>EXP(-LN(2)/25)*BQ131+(1-EXP(-LN(2)/25))/(LN(2)/25)*Calculateur!BL132*Calculateur!BN132*VLOOKUP('Données projet'!$B$11,Paramètres!$A$1:$I$89,3,0)*0.475*44/12</f>
        <v>29.185476127643824</v>
      </c>
      <c r="BR132" s="23">
        <f>EXP(-LN(2)/2)*BR131+(1-EXP(-LN(2)/2))/(LN(2)/2)*BL132*BO132*VLOOKUP('Données projet'!$B$11,Paramètres!$A$1:$I$89,3,0)*0.475*44/12</f>
        <v>9.1257468537164659</v>
      </c>
      <c r="BS132" s="24">
        <f t="shared" ref="BS132:BS153" si="117">SUM(BP132:BR132)</f>
        <v>549.96817471898089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104.98066666666666</v>
      </c>
      <c r="BY132" s="13">
        <f>IF('Données projet'!$A$114&gt;35,BY131+BX132-CG131,IF(A132&lt;'Données projet'!$A$114,$BV$205^A132,IF(A132='Données projet'!$A$114,'Données projet'!$B$114,BY131+BX132-CG131)))</f>
        <v>2871.6826666666698</v>
      </c>
      <c r="BZ132" s="14">
        <f>BY132*VLOOKUP('Données projet'!$B$12,Paramètres!$A$1:$I$89,3,0)*VLOOKUP('Données projet'!$B$12,Paramètres!$A$1:$I$89,5,0)</f>
        <v>2867.0879744000031</v>
      </c>
      <c r="CA132" s="14">
        <f t="shared" si="93"/>
        <v>523.05450791038663</v>
      </c>
      <c r="CB132" s="22">
        <f t="shared" ref="CB132:CB153" si="118">(BZ132+CA132)*0.475*44/12</f>
        <v>5904.4981566905954</v>
      </c>
      <c r="CC132" s="62">
        <f t="shared" ref="CC132:CC195" si="119">CB132+(BT132+BU132)*44/12</f>
        <v>6197.8314900239284</v>
      </c>
      <c r="CD132" s="62">
        <f ca="1">AVERAGE(OFFSET($CC$3,0,0,'Données projet'!$E$12+1,1))-AVERAGE(OFFSET($H$3,0,0,'Données projet'!$E$12+1,1))</f>
        <v>2719.939926994799</v>
      </c>
      <c r="CE132" s="62">
        <f t="shared" si="94"/>
        <v>312.21824046329749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488.74693897324966</v>
      </c>
      <c r="CL132" s="23">
        <f>EXP(-LN(2)/25)*CL131+(1-EXP(-LN(2)/25))/(LN(2)/25)*Calculateur!CG132*Calculateur!CI132*VLOOKUP('Données projet'!$B$12,Paramètres!$A$1:$I$89,3,0)*0.475*44/12</f>
        <v>27.878663763719477</v>
      </c>
      <c r="CM132" s="23">
        <f>EXP(-LN(2)/2)*CM131+(1-EXP(-LN(2)/2))/(LN(2)/2)*CG132*CJ132*VLOOKUP('Données projet'!$B$12,Paramètres!$A$1:$I$89,3,0)*0.475*44/12</f>
        <v>8.7171313229530405</v>
      </c>
      <c r="CN132" s="24">
        <f t="shared" ref="CN132:CN153" si="120">SUM(CK132:CM132)</f>
        <v>525.34273405992212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1.1368683772161603E-12</v>
      </c>
      <c r="CU132" s="18">
        <f>CT132*VLOOKUP('Données projet'!$B$13,Paramètres!$A$1:$I$89,3,0)*VLOOKUP('Données projet'!$B$13,Paramètres!$A$1:$I$89,5,0)</f>
        <v>9.9316821433603771E-13</v>
      </c>
      <c r="CV132" s="14">
        <f t="shared" si="95"/>
        <v>1.1421454694498936E-11</v>
      </c>
      <c r="CW132" s="22">
        <f t="shared" ref="CW132:CW153" si="121">(CU132+CV132)*0.475*44/12</f>
        <v>2.1622134899554243E-11</v>
      </c>
      <c r="CX132" s="62">
        <f t="shared" ref="CX132:CX195" si="122">CW132+(CO132+CP132)*44/12</f>
        <v>293.33333333335491</v>
      </c>
      <c r="CY132" s="62">
        <f ca="1">AVERAGE(OFFSET($CX$3,0,0,'Données projet'!$E$13+1,1))-AVERAGE(OFFSET($H$3,0,0,'Données projet'!$E$13+1,1))</f>
        <v>1036.0130072090849</v>
      </c>
      <c r="CZ132" s="62">
        <f t="shared" si="96"/>
        <v>346.56593355696174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253.76152006681937</v>
      </c>
      <c r="DG132" s="23">
        <f>EXP(-LN(2)/25)*DG131+(1-EXP(-LN(2)/25))/(LN(2)/25)*Calculateur!DB132*Calculateur!DD132*VLOOKUP('Données projet'!$B$13,Paramètres!$A$1:$I$89,3,0)*0.475*44/12</f>
        <v>10.877832004138467</v>
      </c>
      <c r="DH132" s="23">
        <f>EXP(-LN(2)/2)*DH131+(1-EXP(-LN(2)/2))/(LN(2)/2)*DB132*DE132*VLOOKUP('Données projet'!$B$13,Paramètres!$A$1:$I$89,3,0)*0.475*44/12</f>
        <v>3.809022091606424E-6</v>
      </c>
      <c r="DI132" s="24">
        <f t="shared" ref="DI132:DI153" si="123">SUM(DF132:DH132)</f>
        <v>264.63935587997992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6.8212102632969618E-13</v>
      </c>
      <c r="DP132" s="18">
        <f>DO132*VLOOKUP('Données projet'!$B$14,Paramètres!$A$1:$I$89,3,0)*VLOOKUP('Données projet'!$B$14,Paramètres!$A$1:$I$89,5,0)</f>
        <v>3.8130565371830017E-13</v>
      </c>
      <c r="DQ132" s="14">
        <f t="shared" si="97"/>
        <v>4.9019074112354236E-12</v>
      </c>
      <c r="DR132" s="22">
        <f t="shared" ref="DR132:DR153" si="124">(DP132+DQ132)*0.475*44/12</f>
        <v>9.2015960881277352E-12</v>
      </c>
      <c r="DS132" s="62">
        <f t="shared" ref="DS132:DS195" si="125">DR132+(DJ132+DK132)*44/12</f>
        <v>293.33333333334252</v>
      </c>
      <c r="DT132" s="62">
        <f ca="1">AVERAGE(OFFSET($DS$3,0,0,'Données projet'!$E$14+1,1))-AVERAGE(OFFSET($H$3,0,0,'Données projet'!$E$14+1,1))</f>
        <v>446.48069057792151</v>
      </c>
      <c r="DU132" s="62">
        <f t="shared" si="98"/>
        <v>561.75656782935948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47.088575750902692</v>
      </c>
      <c r="EB132" s="23">
        <f>EXP(-LN(2)/25)*EB131+(1-EXP(-LN(2)/25))/(LN(2)/25)*Calculateur!DW132*Calculateur!DY132*VLOOKUP('Données projet'!$B$14,Paramètres!$A$1:$I$89,3,0)*0.475*44/12</f>
        <v>11.962660354488426</v>
      </c>
      <c r="EC132" s="23">
        <f>EXP(-LN(2)/2)*EC131+(1-EXP(-LN(2)/2))/(LN(2)/2)*DW132*DZ132*VLOOKUP('Données projet'!$B$14,Paramètres!$A$1:$I$89,3,0)*0.475*44/12</f>
        <v>5.5229317505584468E-9</v>
      </c>
      <c r="ED132" s="24">
        <f t="shared" ref="ED132:ED153" si="126">SUM(EA132:EC132)</f>
        <v>59.051236110914054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1.7053025658242404E-13</v>
      </c>
      <c r="EK132" s="18">
        <f>EJ132*VLOOKUP('Données projet'!$B$15,Paramètres!$A$1:$I$89,3,0)*VLOOKUP('Données projet'!$B$15,Paramètres!$A$1:$I$89,5,0)</f>
        <v>1.6493686416652052E-13</v>
      </c>
      <c r="EL132" s="14">
        <f t="shared" si="99"/>
        <v>2.3376205369651282E-12</v>
      </c>
      <c r="EM132" s="22">
        <f t="shared" ref="EM132:EM153" si="127">(EK132+EL132)*0.475*44/12</f>
        <v>4.3586208069709543E-12</v>
      </c>
      <c r="EN132" s="62">
        <f t="shared" ref="EN132:EN195" si="128">EM132+(EE132+EF132)*44/12</f>
        <v>293.33333333333769</v>
      </c>
      <c r="EO132" s="62">
        <f ca="1">AVERAGE(OFFSET($EN$3,0,0,'Données projet'!$E$15+1,1))-AVERAGE(OFFSET($H$3,0,0,'Données projet'!$E$15+1,1))</f>
        <v>301.18531163828169</v>
      </c>
      <c r="EP132" s="62">
        <f t="shared" si="100"/>
        <v>192.30530273268101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60.809496722743511</v>
      </c>
      <c r="EW132" s="23">
        <f>EXP(-LN(2)/25)*EW131+(1-EXP(-LN(2)/25))/(LN(2)/25)*Calculateur!ER132*Calculateur!ET132*VLOOKUP('Données projet'!$B$15,Paramètres!$A$1:$I$89,3,0)*0.475*44/12</f>
        <v>3.4814013701116315</v>
      </c>
      <c r="EX132" s="23">
        <f>EXP(-LN(2)/2)*EX131+(1-EXP(-LN(2)/2))/(LN(2)/2)*ER132*EU132*VLOOKUP('Données projet'!$B$15,Paramètres!$A$1:$I$89,3,0)*0.475*44/12</f>
        <v>2.6065640962202261E-9</v>
      </c>
      <c r="EY132" s="24">
        <f t="shared" ref="EY132:EY153" si="129">SUM(EV132:EX132)</f>
        <v>64.290898095461714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1.7053025658242404E-13</v>
      </c>
      <c r="FF132" s="18">
        <f>FE132*VLOOKUP('Données projet'!$B$16,Paramètres!$A$1:$I$89,3,0)*VLOOKUP('Données projet'!$B$16,Paramètres!$A$1:$I$89,5,0)</f>
        <v>1.3301360013429075E-13</v>
      </c>
      <c r="FG132" s="14">
        <f t="shared" si="101"/>
        <v>1.9329766731057041E-12</v>
      </c>
      <c r="FH132" s="22">
        <f t="shared" ref="FH132:FH153" si="130">(FF132+FG132)*0.475*44/12</f>
        <v>3.5982663925596575E-12</v>
      </c>
      <c r="FI132" s="62">
        <f t="shared" ref="FI132:FI195" si="131">FH132+(EZ132+FA132)*44/12</f>
        <v>293.3333333333369</v>
      </c>
      <c r="FJ132" s="62">
        <f ca="1">AVERAGE(OFFSET($FI$3,0,0,'Données projet'!$E$16+1,1))-AVERAGE(OFFSET($H$3,0,0,'Données projet'!$E$16+1,1))</f>
        <v>249.2899297828755</v>
      </c>
      <c r="FK132" s="62">
        <f t="shared" si="102"/>
        <v>162.88011837476813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49.039916711889937</v>
      </c>
      <c r="FR132" s="23">
        <f>EXP(-LN(2)/25)*FR131+(1-EXP(-LN(2)/25))/(LN(2)/25)*Calculateur!FM132*Calculateur!FO132*VLOOKUP('Données projet'!$B$16,Paramètres!$A$1:$I$89,3,0)*0.475*44/12</f>
        <v>2.8075817500900215</v>
      </c>
      <c r="FS132" s="23">
        <f>EXP(-LN(2)/2)*FS131+(1-EXP(-LN(2)/2))/(LN(2)/2)*FM132*FP132*VLOOKUP('Données projet'!$B$16,Paramètres!$A$1:$I$89,3,0)*0.475*44/12</f>
        <v>2.1020678195324297E-9</v>
      </c>
      <c r="FT132" s="24">
        <f t="shared" ref="FT132:FT153" si="132">SUM(FQ132:FS132)</f>
        <v>51.84749846408203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1.7053025658242404E-13</v>
      </c>
      <c r="GA132" s="18">
        <f>FZ132*VLOOKUP('Données projet'!$B$17,Paramètres!$A$1:$I$89,3,0)*VLOOKUP('Données projet'!$B$17,Paramètres!$A$1:$I$89,5,0)</f>
        <v>1.1439169611549005E-13</v>
      </c>
      <c r="GB132" s="14">
        <f t="shared" si="103"/>
        <v>1.6918016515029816E-12</v>
      </c>
      <c r="GC132" s="22">
        <f t="shared" ref="GC132:GC153" si="133">(GA132+GB132)*0.475*44/12</f>
        <v>3.1457867471021712E-12</v>
      </c>
      <c r="GD132" s="62">
        <f t="shared" ref="GD132:GD195" si="134">GC132+(FU132+FV132)*44/12</f>
        <v>293.33333333333644</v>
      </c>
      <c r="GE132" s="62">
        <f ca="1">AVERAGE(OFFSET($GD$3,0,0,'Données projet'!$E$17+1,1))-AVERAGE(OFFSET($H$3,0,0,'Données projet'!$E$17+1,1))</f>
        <v>218.89895999738746</v>
      </c>
      <c r="GF132" s="62">
        <f t="shared" si="104"/>
        <v>145.64042897395763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51.982311714603298</v>
      </c>
      <c r="GM132" s="23">
        <f>EXP(-LN(2)/25)*GM131+(1-EXP(-LN(2)/25))/(LN(2)/25)*Calculateur!GH132*Calculateur!GJ132*VLOOKUP('Données projet'!$B$17,Paramètres!$A$1:$I$89,3,0)*0.475*44/12</f>
        <v>2.9760366550954247</v>
      </c>
      <c r="GN132" s="23">
        <f>EXP(-LN(2)/2)*GN131+(1-EXP(-LN(2)/2))/(LN(2)/2)*GH132*GK132*VLOOKUP('Données projet'!$B$17,Paramètres!$A$1:$I$89,3,0)*0.475*44/12</f>
        <v>1.8077783247978989E-9</v>
      </c>
      <c r="GO132" s="23">
        <f t="shared" ref="GO132:GO153" si="135">SUM(GL132:GN132)</f>
        <v>54.958348371506503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1.7053025658242404E-13</v>
      </c>
      <c r="GV132" s="18">
        <f>GU132*VLOOKUP('Données projet'!$B$18,Paramètres!$A$1:$I$89,3,0)*VLOOKUP('Données projet'!$B$18,Paramètres!$A$1:$I$89,5,0)</f>
        <v>1.8355876818532125E-13</v>
      </c>
      <c r="GW132" s="14">
        <f t="shared" si="105"/>
        <v>2.5693529898865504E-12</v>
      </c>
      <c r="GX132" s="22">
        <f t="shared" ref="GX132:GX153" si="136">(GV132+GW132)*0.475*44/12</f>
        <v>4.7946546453085093E-12</v>
      </c>
      <c r="GY132" s="62">
        <f t="shared" ref="GY132:GY195" si="137">GX132+(GP132+GQ132)*44/12</f>
        <v>293.33333333333809</v>
      </c>
      <c r="GZ132" s="62">
        <f ca="1">AVERAGE(OFFSET($GY$3,0,0,'Données projet'!$E$18+1,1))-AVERAGE(OFFSET($H$3,0,0,'Données projet'!$E$18+1,1))</f>
        <v>331.3579800635751</v>
      </c>
      <c r="HA132" s="62">
        <f t="shared" si="106"/>
        <v>209.40702003535273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67.675085062408101</v>
      </c>
      <c r="HH132" s="23">
        <f>EXP(-LN(2)/25)*HH131+(1-EXP(-LN(2)/25))/(LN(2)/25)*Calculateur!HC132*Calculateur!HE132*VLOOKUP('Données projet'!$B$18,Paramètres!$A$1:$I$89,3,0)*0.475*44/12</f>
        <v>3.8744628151242351</v>
      </c>
      <c r="HI132" s="23">
        <f>EXP(-LN(2)/2)*HI131+(1-EXP(-LN(2)/2))/(LN(2)/2)*HC132*HF132*VLOOKUP('Données projet'!$B$18,Paramètres!$A$1:$I$89,3,0)*0.475*44/12</f>
        <v>2.9008535909547538E-9</v>
      </c>
      <c r="HJ132" s="24">
        <f t="shared" ref="HJ132:HJ153" si="138">SUM(HG132:HI132)</f>
        <v>71.549547880433181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104.98066666666666</v>
      </c>
      <c r="N133" s="14">
        <f>IF('Données projet'!$A$36&gt;35,N132+M133-V132,IF(A133&lt;'Données projet'!$A$36,$K$205^A133,IF(A133='Données projet'!$A$36,'Données projet'!$B$36,N132+M133-V132)))</f>
        <v>2976.6633333333366</v>
      </c>
      <c r="O133" s="14">
        <f>N133*VLOOKUP('Données projet'!$B$9,Paramètres!$A$1:$I$89,3,0)*VLOOKUP('Données projet'!$B$9,Paramètres!$A$1:$I$89,5,0)</f>
        <v>2693.2849840000026</v>
      </c>
      <c r="P133" s="14">
        <f t="shared" ref="P133:P196" si="141">EXP(-1.0587+0.8836*LN(O133)+0.284)</f>
        <v>494.93653525211306</v>
      </c>
      <c r="Q133" s="22">
        <f t="shared" si="108"/>
        <v>5552.819146030768</v>
      </c>
      <c r="R133" s="62">
        <f t="shared" si="109"/>
        <v>5846.1524793641011</v>
      </c>
      <c r="S133" s="62">
        <f ca="1">AVERAGE(OFFSET($R$3,0,0,'Données projet'!$E$9+1,1))-AVERAGE(OFFSET($H$3,0,0,'Données projet'!$E$9+1,1))</f>
        <v>2472.5049373954762</v>
      </c>
      <c r="T133" s="62">
        <f t="shared" ref="T133:T196" si="142">$T$3</f>
        <v>286.98388307318311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434.24138683060193</v>
      </c>
      <c r="AA133" s="23">
        <f>EXP(-LN(2)/25)*AA132+(1-EXP(-LN(2)/25))/(LN(2)/25)*Calculateur!V133*Calculateur!X133*VLOOKUP('Données projet'!$B$9,Paramètres!$A$1:$I$89,3,0)*0.475*44/12</f>
        <v>24.574165214804232</v>
      </c>
      <c r="AB133" s="23">
        <f>EXP(-LN(2)/2)*AB132+(1-EXP(-LN(2)/2))/(LN(2)/2)*V133*Y133*VLOOKUP('Données projet'!$B$9,Paramètres!$A$1:$I$89,3,0)*0.475*44/12</f>
        <v>5.5860730455518386</v>
      </c>
      <c r="AC133" s="24">
        <f t="shared" si="111"/>
        <v>464.40162509095796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104.98066666666666</v>
      </c>
      <c r="AI133" s="14">
        <f>IF('Données projet'!$A$62&gt;35,AI132+AH133-AQ132,IF(A133&lt;'Données projet'!$A$62,$AF$205^A133,IF(A133='Données projet'!$A$62,'Données projet'!$B$62,AI132+AH133-AQ132)))</f>
        <v>2976.6633333333366</v>
      </c>
      <c r="AJ133" s="14">
        <f>AI133*VLOOKUP('Données projet'!$B$10,Paramètres!$A$1:$I$89,3,0)*VLOOKUP('Données projet'!$B$10,Paramètres!$A$1:$I$89,5,0)</f>
        <v>3018.3366200000037</v>
      </c>
      <c r="AK133" s="14">
        <f t="shared" ref="AK133:AK153" si="143">EXP(-1.0587+0.8836*LN(AJ133)+0.284)</f>
        <v>547.36217251373375</v>
      </c>
      <c r="AL133" s="22">
        <f t="shared" si="112"/>
        <v>6210.2587302947586</v>
      </c>
      <c r="AM133" s="62">
        <f t="shared" si="113"/>
        <v>6503.5920636280916</v>
      </c>
      <c r="AN133" s="62">
        <f ca="1">AVERAGE(OFFSET($AM$3,0,0,'Données projet'!$E$10+1,1))-AVERAGE(OFFSET($H$3,0,0,'Données projet'!$E$10+1,1))</f>
        <v>2761.1400657295467</v>
      </c>
      <c r="AO133" s="62">
        <f t="shared" ref="AO133:AO196" si="144">$AO$3</f>
        <v>316.41877504316409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486.64983006877821</v>
      </c>
      <c r="AV133" s="23">
        <f>EXP(-LN(2)/25)*AV132+(1-EXP(-LN(2)/25))/(LN(2)/25)*Calculateur!AQ133*Calculateur!AS133*VLOOKUP('Données projet'!$B$10,Paramètres!$A$1:$I$89,3,0)*0.475*44/12</f>
        <v>27.540012740728884</v>
      </c>
      <c r="AW133" s="23">
        <f>EXP(-LN(2)/2)*AW132+(1-EXP(-LN(2)/2))/(LN(2)/2)*AQ133*AT133*VLOOKUP('Données projet'!$B$10,Paramètres!$A$1:$I$89,3,0)*0.475*44/12</f>
        <v>6.2602542751874051</v>
      </c>
      <c r="AX133" s="23">
        <f t="shared" si="114"/>
        <v>520.45009708469456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104.98066666666666</v>
      </c>
      <c r="BD133" s="13">
        <f>IF('Données projet'!$A$88&gt;35,BD132+BC133-BL132,IF(A133&lt;'Données projet'!$A$88,$BA$205^A133,IF(A133='Données projet'!$A$88,'Données projet'!$B$88,BD132+BC133-BL132)))</f>
        <v>2976.6633333333366</v>
      </c>
      <c r="BE133" s="14">
        <f>BD133*VLOOKUP('Données projet'!$B$11,Paramètres!$A$1:$I$89,3,0)*VLOOKUP('Données projet'!$B$11,Paramètres!$A$1:$I$89,5,0)</f>
        <v>3111.2085160000038</v>
      </c>
      <c r="BF133" s="14">
        <f t="shared" ref="BF133:BF153" si="145">EXP(-1.0587+0.8836*LN(BE133)+0.284)</f>
        <v>562.21733775051621</v>
      </c>
      <c r="BG133" s="22">
        <f t="shared" si="115"/>
        <v>6397.8833619488223</v>
      </c>
      <c r="BH133" s="62">
        <f t="shared" si="116"/>
        <v>6691.2166952821553</v>
      </c>
      <c r="BI133" s="62">
        <f ca="1">AVERAGE(OFFSET($BH$3,0,0,'Données projet'!$E$11+1,1))-AVERAGE(OFFSET($H$3,0,0,'Données projet'!$E$11+1,1))</f>
        <v>2843.5086223152098</v>
      </c>
      <c r="BJ133" s="62">
        <f t="shared" ref="BJ133:BJ196" si="146">$BJ$3</f>
        <v>324.81562437645522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501.62367099397113</v>
      </c>
      <c r="BQ133" s="23">
        <f>EXP(-LN(2)/25)*BQ132+(1-EXP(-LN(2)/25))/(LN(2)/25)*Calculateur!BL133*Calculateur!BN133*VLOOKUP('Données projet'!$B$11,Paramètres!$A$1:$I$89,3,0)*0.475*44/12</f>
        <v>28.387397748135918</v>
      </c>
      <c r="BR133" s="23">
        <f>EXP(-LN(2)/2)*BR132+(1-EXP(-LN(2)/2))/(LN(2)/2)*BL133*BO133*VLOOKUP('Données projet'!$B$11,Paramètres!$A$1:$I$89,3,0)*0.475*44/12</f>
        <v>6.4528774836547136</v>
      </c>
      <c r="BS133" s="24">
        <f t="shared" si="117"/>
        <v>536.46394622576167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104.98066666666666</v>
      </c>
      <c r="BY133" s="13">
        <f>IF('Données projet'!$A$114&gt;35,BY132+BX133-CG132,IF(A133&lt;'Données projet'!$A$114,$BV$205^A133,IF(A133='Données projet'!$A$114,'Données projet'!$B$114,BY132+BX133-CG132)))</f>
        <v>2976.6633333333366</v>
      </c>
      <c r="BZ133" s="14">
        <f>BY133*VLOOKUP('Données projet'!$B$12,Paramètres!$A$1:$I$89,3,0)*VLOOKUP('Données projet'!$B$12,Paramètres!$A$1:$I$89,5,0)</f>
        <v>2971.9006720000034</v>
      </c>
      <c r="CA133" s="14">
        <f t="shared" ref="CA133:CA153" si="147">EXP(-1.0587+0.8836*LN(BZ133)+0.284)</f>
        <v>539.91471455441717</v>
      </c>
      <c r="CB133" s="22">
        <f t="shared" si="118"/>
        <v>6116.4117982489479</v>
      </c>
      <c r="CC133" s="62">
        <f t="shared" si="119"/>
        <v>6409.7451315822809</v>
      </c>
      <c r="CD133" s="62">
        <f ca="1">AVERAGE(OFFSET($CC$3,0,0,'Données projet'!$E$12+1,1))-AVERAGE(OFFSET($H$3,0,0,'Données projet'!$E$12+1,1))</f>
        <v>2719.939926994799</v>
      </c>
      <c r="CE133" s="62">
        <f t="shared" ref="CE133:CE196" si="148">$CE$3</f>
        <v>312.21824046329749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479.16290960618147</v>
      </c>
      <c r="CL133" s="23">
        <f>EXP(-LN(2)/25)*CL132+(1-EXP(-LN(2)/25))/(LN(2)/25)*Calculateur!CG133*Calculateur!CI133*VLOOKUP('Données projet'!$B$12,Paramètres!$A$1:$I$89,3,0)*0.475*44/12</f>
        <v>27.116320237025359</v>
      </c>
      <c r="CM133" s="23">
        <f>EXP(-LN(2)/2)*CM132+(1-EXP(-LN(2)/2))/(LN(2)/2)*CG133*CJ133*VLOOKUP('Données projet'!$B$12,Paramètres!$A$1:$I$89,3,0)*0.475*44/12</f>
        <v>6.1639426709537553</v>
      </c>
      <c r="CN133" s="24">
        <f t="shared" si="120"/>
        <v>512.44317251416055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1.1368683772161603E-12</v>
      </c>
      <c r="CU133" s="18">
        <f>CT133*VLOOKUP('Données projet'!$B$13,Paramètres!$A$1:$I$89,3,0)*VLOOKUP('Données projet'!$B$13,Paramètres!$A$1:$I$89,5,0)</f>
        <v>9.9316821433603771E-13</v>
      </c>
      <c r="CV133" s="14">
        <f t="shared" ref="CV133:CV153" si="149">EXP(-1.0587+0.8836*LN(CU133)+0.284)</f>
        <v>1.1421454694498936E-11</v>
      </c>
      <c r="CW133" s="22">
        <f t="shared" si="121"/>
        <v>2.1622134899554243E-11</v>
      </c>
      <c r="CX133" s="62">
        <f t="shared" si="122"/>
        <v>293.33333333335491</v>
      </c>
      <c r="CY133" s="62">
        <f ca="1">AVERAGE(OFFSET($CX$3,0,0,'Données projet'!$E$13+1,1))-AVERAGE(OFFSET($H$3,0,0,'Données projet'!$E$13+1,1))</f>
        <v>1036.0130072090849</v>
      </c>
      <c r="CZ133" s="62">
        <f t="shared" ref="CZ133:CZ196" si="150">$CZ$3</f>
        <v>346.56593355696174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248.78541143755311</v>
      </c>
      <c r="DG133" s="23">
        <f>EXP(-LN(2)/25)*DG132+(1-EXP(-LN(2)/25))/(LN(2)/25)*Calculateur!DB133*Calculateur!DD133*VLOOKUP('Données projet'!$B$13,Paramètres!$A$1:$I$89,3,0)*0.475*44/12</f>
        <v>10.580377115944977</v>
      </c>
      <c r="DH133" s="23">
        <f>EXP(-LN(2)/2)*DH132+(1-EXP(-LN(2)/2))/(LN(2)/2)*DB133*DE133*VLOOKUP('Données projet'!$B$13,Paramètres!$A$1:$I$89,3,0)*0.475*44/12</f>
        <v>2.6933853506642694E-6</v>
      </c>
      <c r="DI133" s="24">
        <f t="shared" si="123"/>
        <v>259.36579124688342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6.8212102632969618E-13</v>
      </c>
      <c r="DP133" s="18">
        <f>DO133*VLOOKUP('Données projet'!$B$14,Paramètres!$A$1:$I$89,3,0)*VLOOKUP('Données projet'!$B$14,Paramètres!$A$1:$I$89,5,0)</f>
        <v>3.8130565371830017E-13</v>
      </c>
      <c r="DQ133" s="14">
        <f t="shared" ref="DQ133:DQ153" si="151">EXP(-1.0587+0.8836*LN(DP133)+0.284)</f>
        <v>4.9019074112354236E-12</v>
      </c>
      <c r="DR133" s="22">
        <f t="shared" si="124"/>
        <v>9.2015960881277352E-12</v>
      </c>
      <c r="DS133" s="62">
        <f t="shared" si="125"/>
        <v>293.33333333334252</v>
      </c>
      <c r="DT133" s="62">
        <f ca="1">AVERAGE(OFFSET($DS$3,0,0,'Données projet'!$E$14+1,1))-AVERAGE(OFFSET($H$3,0,0,'Données projet'!$E$14+1,1))</f>
        <v>446.48069057792151</v>
      </c>
      <c r="DU133" s="62">
        <f t="shared" ref="DU133:DU196" si="152">$DU$3</f>
        <v>561.75656782935948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46.165197501622714</v>
      </c>
      <c r="EB133" s="23">
        <f>EXP(-LN(2)/25)*EB132+(1-EXP(-LN(2)/25))/(LN(2)/25)*Calculateur!DW133*Calculateur!DY133*VLOOKUP('Données projet'!$B$14,Paramètres!$A$1:$I$89,3,0)*0.475*44/12</f>
        <v>11.635540778005973</v>
      </c>
      <c r="EC133" s="23">
        <f>EXP(-LN(2)/2)*EC132+(1-EXP(-LN(2)/2))/(LN(2)/2)*DW133*DZ133*VLOOKUP('Données projet'!$B$14,Paramètres!$A$1:$I$89,3,0)*0.475*44/12</f>
        <v>3.9053024928503675E-9</v>
      </c>
      <c r="ED133" s="24">
        <f t="shared" si="126"/>
        <v>57.800738283533988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1.7053025658242404E-13</v>
      </c>
      <c r="EK133" s="18">
        <f>EJ133*VLOOKUP('Données projet'!$B$15,Paramètres!$A$1:$I$89,3,0)*VLOOKUP('Données projet'!$B$15,Paramètres!$A$1:$I$89,5,0)</f>
        <v>1.6493686416652052E-13</v>
      </c>
      <c r="EL133" s="14">
        <f t="shared" ref="EL133:EL153" si="153">EXP(-1.0587+0.8836*LN(EK133)+0.284)</f>
        <v>2.3376205369651282E-12</v>
      </c>
      <c r="EM133" s="22">
        <f t="shared" si="127"/>
        <v>4.3586208069709543E-12</v>
      </c>
      <c r="EN133" s="62">
        <f t="shared" si="128"/>
        <v>293.33333333333769</v>
      </c>
      <c r="EO133" s="62">
        <f ca="1">AVERAGE(OFFSET($EN$3,0,0,'Données projet'!$E$15+1,1))-AVERAGE(OFFSET($H$3,0,0,'Données projet'!$E$15+1,1))</f>
        <v>301.18531163828169</v>
      </c>
      <c r="EP133" s="62">
        <f t="shared" ref="EP133:EP196" si="154">$EP$3</f>
        <v>192.30530273268101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59.617059582141167</v>
      </c>
      <c r="EW133" s="23">
        <f>EXP(-LN(2)/25)*EW132+(1-EXP(-LN(2)/25))/(LN(2)/25)*Calculateur!ER133*Calculateur!ET133*VLOOKUP('Données projet'!$B$15,Paramètres!$A$1:$I$89,3,0)*0.475*44/12</f>
        <v>3.386202266566988</v>
      </c>
      <c r="EX133" s="23">
        <f>EXP(-LN(2)/2)*EX132+(1-EXP(-LN(2)/2))/(LN(2)/2)*ER133*EU133*VLOOKUP('Données projet'!$B$15,Paramètres!$A$1:$I$89,3,0)*0.475*44/12</f>
        <v>1.8431191480347066E-9</v>
      </c>
      <c r="EY133" s="24">
        <f t="shared" si="129"/>
        <v>63.003261850551276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1.7053025658242404E-13</v>
      </c>
      <c r="FF133" s="18">
        <f>FE133*VLOOKUP('Données projet'!$B$16,Paramètres!$A$1:$I$89,3,0)*VLOOKUP('Données projet'!$B$16,Paramètres!$A$1:$I$89,5,0)</f>
        <v>1.3301360013429075E-13</v>
      </c>
      <c r="FG133" s="14">
        <f t="shared" ref="FG133:FG153" si="155">EXP(-1.0587+0.8836*LN(FF133)+0.284)</f>
        <v>1.9329766731057041E-12</v>
      </c>
      <c r="FH133" s="22">
        <f t="shared" si="130"/>
        <v>3.5982663925596575E-12</v>
      </c>
      <c r="FI133" s="62">
        <f t="shared" si="131"/>
        <v>293.3333333333369</v>
      </c>
      <c r="FJ133" s="62">
        <f ca="1">AVERAGE(OFFSET($FI$3,0,0,'Données projet'!$E$16+1,1))-AVERAGE(OFFSET($H$3,0,0,'Données projet'!$E$16+1,1))</f>
        <v>249.2899297828755</v>
      </c>
      <c r="FK133" s="62">
        <f t="shared" ref="FK133:FK196" si="156">$FK$3</f>
        <v>162.88011837476813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48.078273856565467</v>
      </c>
      <c r="FR133" s="23">
        <f>EXP(-LN(2)/25)*FR132+(1-EXP(-LN(2)/25))/(LN(2)/25)*Calculateur!FM133*Calculateur!FO133*VLOOKUP('Données projet'!$B$16,Paramètres!$A$1:$I$89,3,0)*0.475*44/12</f>
        <v>2.7308082794895023</v>
      </c>
      <c r="FS133" s="23">
        <f>EXP(-LN(2)/2)*FS132+(1-EXP(-LN(2)/2))/(LN(2)/2)*FM133*FP133*VLOOKUP('Données projet'!$B$16,Paramètres!$A$1:$I$89,3,0)*0.475*44/12</f>
        <v>1.4863864097054009E-9</v>
      </c>
      <c r="FT133" s="24">
        <f t="shared" si="132"/>
        <v>50.809082137541353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1.7053025658242404E-13</v>
      </c>
      <c r="GA133" s="18">
        <f>FZ133*VLOOKUP('Données projet'!$B$17,Paramètres!$A$1:$I$89,3,0)*VLOOKUP('Données projet'!$B$17,Paramètres!$A$1:$I$89,5,0)</f>
        <v>1.1439169611549005E-13</v>
      </c>
      <c r="GB133" s="14">
        <f t="shared" ref="GB133:GB153" si="157">EXP(-1.0587+0.8836*LN(GA133)+0.284)</f>
        <v>1.6918016515029816E-12</v>
      </c>
      <c r="GC133" s="22">
        <f t="shared" si="133"/>
        <v>3.1457867471021712E-12</v>
      </c>
      <c r="GD133" s="62">
        <f t="shared" si="134"/>
        <v>293.33333333333644</v>
      </c>
      <c r="GE133" s="62">
        <f ca="1">AVERAGE(OFFSET($GD$3,0,0,'Données projet'!$E$17+1,1))-AVERAGE(OFFSET($H$3,0,0,'Données projet'!$E$17+1,1))</f>
        <v>218.89895999738746</v>
      </c>
      <c r="GF133" s="62">
        <f t="shared" ref="GF133:GF196" si="158">$GF$3</f>
        <v>145.64042897395763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50.962970287959358</v>
      </c>
      <c r="GM133" s="23">
        <f>EXP(-LN(2)/25)*GM132+(1-EXP(-LN(2)/25))/(LN(2)/25)*Calculateur!GH133*Calculateur!GJ133*VLOOKUP('Données projet'!$B$17,Paramètres!$A$1:$I$89,3,0)*0.475*44/12</f>
        <v>2.8946567762588744</v>
      </c>
      <c r="GN133" s="23">
        <f>EXP(-LN(2)/2)*GN132+(1-EXP(-LN(2)/2))/(LN(2)/2)*GH133*GK133*VLOOKUP('Données projet'!$B$17,Paramètres!$A$1:$I$89,3,0)*0.475*44/12</f>
        <v>1.2782923123466515E-9</v>
      </c>
      <c r="GO133" s="23">
        <f t="shared" si="135"/>
        <v>53.85762706549653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1.7053025658242404E-13</v>
      </c>
      <c r="GV133" s="18">
        <f>GU133*VLOOKUP('Données projet'!$B$18,Paramètres!$A$1:$I$89,3,0)*VLOOKUP('Données projet'!$B$18,Paramètres!$A$1:$I$89,5,0)</f>
        <v>1.8355876818532125E-13</v>
      </c>
      <c r="GW133" s="14">
        <f t="shared" ref="GW133:GW153" si="159">EXP(-1.0587+0.8836*LN(GV133)+0.284)</f>
        <v>2.5693529898865504E-12</v>
      </c>
      <c r="GX133" s="22">
        <f t="shared" si="136"/>
        <v>4.7946546453085093E-12</v>
      </c>
      <c r="GY133" s="62">
        <f t="shared" si="137"/>
        <v>293.33333333333809</v>
      </c>
      <c r="GZ133" s="62">
        <f ca="1">AVERAGE(OFFSET($GY$3,0,0,'Données projet'!$E$18+1,1))-AVERAGE(OFFSET($H$3,0,0,'Données projet'!$E$18+1,1))</f>
        <v>331.3579800635751</v>
      </c>
      <c r="HA133" s="62">
        <f t="shared" ref="HA133:HA196" si="160">$HA$3</f>
        <v>209.40702003535273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66.348017922060336</v>
      </c>
      <c r="HH133" s="23">
        <f>EXP(-LN(2)/25)*HH132+(1-EXP(-LN(2)/25))/(LN(2)/25)*Calculateur!HC133*Calculateur!HE133*VLOOKUP('Données projet'!$B$18,Paramètres!$A$1:$I$89,3,0)*0.475*44/12</f>
        <v>3.7685154256955187</v>
      </c>
      <c r="HI133" s="23">
        <f>EXP(-LN(2)/2)*HI132+(1-EXP(-LN(2)/2))/(LN(2)/2)*HC133*HF133*VLOOKUP('Données projet'!$B$18,Paramètres!$A$1:$I$89,3,0)*0.475*44/12</f>
        <v>2.0512132453934537E-9</v>
      </c>
      <c r="HJ133" s="24">
        <f t="shared" si="138"/>
        <v>70.116533349807057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104.98066666666666</v>
      </c>
      <c r="N134" s="14">
        <f>IF('Données projet'!$A$36&gt;35,N133+M134-V133,IF(A134&lt;'Données projet'!$A$36,$K$205^A134,IF(A134='Données projet'!$A$36,'Données projet'!$B$36,N133+M134-V133)))</f>
        <v>3081.6440000000034</v>
      </c>
      <c r="O134" s="14">
        <f>N134*VLOOKUP('Données projet'!$B$9,Paramètres!$A$1:$I$89,3,0)*VLOOKUP('Données projet'!$B$9,Paramètres!$A$1:$I$89,5,0)</f>
        <v>2788.2714912000033</v>
      </c>
      <c r="P134" s="14">
        <f t="shared" si="141"/>
        <v>510.32885205428551</v>
      </c>
      <c r="Q134" s="22">
        <f t="shared" si="108"/>
        <v>5745.062264501219</v>
      </c>
      <c r="R134" s="62">
        <f t="shared" si="109"/>
        <v>6038.3955978345521</v>
      </c>
      <c r="S134" s="62">
        <f ca="1">AVERAGE(OFFSET($R$3,0,0,'Données projet'!$E$9+1,1))-AVERAGE(OFFSET($H$3,0,0,'Données projet'!$E$9+1,1))</f>
        <v>2472.5049373954762</v>
      </c>
      <c r="T134" s="62">
        <f t="shared" si="142"/>
        <v>286.98388307318311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425.72617809594692</v>
      </c>
      <c r="AA134" s="23">
        <f>EXP(-LN(2)/25)*AA133+(1-EXP(-LN(2)/25))/(LN(2)/25)*Calculateur!V134*Calculateur!X134*VLOOKUP('Données projet'!$B$9,Paramètres!$A$1:$I$89,3,0)*0.475*44/12</f>
        <v>23.902183374706226</v>
      </c>
      <c r="AB134" s="23">
        <f>EXP(-LN(2)/2)*AB133+(1-EXP(-LN(2)/2))/(LN(2)/2)*V134*Y134*VLOOKUP('Données projet'!$B$9,Paramètres!$A$1:$I$89,3,0)*0.475*44/12</f>
        <v>3.9499501307130953</v>
      </c>
      <c r="AC134" s="24">
        <f t="shared" si="111"/>
        <v>453.57831160136624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104.98066666666666</v>
      </c>
      <c r="AI134" s="14">
        <f>IF('Données projet'!$A$62&gt;35,AI133+AH134-AQ133,IF(A134&lt;'Données projet'!$A$62,$AF$205^A134,IF(A134='Données projet'!$A$62,'Données projet'!$B$62,AI133+AH134-AQ133)))</f>
        <v>3081.6440000000034</v>
      </c>
      <c r="AJ134" s="14">
        <f>AI134*VLOOKUP('Données projet'!$B$10,Paramètres!$A$1:$I$89,3,0)*VLOOKUP('Données projet'!$B$10,Paramètres!$A$1:$I$89,5,0)</f>
        <v>3124.7870160000039</v>
      </c>
      <c r="AK134" s="14">
        <f t="shared" si="143"/>
        <v>564.38490444958654</v>
      </c>
      <c r="AL134" s="22">
        <f t="shared" si="112"/>
        <v>6425.3077614497024</v>
      </c>
      <c r="AM134" s="62">
        <f t="shared" si="113"/>
        <v>6718.6410947830354</v>
      </c>
      <c r="AN134" s="62">
        <f ca="1">AVERAGE(OFFSET($AM$3,0,0,'Données projet'!$E$10+1,1))-AVERAGE(OFFSET($H$3,0,0,'Données projet'!$E$10+1,1))</f>
        <v>2761.1400657295467</v>
      </c>
      <c r="AO134" s="62">
        <f t="shared" si="144"/>
        <v>316.41877504316409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477.1069237282166</v>
      </c>
      <c r="AV134" s="23">
        <f>EXP(-LN(2)/25)*AV133+(1-EXP(-LN(2)/25))/(LN(2)/25)*Calculateur!AQ134*Calculateur!AS134*VLOOKUP('Données projet'!$B$10,Paramètres!$A$1:$I$89,3,0)*0.475*44/12</f>
        <v>26.786929644067325</v>
      </c>
      <c r="AW134" s="23">
        <f>EXP(-LN(2)/2)*AW133+(1-EXP(-LN(2)/2))/(LN(2)/2)*AQ134*AT134*VLOOKUP('Données projet'!$B$10,Paramètres!$A$1:$I$89,3,0)*0.475*44/12</f>
        <v>4.4266682499370891</v>
      </c>
      <c r="AX134" s="23">
        <f t="shared" si="114"/>
        <v>508.32052162222101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104.98066666666666</v>
      </c>
      <c r="BD134" s="13">
        <f>IF('Données projet'!$A$88&gt;35,BD133+BC134-BL133,IF(A134&lt;'Données projet'!$A$88,$BA$205^A134,IF(A134='Données projet'!$A$88,'Données projet'!$B$88,BD133+BC134-BL133)))</f>
        <v>3081.6440000000034</v>
      </c>
      <c r="BE134" s="14">
        <f>BD134*VLOOKUP('Données projet'!$B$11,Paramètres!$A$1:$I$89,3,0)*VLOOKUP('Données projet'!$B$11,Paramètres!$A$1:$I$89,5,0)</f>
        <v>3220.9343088000041</v>
      </c>
      <c r="BF134" s="14">
        <f t="shared" si="145"/>
        <v>579.70205903891633</v>
      </c>
      <c r="BG134" s="22">
        <f t="shared" si="115"/>
        <v>6619.4416739861199</v>
      </c>
      <c r="BH134" s="62">
        <f t="shared" si="116"/>
        <v>6912.7750073194529</v>
      </c>
      <c r="BI134" s="62">
        <f ca="1">AVERAGE(OFFSET($BH$3,0,0,'Données projet'!$E$11+1,1))-AVERAGE(OFFSET($H$3,0,0,'Données projet'!$E$11+1,1))</f>
        <v>2843.5086223152098</v>
      </c>
      <c r="BJ134" s="62">
        <f t="shared" si="146"/>
        <v>324.81562437645522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491.78713676600762</v>
      </c>
      <c r="BQ134" s="23">
        <f>EXP(-LN(2)/25)*BQ133+(1-EXP(-LN(2)/25))/(LN(2)/25)*Calculateur!BL134*Calculateur!BN134*VLOOKUP('Données projet'!$B$11,Paramètres!$A$1:$I$89,3,0)*0.475*44/12</f>
        <v>27.611142863884773</v>
      </c>
      <c r="BR134" s="23">
        <f>EXP(-LN(2)/2)*BR133+(1-EXP(-LN(2)/2))/(LN(2)/2)*BL134*BO134*VLOOKUP('Données projet'!$B$11,Paramètres!$A$1:$I$89,3,0)*0.475*44/12</f>
        <v>4.5628734268582329</v>
      </c>
      <c r="BS134" s="24">
        <f t="shared" si="117"/>
        <v>523.96115305675062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104.98066666666666</v>
      </c>
      <c r="BY134" s="13">
        <f>IF('Données projet'!$A$114&gt;35,BY133+BX134-CG133,IF(A134&lt;'Données projet'!$A$114,$BV$205^A134,IF(A134='Données projet'!$A$114,'Données projet'!$B$114,BY133+BX134-CG133)))</f>
        <v>3081.6440000000034</v>
      </c>
      <c r="BZ134" s="14">
        <f>BY134*VLOOKUP('Données projet'!$B$12,Paramètres!$A$1:$I$89,3,0)*VLOOKUP('Données projet'!$B$12,Paramètres!$A$1:$I$89,5,0)</f>
        <v>3076.7133696000037</v>
      </c>
      <c r="CA134" s="14">
        <f t="shared" si="147"/>
        <v>556.70583369930432</v>
      </c>
      <c r="CB134" s="22">
        <f t="shared" si="118"/>
        <v>6328.2051124129612</v>
      </c>
      <c r="CC134" s="62">
        <f t="shared" si="119"/>
        <v>6621.5384457462942</v>
      </c>
      <c r="CD134" s="62">
        <f ca="1">AVERAGE(OFFSET($CC$3,0,0,'Données projet'!$E$12+1,1))-AVERAGE(OFFSET($H$3,0,0,'Données projet'!$E$12+1,1))</f>
        <v>2719.939926994799</v>
      </c>
      <c r="CE134" s="62">
        <f t="shared" si="148"/>
        <v>312.21824046329749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469.76681720932078</v>
      </c>
      <c r="CL134" s="23">
        <f>EXP(-LN(2)/25)*CL133+(1-EXP(-LN(2)/25))/(LN(2)/25)*Calculateur!CG134*Calculateur!CI134*VLOOKUP('Données projet'!$B$12,Paramètres!$A$1:$I$89,3,0)*0.475*44/12</f>
        <v>26.374823034158595</v>
      </c>
      <c r="CM134" s="23">
        <f>EXP(-LN(2)/2)*CM133+(1-EXP(-LN(2)/2))/(LN(2)/2)*CG134*CJ134*VLOOKUP('Données projet'!$B$12,Paramètres!$A$1:$I$89,3,0)*0.475*44/12</f>
        <v>4.3585656614765202</v>
      </c>
      <c r="CN134" s="24">
        <f t="shared" si="120"/>
        <v>500.50020590495592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1.1368683772161603E-12</v>
      </c>
      <c r="CU134" s="18">
        <f>CT134*VLOOKUP('Données projet'!$B$13,Paramètres!$A$1:$I$89,3,0)*VLOOKUP('Données projet'!$B$13,Paramètres!$A$1:$I$89,5,0)</f>
        <v>9.9316821433603771E-13</v>
      </c>
      <c r="CV134" s="14">
        <f t="shared" si="149"/>
        <v>1.1421454694498936E-11</v>
      </c>
      <c r="CW134" s="22">
        <f t="shared" si="121"/>
        <v>2.1622134899554243E-11</v>
      </c>
      <c r="CX134" s="62">
        <f t="shared" si="122"/>
        <v>293.33333333335491</v>
      </c>
      <c r="CY134" s="62">
        <f ca="1">AVERAGE(OFFSET($CX$3,0,0,'Données projet'!$E$13+1,1))-AVERAGE(OFFSET($H$3,0,0,'Données projet'!$E$13+1,1))</f>
        <v>1036.0130072090849</v>
      </c>
      <c r="CZ134" s="62">
        <f t="shared" si="150"/>
        <v>346.56593355696174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243.90688126338017</v>
      </c>
      <c r="DG134" s="23">
        <f>EXP(-LN(2)/25)*DG133+(1-EXP(-LN(2)/25))/(LN(2)/25)*Calculateur!DB134*Calculateur!DD134*VLOOKUP('Données projet'!$B$13,Paramètres!$A$1:$I$89,3,0)*0.475*44/12</f>
        <v>10.291056147311611</v>
      </c>
      <c r="DH134" s="23">
        <f>EXP(-LN(2)/2)*DH133+(1-EXP(-LN(2)/2))/(LN(2)/2)*DB134*DE134*VLOOKUP('Données projet'!$B$13,Paramètres!$A$1:$I$89,3,0)*0.475*44/12</f>
        <v>1.9045110458032122E-6</v>
      </c>
      <c r="DI134" s="24">
        <f t="shared" si="123"/>
        <v>254.19793931520283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6.8212102632969618E-13</v>
      </c>
      <c r="DP134" s="18">
        <f>DO134*VLOOKUP('Données projet'!$B$14,Paramètres!$A$1:$I$89,3,0)*VLOOKUP('Données projet'!$B$14,Paramètres!$A$1:$I$89,5,0)</f>
        <v>3.8130565371830017E-13</v>
      </c>
      <c r="DQ134" s="14">
        <f t="shared" si="151"/>
        <v>4.9019074112354236E-12</v>
      </c>
      <c r="DR134" s="22">
        <f t="shared" si="124"/>
        <v>9.2015960881277352E-12</v>
      </c>
      <c r="DS134" s="62">
        <f t="shared" si="125"/>
        <v>293.33333333334252</v>
      </c>
      <c r="DT134" s="62">
        <f ca="1">AVERAGE(OFFSET($DS$3,0,0,'Données projet'!$E$14+1,1))-AVERAGE(OFFSET($H$3,0,0,'Données projet'!$E$14+1,1))</f>
        <v>446.48069057792151</v>
      </c>
      <c r="DU134" s="62">
        <f t="shared" si="152"/>
        <v>561.75656782935948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45.259926136605998</v>
      </c>
      <c r="EB134" s="23">
        <f>EXP(-LN(2)/25)*EB133+(1-EXP(-LN(2)/25))/(LN(2)/25)*Calculateur!DW134*Calculateur!DY134*VLOOKUP('Données projet'!$B$14,Paramètres!$A$1:$I$89,3,0)*0.475*44/12</f>
        <v>11.317366303544905</v>
      </c>
      <c r="EC134" s="23">
        <f>EXP(-LN(2)/2)*EC133+(1-EXP(-LN(2)/2))/(LN(2)/2)*DW134*DZ134*VLOOKUP('Données projet'!$B$14,Paramètres!$A$1:$I$89,3,0)*0.475*44/12</f>
        <v>2.7614658752792234E-9</v>
      </c>
      <c r="ED134" s="24">
        <f t="shared" si="126"/>
        <v>56.577292442912366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1.7053025658242404E-13</v>
      </c>
      <c r="EK134" s="18">
        <f>EJ134*VLOOKUP('Données projet'!$B$15,Paramètres!$A$1:$I$89,3,0)*VLOOKUP('Données projet'!$B$15,Paramètres!$A$1:$I$89,5,0)</f>
        <v>1.6493686416652052E-13</v>
      </c>
      <c r="EL134" s="14">
        <f t="shared" si="153"/>
        <v>2.3376205369651282E-12</v>
      </c>
      <c r="EM134" s="22">
        <f t="shared" si="127"/>
        <v>4.3586208069709543E-12</v>
      </c>
      <c r="EN134" s="62">
        <f t="shared" si="128"/>
        <v>293.33333333333769</v>
      </c>
      <c r="EO134" s="62">
        <f ca="1">AVERAGE(OFFSET($EN$3,0,0,'Données projet'!$E$15+1,1))-AVERAGE(OFFSET($H$3,0,0,'Données projet'!$E$15+1,1))</f>
        <v>301.18531163828169</v>
      </c>
      <c r="EP134" s="62">
        <f t="shared" si="154"/>
        <v>192.30530273268101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58.448005406551196</v>
      </c>
      <c r="EW134" s="23">
        <f>EXP(-LN(2)/25)*EW133+(1-EXP(-LN(2)/25))/(LN(2)/25)*Calculateur!ER134*Calculateur!ET134*VLOOKUP('Données projet'!$B$15,Paramètres!$A$1:$I$89,3,0)*0.475*44/12</f>
        <v>3.2936063875150756</v>
      </c>
      <c r="EX134" s="23">
        <f>EXP(-LN(2)/2)*EX133+(1-EXP(-LN(2)/2))/(LN(2)/2)*ER134*EU134*VLOOKUP('Données projet'!$B$15,Paramètres!$A$1:$I$89,3,0)*0.475*44/12</f>
        <v>1.3032820481101133E-9</v>
      </c>
      <c r="EY134" s="24">
        <f t="shared" si="129"/>
        <v>61.741611795369558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1.7053025658242404E-13</v>
      </c>
      <c r="FF134" s="18">
        <f>FE134*VLOOKUP('Données projet'!$B$16,Paramètres!$A$1:$I$89,3,0)*VLOOKUP('Données projet'!$B$16,Paramètres!$A$1:$I$89,5,0)</f>
        <v>1.3301360013429075E-13</v>
      </c>
      <c r="FG134" s="14">
        <f t="shared" si="155"/>
        <v>1.9329766731057041E-12</v>
      </c>
      <c r="FH134" s="22">
        <f t="shared" si="130"/>
        <v>3.5982663925596575E-12</v>
      </c>
      <c r="FI134" s="62">
        <f t="shared" si="131"/>
        <v>293.3333333333369</v>
      </c>
      <c r="FJ134" s="62">
        <f ca="1">AVERAGE(OFFSET($FI$3,0,0,'Données projet'!$E$16+1,1))-AVERAGE(OFFSET($H$3,0,0,'Données projet'!$E$16+1,1))</f>
        <v>249.2899297828755</v>
      </c>
      <c r="FK134" s="62">
        <f t="shared" si="156"/>
        <v>162.88011837476813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47.135488231089681</v>
      </c>
      <c r="FR134" s="23">
        <f>EXP(-LN(2)/25)*FR133+(1-EXP(-LN(2)/25))/(LN(2)/25)*Calculateur!FM134*Calculateur!FO134*VLOOKUP('Données projet'!$B$16,Paramètres!$A$1:$I$89,3,0)*0.475*44/12</f>
        <v>2.6561341834798959</v>
      </c>
      <c r="FS134" s="23">
        <f>EXP(-LN(2)/2)*FS133+(1-EXP(-LN(2)/2))/(LN(2)/2)*FM134*FP134*VLOOKUP('Données projet'!$B$16,Paramètres!$A$1:$I$89,3,0)*0.475*44/12</f>
        <v>1.0510339097662149E-9</v>
      </c>
      <c r="FT134" s="24">
        <f t="shared" si="132"/>
        <v>49.791622415620608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1.7053025658242404E-13</v>
      </c>
      <c r="GA134" s="18">
        <f>FZ134*VLOOKUP('Données projet'!$B$17,Paramètres!$A$1:$I$89,3,0)*VLOOKUP('Données projet'!$B$17,Paramètres!$A$1:$I$89,5,0)</f>
        <v>1.1439169611549005E-13</v>
      </c>
      <c r="GB134" s="14">
        <f t="shared" si="157"/>
        <v>1.6918016515029816E-12</v>
      </c>
      <c r="GC134" s="22">
        <f t="shared" si="133"/>
        <v>3.1457867471021712E-12</v>
      </c>
      <c r="GD134" s="62">
        <f t="shared" si="134"/>
        <v>293.33333333333644</v>
      </c>
      <c r="GE134" s="62">
        <f ca="1">AVERAGE(OFFSET($GD$3,0,0,'Données projet'!$E$17+1,1))-AVERAGE(OFFSET($H$3,0,0,'Données projet'!$E$17+1,1))</f>
        <v>218.89895999738746</v>
      </c>
      <c r="GF134" s="62">
        <f t="shared" si="158"/>
        <v>145.64042897395763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49.963617524955026</v>
      </c>
      <c r="GM134" s="23">
        <f>EXP(-LN(2)/25)*GM133+(1-EXP(-LN(2)/25))/(LN(2)/25)*Calculateur!GH134*Calculateur!GJ134*VLOOKUP('Données projet'!$B$17,Paramètres!$A$1:$I$89,3,0)*0.475*44/12</f>
        <v>2.8155022344886915</v>
      </c>
      <c r="GN134" s="23">
        <f>EXP(-LN(2)/2)*GN133+(1-EXP(-LN(2)/2))/(LN(2)/2)*GH134*GK134*VLOOKUP('Données projet'!$B$17,Paramètres!$A$1:$I$89,3,0)*0.475*44/12</f>
        <v>9.0388916239894966E-10</v>
      </c>
      <c r="GO134" s="23">
        <f t="shared" si="135"/>
        <v>52.779119760347605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1.7053025658242404E-13</v>
      </c>
      <c r="GV134" s="18">
        <f>GU134*VLOOKUP('Données projet'!$B$18,Paramètres!$A$1:$I$89,3,0)*VLOOKUP('Données projet'!$B$18,Paramètres!$A$1:$I$89,5,0)</f>
        <v>1.8355876818532125E-13</v>
      </c>
      <c r="GW134" s="14">
        <f t="shared" si="159"/>
        <v>2.5693529898865504E-12</v>
      </c>
      <c r="GX134" s="22">
        <f t="shared" si="136"/>
        <v>4.7946546453085093E-12</v>
      </c>
      <c r="GY134" s="62">
        <f t="shared" si="137"/>
        <v>293.33333333333809</v>
      </c>
      <c r="GZ134" s="62">
        <f ca="1">AVERAGE(OFFSET($GY$3,0,0,'Données projet'!$E$18+1,1))-AVERAGE(OFFSET($H$3,0,0,'Données projet'!$E$18+1,1))</f>
        <v>331.3579800635751</v>
      </c>
      <c r="HA134" s="62">
        <f t="shared" si="160"/>
        <v>209.40702003535273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65.046973758903746</v>
      </c>
      <c r="HH134" s="23">
        <f>EXP(-LN(2)/25)*HH133+(1-EXP(-LN(2)/25))/(LN(2)/25)*Calculateur!HC134*Calculateur!HE134*VLOOKUP('Données projet'!$B$18,Paramètres!$A$1:$I$89,3,0)*0.475*44/12</f>
        <v>3.6654651732022616</v>
      </c>
      <c r="HI134" s="23">
        <f>EXP(-LN(2)/2)*HI133+(1-EXP(-LN(2)/2))/(LN(2)/2)*HC134*HF134*VLOOKUP('Données projet'!$B$18,Paramètres!$A$1:$I$89,3,0)*0.475*44/12</f>
        <v>1.4504267954773769E-9</v>
      </c>
      <c r="HJ134" s="24">
        <f t="shared" si="138"/>
        <v>68.712438933556442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104.98066666666666</v>
      </c>
      <c r="N135" s="14">
        <f>IF('Données projet'!$A$36&gt;35,N134+M135-V134,IF(A135&lt;'Données projet'!$A$36,$K$205^A135,IF(A135='Données projet'!$A$36,'Données projet'!$B$36,N134+M135-V134)))</f>
        <v>3186.6246666666702</v>
      </c>
      <c r="O135" s="14">
        <f>N135*VLOOKUP('Données projet'!$B$9,Paramètres!$A$1:$I$89,3,0)*VLOOKUP('Données projet'!$B$9,Paramètres!$A$1:$I$89,5,0)</f>
        <v>2883.2579984000031</v>
      </c>
      <c r="P135" s="14">
        <f t="shared" si="141"/>
        <v>525.66024157438176</v>
      </c>
      <c r="Q135" s="22">
        <f t="shared" si="108"/>
        <v>5937.1992679553869</v>
      </c>
      <c r="R135" s="62">
        <f t="shared" si="109"/>
        <v>6230.5326012887199</v>
      </c>
      <c r="S135" s="62">
        <f ca="1">AVERAGE(OFFSET($R$3,0,0,'Données projet'!$E$9+1,1))-AVERAGE(OFFSET($H$3,0,0,'Données projet'!$E$9+1,1))</f>
        <v>2472.5049373954762</v>
      </c>
      <c r="T135" s="62">
        <f t="shared" si="142"/>
        <v>286.98388307318311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417.37794741081404</v>
      </c>
      <c r="AA135" s="23">
        <f>EXP(-LN(2)/25)*AA134+(1-EXP(-LN(2)/25))/(LN(2)/25)*Calculateur!V135*Calculateur!X135*VLOOKUP('Données projet'!$B$9,Paramètres!$A$1:$I$89,3,0)*0.475*44/12</f>
        <v>23.248576913363689</v>
      </c>
      <c r="AB135" s="23">
        <f>EXP(-LN(2)/2)*AB134+(1-EXP(-LN(2)/2))/(LN(2)/2)*V135*Y135*VLOOKUP('Données projet'!$B$9,Paramètres!$A$1:$I$89,3,0)*0.475*44/12</f>
        <v>2.7930365227759197</v>
      </c>
      <c r="AC135" s="24">
        <f t="shared" si="111"/>
        <v>443.41956084695369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104.98066666666666</v>
      </c>
      <c r="AI135" s="14">
        <f>IF('Données projet'!$A$62&gt;35,AI134+AH135-AQ134,IF(A135&lt;'Données projet'!$A$62,$AF$205^A135,IF(A135='Données projet'!$A$62,'Données projet'!$B$62,AI134+AH135-AQ134)))</f>
        <v>3186.6246666666702</v>
      </c>
      <c r="AJ135" s="14">
        <f>AI135*VLOOKUP('Données projet'!$B$10,Paramètres!$A$1:$I$89,3,0)*VLOOKUP('Données projet'!$B$10,Paramètres!$A$1:$I$89,5,0)</f>
        <v>3231.2374120000036</v>
      </c>
      <c r="AK135" s="14">
        <f t="shared" si="143"/>
        <v>581.3402554444358</v>
      </c>
      <c r="AL135" s="22">
        <f t="shared" si="112"/>
        <v>6640.2394374657333</v>
      </c>
      <c r="AM135" s="62">
        <f t="shared" si="113"/>
        <v>6933.5727707990663</v>
      </c>
      <c r="AN135" s="62">
        <f ca="1">AVERAGE(OFFSET($AM$3,0,0,'Données projet'!$E$10+1,1))-AVERAGE(OFFSET($H$3,0,0,'Données projet'!$E$10+1,1))</f>
        <v>2761.1400657295467</v>
      </c>
      <c r="AO135" s="62">
        <f t="shared" si="144"/>
        <v>316.41877504316409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467.75114796039526</v>
      </c>
      <c r="AV135" s="23">
        <f>EXP(-LN(2)/25)*AV134+(1-EXP(-LN(2)/25))/(LN(2)/25)*Calculateur!AQ135*Calculateur!AS135*VLOOKUP('Données projet'!$B$10,Paramètres!$A$1:$I$89,3,0)*0.475*44/12</f>
        <v>26.054439644286894</v>
      </c>
      <c r="AW135" s="23">
        <f>EXP(-LN(2)/2)*AW134+(1-EXP(-LN(2)/2))/(LN(2)/2)*AQ135*AT135*VLOOKUP('Données projet'!$B$10,Paramètres!$A$1:$I$89,3,0)*0.475*44/12</f>
        <v>3.1301271375937025</v>
      </c>
      <c r="AX135" s="23">
        <f t="shared" si="114"/>
        <v>496.93571474227588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104.98066666666666</v>
      </c>
      <c r="BD135" s="13">
        <f>IF('Données projet'!$A$88&gt;35,BD134+BC135-BL134,IF(A135&lt;'Données projet'!$A$88,$BA$205^A135,IF(A135='Données projet'!$A$88,'Données projet'!$B$88,BD134+BC135-BL134)))</f>
        <v>3186.6246666666702</v>
      </c>
      <c r="BE135" s="14">
        <f>BD135*VLOOKUP('Données projet'!$B$11,Paramètres!$A$1:$I$89,3,0)*VLOOKUP('Données projet'!$B$11,Paramètres!$A$1:$I$89,5,0)</f>
        <v>3330.6601016000036</v>
      </c>
      <c r="BF135" s="14">
        <f t="shared" si="145"/>
        <v>597.11757069762632</v>
      </c>
      <c r="BG135" s="22">
        <f t="shared" si="115"/>
        <v>6840.8794459183728</v>
      </c>
      <c r="BH135" s="62">
        <f t="shared" si="116"/>
        <v>7134.2127792517058</v>
      </c>
      <c r="BI135" s="62">
        <f ca="1">AVERAGE(OFFSET($BH$3,0,0,'Données projet'!$E$11+1,1))-AVERAGE(OFFSET($H$3,0,0,'Données projet'!$E$11+1,1))</f>
        <v>2843.5086223152098</v>
      </c>
      <c r="BJ135" s="62">
        <f t="shared" si="146"/>
        <v>324.81562437645522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482.14349097456102</v>
      </c>
      <c r="BQ135" s="23">
        <f>EXP(-LN(2)/25)*BQ134+(1-EXP(-LN(2)/25))/(LN(2)/25)*Calculateur!BL135*Calculateur!BN135*VLOOKUP('Données projet'!$B$11,Paramètres!$A$1:$I$89,3,0)*0.475*44/12</f>
        <v>26.856114710264947</v>
      </c>
      <c r="BR135" s="23">
        <f>EXP(-LN(2)/2)*BR134+(1-EXP(-LN(2)/2))/(LN(2)/2)*BL135*BO135*VLOOKUP('Données projet'!$B$11,Paramètres!$A$1:$I$89,3,0)*0.475*44/12</f>
        <v>3.2264387418273568</v>
      </c>
      <c r="BS135" s="24">
        <f t="shared" si="117"/>
        <v>512.22604442665329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104.98066666666666</v>
      </c>
      <c r="BY135" s="13">
        <f>IF('Données projet'!$A$114&gt;35,BY134+BX135-CG134,IF(A135&lt;'Données projet'!$A$114,$BV$205^A135,IF(A135='Données projet'!$A$114,'Données projet'!$B$114,BY134+BX135-CG134)))</f>
        <v>3186.6246666666702</v>
      </c>
      <c r="BZ135" s="14">
        <f>BY135*VLOOKUP('Données projet'!$B$12,Paramètres!$A$1:$I$89,3,0)*VLOOKUP('Données projet'!$B$12,Paramètres!$A$1:$I$89,5,0)</f>
        <v>3181.526067200004</v>
      </c>
      <c r="CA135" s="14">
        <f t="shared" si="147"/>
        <v>573.43048869420943</v>
      </c>
      <c r="CB135" s="22">
        <f t="shared" si="118"/>
        <v>6539.8826681824221</v>
      </c>
      <c r="CC135" s="62">
        <f t="shared" si="119"/>
        <v>6833.2160015157551</v>
      </c>
      <c r="CD135" s="62">
        <f ca="1">AVERAGE(OFFSET($CC$3,0,0,'Données projet'!$E$12+1,1))-AVERAGE(OFFSET($H$3,0,0,'Données projet'!$E$12+1,1))</f>
        <v>2719.939926994799</v>
      </c>
      <c r="CE135" s="62">
        <f t="shared" si="148"/>
        <v>312.21824046329749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460.55497645331207</v>
      </c>
      <c r="CL135" s="23">
        <f>EXP(-LN(2)/25)*CL134+(1-EXP(-LN(2)/25))/(LN(2)/25)*Calculateur!CG135*Calculateur!CI135*VLOOKUP('Données projet'!$B$12,Paramètres!$A$1:$I$89,3,0)*0.475*44/12</f>
        <v>25.653602111297864</v>
      </c>
      <c r="CM135" s="23">
        <f>EXP(-LN(2)/2)*CM134+(1-EXP(-LN(2)/2))/(LN(2)/2)*CG135*CJ135*VLOOKUP('Données projet'!$B$12,Paramètres!$A$1:$I$89,3,0)*0.475*44/12</f>
        <v>3.0819713354768776</v>
      </c>
      <c r="CN135" s="24">
        <f t="shared" si="120"/>
        <v>489.29054990008677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1.1368683772161603E-12</v>
      </c>
      <c r="CU135" s="18">
        <f>CT135*VLOOKUP('Données projet'!$B$13,Paramètres!$A$1:$I$89,3,0)*VLOOKUP('Données projet'!$B$13,Paramètres!$A$1:$I$89,5,0)</f>
        <v>9.9316821433603771E-13</v>
      </c>
      <c r="CV135" s="14">
        <f t="shared" si="149"/>
        <v>1.1421454694498936E-11</v>
      </c>
      <c r="CW135" s="22">
        <f t="shared" si="121"/>
        <v>2.1622134899554243E-11</v>
      </c>
      <c r="CX135" s="62">
        <f t="shared" si="122"/>
        <v>293.33333333335491</v>
      </c>
      <c r="CY135" s="62">
        <f ca="1">AVERAGE(OFFSET($CX$3,0,0,'Données projet'!$E$13+1,1))-AVERAGE(OFFSET($H$3,0,0,'Données projet'!$E$13+1,1))</f>
        <v>1036.0130072090849</v>
      </c>
      <c r="CZ135" s="62">
        <f t="shared" si="150"/>
        <v>346.56593355696174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239.12401609031318</v>
      </c>
      <c r="DG135" s="23">
        <f>EXP(-LN(2)/25)*DG134+(1-EXP(-LN(2)/25))/(LN(2)/25)*Calculateur!DB135*Calculateur!DD135*VLOOKUP('Données projet'!$B$13,Paramètres!$A$1:$I$89,3,0)*0.475*44/12</f>
        <v>10.009646675780253</v>
      </c>
      <c r="DH135" s="23">
        <f>EXP(-LN(2)/2)*DH134+(1-EXP(-LN(2)/2))/(LN(2)/2)*DB135*DE135*VLOOKUP('Données projet'!$B$13,Paramètres!$A$1:$I$89,3,0)*0.475*44/12</f>
        <v>1.3466926753321349E-6</v>
      </c>
      <c r="DI135" s="24">
        <f t="shared" si="123"/>
        <v>249.13366411278611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6.8212102632969618E-13</v>
      </c>
      <c r="DP135" s="18">
        <f>DO135*VLOOKUP('Données projet'!$B$14,Paramètres!$A$1:$I$89,3,0)*VLOOKUP('Données projet'!$B$14,Paramètres!$A$1:$I$89,5,0)</f>
        <v>3.8130565371830017E-13</v>
      </c>
      <c r="DQ135" s="14">
        <f t="shared" si="151"/>
        <v>4.9019074112354236E-12</v>
      </c>
      <c r="DR135" s="22">
        <f t="shared" si="124"/>
        <v>9.2015960881277352E-12</v>
      </c>
      <c r="DS135" s="62">
        <f t="shared" si="125"/>
        <v>293.33333333334252</v>
      </c>
      <c r="DT135" s="62">
        <f ca="1">AVERAGE(OFFSET($DS$3,0,0,'Données projet'!$E$14+1,1))-AVERAGE(OFFSET($H$3,0,0,'Données projet'!$E$14+1,1))</f>
        <v>446.48069057792151</v>
      </c>
      <c r="DU135" s="62">
        <f t="shared" si="152"/>
        <v>561.75656782935948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44.372406590896247</v>
      </c>
      <c r="EB135" s="23">
        <f>EXP(-LN(2)/25)*EB134+(1-EXP(-LN(2)/25))/(LN(2)/25)*Calculateur!DW135*Calculateur!DY135*VLOOKUP('Données projet'!$B$14,Paramètres!$A$1:$I$89,3,0)*0.475*44/12</f>
        <v>11.007892326820041</v>
      </c>
      <c r="EC135" s="23">
        <f>EXP(-LN(2)/2)*EC134+(1-EXP(-LN(2)/2))/(LN(2)/2)*DW135*DZ135*VLOOKUP('Données projet'!$B$14,Paramètres!$A$1:$I$89,3,0)*0.475*44/12</f>
        <v>1.9526512464251837E-9</v>
      </c>
      <c r="ED135" s="24">
        <f t="shared" si="126"/>
        <v>55.380298919668938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1.7053025658242404E-13</v>
      </c>
      <c r="EK135" s="18">
        <f>EJ135*VLOOKUP('Données projet'!$B$15,Paramètres!$A$1:$I$89,3,0)*VLOOKUP('Données projet'!$B$15,Paramètres!$A$1:$I$89,5,0)</f>
        <v>1.6493686416652052E-13</v>
      </c>
      <c r="EL135" s="14">
        <f t="shared" si="153"/>
        <v>2.3376205369651282E-12</v>
      </c>
      <c r="EM135" s="22">
        <f t="shared" si="127"/>
        <v>4.3586208069709543E-12</v>
      </c>
      <c r="EN135" s="62">
        <f t="shared" si="128"/>
        <v>293.33333333333769</v>
      </c>
      <c r="EO135" s="62">
        <f ca="1">AVERAGE(OFFSET($EN$3,0,0,'Données projet'!$E$15+1,1))-AVERAGE(OFFSET($H$3,0,0,'Données projet'!$E$15+1,1))</f>
        <v>301.18531163828169</v>
      </c>
      <c r="EP135" s="62">
        <f t="shared" si="154"/>
        <v>192.30530273268101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57.301875670291906</v>
      </c>
      <c r="EW135" s="23">
        <f>EXP(-LN(2)/25)*EW134+(1-EXP(-LN(2)/25))/(LN(2)/25)*Calculateur!ER135*Calculateur!ET135*VLOOKUP('Données projet'!$B$15,Paramètres!$A$1:$I$89,3,0)*0.475*44/12</f>
        <v>3.2035425476452435</v>
      </c>
      <c r="EX135" s="23">
        <f>EXP(-LN(2)/2)*EX134+(1-EXP(-LN(2)/2))/(LN(2)/2)*ER135*EU135*VLOOKUP('Données projet'!$B$15,Paramètres!$A$1:$I$89,3,0)*0.475*44/12</f>
        <v>9.2155957401735342E-10</v>
      </c>
      <c r="EY135" s="24">
        <f t="shared" si="129"/>
        <v>60.505418218858708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1.7053025658242404E-13</v>
      </c>
      <c r="FF135" s="18">
        <f>FE135*VLOOKUP('Données projet'!$B$16,Paramètres!$A$1:$I$89,3,0)*VLOOKUP('Données projet'!$B$16,Paramètres!$A$1:$I$89,5,0)</f>
        <v>1.3301360013429075E-13</v>
      </c>
      <c r="FG135" s="14">
        <f t="shared" si="155"/>
        <v>1.9329766731057041E-12</v>
      </c>
      <c r="FH135" s="22">
        <f t="shared" si="130"/>
        <v>3.5982663925596575E-12</v>
      </c>
      <c r="FI135" s="62">
        <f t="shared" si="131"/>
        <v>293.3333333333369</v>
      </c>
      <c r="FJ135" s="62">
        <f ca="1">AVERAGE(OFFSET($FI$3,0,0,'Données projet'!$E$16+1,1))-AVERAGE(OFFSET($H$3,0,0,'Données projet'!$E$16+1,1))</f>
        <v>249.2899297828755</v>
      </c>
      <c r="FK135" s="62">
        <f t="shared" si="156"/>
        <v>162.88011837476813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46.211190056687023</v>
      </c>
      <c r="FR135" s="23">
        <f>EXP(-LN(2)/25)*FR134+(1-EXP(-LN(2)/25))/(LN(2)/25)*Calculateur!FM135*Calculateur!FO135*VLOOKUP('Données projet'!$B$16,Paramètres!$A$1:$I$89,3,0)*0.475*44/12</f>
        <v>2.5835020545526119</v>
      </c>
      <c r="FS135" s="23">
        <f>EXP(-LN(2)/2)*FS134+(1-EXP(-LN(2)/2))/(LN(2)/2)*FM135*FP135*VLOOKUP('Données projet'!$B$16,Paramètres!$A$1:$I$89,3,0)*0.475*44/12</f>
        <v>7.4319320485270044E-10</v>
      </c>
      <c r="FT135" s="24">
        <f t="shared" si="132"/>
        <v>48.794692111982826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1.7053025658242404E-13</v>
      </c>
      <c r="GA135" s="18">
        <f>FZ135*VLOOKUP('Données projet'!$B$17,Paramètres!$A$1:$I$89,3,0)*VLOOKUP('Données projet'!$B$17,Paramètres!$A$1:$I$89,5,0)</f>
        <v>1.1439169611549005E-13</v>
      </c>
      <c r="GB135" s="14">
        <f t="shared" si="157"/>
        <v>1.6918016515029816E-12</v>
      </c>
      <c r="GC135" s="22">
        <f t="shared" si="133"/>
        <v>3.1457867471021712E-12</v>
      </c>
      <c r="GD135" s="62">
        <f t="shared" si="134"/>
        <v>293.33333333333644</v>
      </c>
      <c r="GE135" s="62">
        <f ca="1">AVERAGE(OFFSET($GD$3,0,0,'Données projet'!$E$17+1,1))-AVERAGE(OFFSET($H$3,0,0,'Données projet'!$E$17+1,1))</f>
        <v>218.89895999738746</v>
      </c>
      <c r="GF135" s="62">
        <f t="shared" si="158"/>
        <v>145.64042897395763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48.983861460088214</v>
      </c>
      <c r="GM135" s="23">
        <f>EXP(-LN(2)/25)*GM134+(1-EXP(-LN(2)/25))/(LN(2)/25)*Calculateur!GH135*Calculateur!GJ135*VLOOKUP('Données projet'!$B$17,Paramètres!$A$1:$I$89,3,0)*0.475*44/12</f>
        <v>2.7385121778257706</v>
      </c>
      <c r="GN135" s="23">
        <f>EXP(-LN(2)/2)*GN134+(1-EXP(-LN(2)/2))/(LN(2)/2)*GH135*GK135*VLOOKUP('Données projet'!$B$17,Paramètres!$A$1:$I$89,3,0)*0.475*44/12</f>
        <v>6.3914615617332586E-10</v>
      </c>
      <c r="GO135" s="23">
        <f t="shared" si="135"/>
        <v>51.72237363855313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1.7053025658242404E-13</v>
      </c>
      <c r="GV135" s="18">
        <f>GU135*VLOOKUP('Données projet'!$B$18,Paramètres!$A$1:$I$89,3,0)*VLOOKUP('Données projet'!$B$18,Paramètres!$A$1:$I$89,5,0)</f>
        <v>1.8355876818532125E-13</v>
      </c>
      <c r="GW135" s="14">
        <f t="shared" si="159"/>
        <v>2.5693529898865504E-12</v>
      </c>
      <c r="GX135" s="22">
        <f t="shared" si="136"/>
        <v>4.7946546453085093E-12</v>
      </c>
      <c r="GY135" s="62">
        <f t="shared" si="137"/>
        <v>293.33333333333809</v>
      </c>
      <c r="GZ135" s="62">
        <f ca="1">AVERAGE(OFFSET($GY$3,0,0,'Données projet'!$E$18+1,1))-AVERAGE(OFFSET($H$3,0,0,'Données projet'!$E$18+1,1))</f>
        <v>331.3579800635751</v>
      </c>
      <c r="HA135" s="62">
        <f t="shared" si="160"/>
        <v>209.40702003535273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63.771442278228079</v>
      </c>
      <c r="HH135" s="23">
        <f>EXP(-LN(2)/25)*HH134+(1-EXP(-LN(2)/25))/(LN(2)/25)*Calculateur!HC135*Calculateur!HE135*VLOOKUP('Données projet'!$B$18,Paramètres!$A$1:$I$89,3,0)*0.475*44/12</f>
        <v>3.5652328352826097</v>
      </c>
      <c r="HI135" s="23">
        <f>EXP(-LN(2)/2)*HI134+(1-EXP(-LN(2)/2))/(LN(2)/2)*HC135*HF135*VLOOKUP('Données projet'!$B$18,Paramètres!$A$1:$I$89,3,0)*0.475*44/12</f>
        <v>1.0256066226967269E-9</v>
      </c>
      <c r="HJ135" s="24">
        <f t="shared" si="138"/>
        <v>67.336675114536305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104.98066666666666</v>
      </c>
      <c r="N136" s="14">
        <f>IF('Données projet'!$A$36&gt;35,N135+M136-V135,IF(A136&lt;'Données projet'!$A$36,$K$205^A136,IF(A136='Données projet'!$A$36,'Données projet'!$B$36,N135+M136-V135)))</f>
        <v>3291.6053333333371</v>
      </c>
      <c r="O136" s="14">
        <f>N136*VLOOKUP('Données projet'!$B$9,Paramètres!$A$1:$I$89,3,0)*VLOOKUP('Données projet'!$B$9,Paramètres!$A$1:$I$89,5,0)</f>
        <v>2978.2445056000033</v>
      </c>
      <c r="P136" s="14">
        <f t="shared" si="141"/>
        <v>540.93294117915343</v>
      </c>
      <c r="Q136" s="22">
        <f t="shared" si="108"/>
        <v>6129.2340531403643</v>
      </c>
      <c r="R136" s="62">
        <f t="shared" si="109"/>
        <v>6422.5673864736973</v>
      </c>
      <c r="S136" s="62">
        <f ca="1">AVERAGE(OFFSET($R$3,0,0,'Données projet'!$E$9+1,1))-AVERAGE(OFFSET($H$3,0,0,'Données projet'!$E$9+1,1))</f>
        <v>2472.5049373954762</v>
      </c>
      <c r="T136" s="62">
        <f t="shared" si="142"/>
        <v>286.98388307318311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409.19342043749867</v>
      </c>
      <c r="AA136" s="23">
        <f>EXP(-LN(2)/25)*AA135+(1-EXP(-LN(2)/25))/(LN(2)/25)*Calculateur!V136*Calculateur!X136*VLOOKUP('Données projet'!$B$9,Paramètres!$A$1:$I$89,3,0)*0.475*44/12</f>
        <v>22.612843355078233</v>
      </c>
      <c r="AB136" s="23">
        <f>EXP(-LN(2)/2)*AB135+(1-EXP(-LN(2)/2))/(LN(2)/2)*V136*Y136*VLOOKUP('Données projet'!$B$9,Paramètres!$A$1:$I$89,3,0)*0.475*44/12</f>
        <v>1.9749750653565479</v>
      </c>
      <c r="AC136" s="24">
        <f t="shared" si="111"/>
        <v>433.78123885793343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104.98066666666666</v>
      </c>
      <c r="AI136" s="14">
        <f>IF('Données projet'!$A$62&gt;35,AI135+AH136-AQ135,IF(A136&lt;'Données projet'!$A$62,$AF$205^A136,IF(A136='Données projet'!$A$62,'Données projet'!$B$62,AI135+AH136-AQ135)))</f>
        <v>3291.6053333333371</v>
      </c>
      <c r="AJ136" s="14">
        <f>AI136*VLOOKUP('Données projet'!$B$10,Paramètres!$A$1:$I$89,3,0)*VLOOKUP('Données projet'!$B$10,Paramètres!$A$1:$I$89,5,0)</f>
        <v>3337.6878080000042</v>
      </c>
      <c r="AK136" s="14">
        <f t="shared" si="143"/>
        <v>598.23069985577672</v>
      </c>
      <c r="AL136" s="22">
        <f t="shared" si="112"/>
        <v>6855.0580678488186</v>
      </c>
      <c r="AM136" s="62">
        <f t="shared" si="113"/>
        <v>7148.3914011821516</v>
      </c>
      <c r="AN136" s="62">
        <f ca="1">AVERAGE(OFFSET($AM$3,0,0,'Données projet'!$E$10+1,1))-AVERAGE(OFFSET($H$3,0,0,'Données projet'!$E$10+1,1))</f>
        <v>2761.1400657295467</v>
      </c>
      <c r="AO136" s="62">
        <f t="shared" si="144"/>
        <v>316.41877504316409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458.57883324892111</v>
      </c>
      <c r="AV136" s="23">
        <f>EXP(-LN(2)/25)*AV135+(1-EXP(-LN(2)/25))/(LN(2)/25)*Calculateur!AQ136*Calculateur!AS136*VLOOKUP('Données projet'!$B$10,Paramètres!$A$1:$I$89,3,0)*0.475*44/12</f>
        <v>25.341979622070436</v>
      </c>
      <c r="AW136" s="23">
        <f>EXP(-LN(2)/2)*AW135+(1-EXP(-LN(2)/2))/(LN(2)/2)*AQ136*AT136*VLOOKUP('Données projet'!$B$10,Paramètres!$A$1:$I$89,3,0)*0.475*44/12</f>
        <v>2.2133341249685445</v>
      </c>
      <c r="AX136" s="23">
        <f t="shared" si="114"/>
        <v>486.13414699596007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104.98066666666666</v>
      </c>
      <c r="BD136" s="13">
        <f>IF('Données projet'!$A$88&gt;35,BD135+BC136-BL135,IF(A136&lt;'Données projet'!$A$88,$BA$205^A136,IF(A136='Données projet'!$A$88,'Données projet'!$B$88,BD135+BC136-BL135)))</f>
        <v>3291.6053333333371</v>
      </c>
      <c r="BE136" s="14">
        <f>BD136*VLOOKUP('Données projet'!$B$11,Paramètres!$A$1:$I$89,3,0)*VLOOKUP('Données projet'!$B$11,Paramètres!$A$1:$I$89,5,0)</f>
        <v>3440.3858944000044</v>
      </c>
      <c r="BF136" s="14">
        <f t="shared" si="145"/>
        <v>614.46641423710048</v>
      </c>
      <c r="BG136" s="22">
        <f t="shared" si="115"/>
        <v>7062.2011042096246</v>
      </c>
      <c r="BH136" s="62">
        <f t="shared" si="116"/>
        <v>7355.5344375429577</v>
      </c>
      <c r="BI136" s="62">
        <f ca="1">AVERAGE(OFFSET($BH$3,0,0,'Données projet'!$E$11+1,1))-AVERAGE(OFFSET($H$3,0,0,'Données projet'!$E$11+1,1))</f>
        <v>2843.5086223152098</v>
      </c>
      <c r="BJ136" s="62">
        <f t="shared" si="146"/>
        <v>324.81562437645522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472.68895119504151</v>
      </c>
      <c r="BQ136" s="23">
        <f>EXP(-LN(2)/25)*BQ135+(1-EXP(-LN(2)/25))/(LN(2)/25)*Calculateur!BL136*Calculateur!BN136*VLOOKUP('Données projet'!$B$11,Paramètres!$A$1:$I$89,3,0)*0.475*44/12</f>
        <v>26.12173284121106</v>
      </c>
      <c r="BR136" s="23">
        <f>EXP(-LN(2)/2)*BR135+(1-EXP(-LN(2)/2))/(LN(2)/2)*BL136*BO136*VLOOKUP('Données projet'!$B$11,Paramètres!$A$1:$I$89,3,0)*0.475*44/12</f>
        <v>2.2814367134291165</v>
      </c>
      <c r="BS136" s="24">
        <f t="shared" si="117"/>
        <v>501.09212074968167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104.98066666666666</v>
      </c>
      <c r="BY136" s="13">
        <f>IF('Données projet'!$A$114&gt;35,BY135+BX136-CG135,IF(A136&lt;'Données projet'!$A$114,$BV$205^A136,IF(A136='Données projet'!$A$114,'Données projet'!$B$114,BY135+BX136-CG135)))</f>
        <v>3291.6053333333371</v>
      </c>
      <c r="BZ136" s="14">
        <f>BY136*VLOOKUP('Données projet'!$B$12,Paramètres!$A$1:$I$89,3,0)*VLOOKUP('Données projet'!$B$12,Paramètres!$A$1:$I$89,5,0)</f>
        <v>3286.3387648000039</v>
      </c>
      <c r="CA136" s="14">
        <f t="shared" si="147"/>
        <v>590.09112023030241</v>
      </c>
      <c r="CB136" s="22">
        <f t="shared" si="118"/>
        <v>6751.4487164277825</v>
      </c>
      <c r="CC136" s="62">
        <f t="shared" si="119"/>
        <v>7044.7820497611156</v>
      </c>
      <c r="CD136" s="62">
        <f ca="1">AVERAGE(OFFSET($CC$3,0,0,'Données projet'!$E$12+1,1))-AVERAGE(OFFSET($H$3,0,0,'Données projet'!$E$12+1,1))</f>
        <v>2719.939926994799</v>
      </c>
      <c r="CE136" s="62">
        <f t="shared" si="148"/>
        <v>312.21824046329749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451.5237742758606</v>
      </c>
      <c r="CL136" s="23">
        <f>EXP(-LN(2)/25)*CL135+(1-EXP(-LN(2)/25))/(LN(2)/25)*Calculateur!CG136*Calculateur!CI136*VLOOKUP('Données projet'!$B$12,Paramètres!$A$1:$I$89,3,0)*0.475*44/12</f>
        <v>24.952103012500121</v>
      </c>
      <c r="CM136" s="23">
        <f>EXP(-LN(2)/2)*CM135+(1-EXP(-LN(2)/2))/(LN(2)/2)*CG136*CJ136*VLOOKUP('Données projet'!$B$12,Paramètres!$A$1:$I$89,3,0)*0.475*44/12</f>
        <v>2.1792828307382601</v>
      </c>
      <c r="CN136" s="24">
        <f t="shared" si="120"/>
        <v>478.65516011909898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1.1368683772161603E-12</v>
      </c>
      <c r="CU136" s="18">
        <f>CT136*VLOOKUP('Données projet'!$B$13,Paramètres!$A$1:$I$89,3,0)*VLOOKUP('Données projet'!$B$13,Paramètres!$A$1:$I$89,5,0)</f>
        <v>9.9316821433603771E-13</v>
      </c>
      <c r="CV136" s="14">
        <f t="shared" si="149"/>
        <v>1.1421454694498936E-11</v>
      </c>
      <c r="CW136" s="22">
        <f t="shared" si="121"/>
        <v>2.1622134899554243E-11</v>
      </c>
      <c r="CX136" s="62">
        <f t="shared" si="122"/>
        <v>293.33333333335491</v>
      </c>
      <c r="CY136" s="62">
        <f ca="1">AVERAGE(OFFSET($CX$3,0,0,'Données projet'!$E$13+1,1))-AVERAGE(OFFSET($H$3,0,0,'Données projet'!$E$13+1,1))</f>
        <v>1036.0130072090849</v>
      </c>
      <c r="CZ136" s="62">
        <f t="shared" si="150"/>
        <v>346.56593355696174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234.43493998603034</v>
      </c>
      <c r="DG136" s="23">
        <f>EXP(-LN(2)/25)*DG135+(1-EXP(-LN(2)/25))/(LN(2)/25)*Calculateur!DB136*Calculateur!DD136*VLOOKUP('Données projet'!$B$13,Paramètres!$A$1:$I$89,3,0)*0.475*44/12</f>
        <v>9.7359323610466006</v>
      </c>
      <c r="DH136" s="23">
        <f>EXP(-LN(2)/2)*DH135+(1-EXP(-LN(2)/2))/(LN(2)/2)*DB136*DE136*VLOOKUP('Données projet'!$B$13,Paramètres!$A$1:$I$89,3,0)*0.475*44/12</f>
        <v>9.5225552290160631E-7</v>
      </c>
      <c r="DI136" s="24">
        <f t="shared" si="123"/>
        <v>244.17087329933247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6.8212102632969618E-13</v>
      </c>
      <c r="DP136" s="18">
        <f>DO136*VLOOKUP('Données projet'!$B$14,Paramètres!$A$1:$I$89,3,0)*VLOOKUP('Données projet'!$B$14,Paramètres!$A$1:$I$89,5,0)</f>
        <v>3.8130565371830017E-13</v>
      </c>
      <c r="DQ136" s="14">
        <f t="shared" si="151"/>
        <v>4.9019074112354236E-12</v>
      </c>
      <c r="DR136" s="22">
        <f t="shared" si="124"/>
        <v>9.2015960881277352E-12</v>
      </c>
      <c r="DS136" s="62">
        <f t="shared" si="125"/>
        <v>293.33333333334252</v>
      </c>
      <c r="DT136" s="62">
        <f ca="1">AVERAGE(OFFSET($DS$3,0,0,'Données projet'!$E$14+1,1))-AVERAGE(OFFSET($H$3,0,0,'Données projet'!$E$14+1,1))</f>
        <v>446.48069057792151</v>
      </c>
      <c r="DU136" s="62">
        <f t="shared" si="152"/>
        <v>561.75656782935948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43.502290762144398</v>
      </c>
      <c r="EB136" s="23">
        <f>EXP(-LN(2)/25)*EB135+(1-EXP(-LN(2)/25))/(LN(2)/25)*Calculateur!DW136*Calculateur!DY136*VLOOKUP('Données projet'!$B$14,Paramètres!$A$1:$I$89,3,0)*0.475*44/12</f>
        <v>10.706880932263248</v>
      </c>
      <c r="EC136" s="23">
        <f>EXP(-LN(2)/2)*EC135+(1-EXP(-LN(2)/2))/(LN(2)/2)*DW136*DZ136*VLOOKUP('Données projet'!$B$14,Paramètres!$A$1:$I$89,3,0)*0.475*44/12</f>
        <v>1.3807329376396117E-9</v>
      </c>
      <c r="ED136" s="24">
        <f t="shared" si="126"/>
        <v>54.209171695788378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1.7053025658242404E-13</v>
      </c>
      <c r="EK136" s="18">
        <f>EJ136*VLOOKUP('Données projet'!$B$15,Paramètres!$A$1:$I$89,3,0)*VLOOKUP('Données projet'!$B$15,Paramètres!$A$1:$I$89,5,0)</f>
        <v>1.6493686416652052E-13</v>
      </c>
      <c r="EL136" s="14">
        <f t="shared" si="153"/>
        <v>2.3376205369651282E-12</v>
      </c>
      <c r="EM136" s="22">
        <f t="shared" si="127"/>
        <v>4.3586208069709543E-12</v>
      </c>
      <c r="EN136" s="62">
        <f t="shared" si="128"/>
        <v>293.33333333333769</v>
      </c>
      <c r="EO136" s="62">
        <f ca="1">AVERAGE(OFFSET($EN$3,0,0,'Données projet'!$E$15+1,1))-AVERAGE(OFFSET($H$3,0,0,'Données projet'!$E$15+1,1))</f>
        <v>301.18531163828169</v>
      </c>
      <c r="EP136" s="62">
        <f t="shared" si="154"/>
        <v>192.30530273268101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56.17822083909055</v>
      </c>
      <c r="EW136" s="23">
        <f>EXP(-LN(2)/25)*EW135+(1-EXP(-LN(2)/25))/(LN(2)/25)*Calculateur!ER136*Calculateur!ET136*VLOOKUP('Données projet'!$B$15,Paramètres!$A$1:$I$89,3,0)*0.475*44/12</f>
        <v>3.1159415082129036</v>
      </c>
      <c r="EX136" s="23">
        <f>EXP(-LN(2)/2)*EX135+(1-EXP(-LN(2)/2))/(LN(2)/2)*ER136*EU136*VLOOKUP('Données projet'!$B$15,Paramètres!$A$1:$I$89,3,0)*0.475*44/12</f>
        <v>6.5164102405505674E-10</v>
      </c>
      <c r="EY136" s="24">
        <f t="shared" si="129"/>
        <v>59.294162347955094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1.7053025658242404E-13</v>
      </c>
      <c r="FF136" s="18">
        <f>FE136*VLOOKUP('Données projet'!$B$16,Paramètres!$A$1:$I$89,3,0)*VLOOKUP('Données projet'!$B$16,Paramètres!$A$1:$I$89,5,0)</f>
        <v>1.3301360013429075E-13</v>
      </c>
      <c r="FG136" s="14">
        <f t="shared" si="155"/>
        <v>1.9329766731057041E-12</v>
      </c>
      <c r="FH136" s="22">
        <f t="shared" si="130"/>
        <v>3.5982663925596575E-12</v>
      </c>
      <c r="FI136" s="62">
        <f t="shared" si="131"/>
        <v>293.3333333333369</v>
      </c>
      <c r="FJ136" s="62">
        <f ca="1">AVERAGE(OFFSET($FI$3,0,0,'Données projet'!$E$16+1,1))-AVERAGE(OFFSET($H$3,0,0,'Données projet'!$E$16+1,1))</f>
        <v>249.2899297828755</v>
      </c>
      <c r="FK136" s="62">
        <f t="shared" si="156"/>
        <v>162.88011837476813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45.305016805718182</v>
      </c>
      <c r="FR136" s="23">
        <f>EXP(-LN(2)/25)*FR135+(1-EXP(-LN(2)/25))/(LN(2)/25)*Calculateur!FM136*Calculateur!FO136*VLOOKUP('Données projet'!$B$16,Paramètres!$A$1:$I$89,3,0)*0.475*44/12</f>
        <v>2.5128560550104022</v>
      </c>
      <c r="FS136" s="23">
        <f>EXP(-LN(2)/2)*FS135+(1-EXP(-LN(2)/2))/(LN(2)/2)*FM136*FP136*VLOOKUP('Données projet'!$B$16,Paramètres!$A$1:$I$89,3,0)*0.475*44/12</f>
        <v>5.2551695488310743E-10</v>
      </c>
      <c r="FT136" s="24">
        <f t="shared" si="132"/>
        <v>47.817872861254102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1.7053025658242404E-13</v>
      </c>
      <c r="GA136" s="18">
        <f>FZ136*VLOOKUP('Données projet'!$B$17,Paramètres!$A$1:$I$89,3,0)*VLOOKUP('Données projet'!$B$17,Paramètres!$A$1:$I$89,5,0)</f>
        <v>1.1439169611549005E-13</v>
      </c>
      <c r="GB136" s="14">
        <f t="shared" si="157"/>
        <v>1.6918016515029816E-12</v>
      </c>
      <c r="GC136" s="22">
        <f t="shared" si="133"/>
        <v>3.1457867471021712E-12</v>
      </c>
      <c r="GD136" s="62">
        <f t="shared" si="134"/>
        <v>293.33333333333644</v>
      </c>
      <c r="GE136" s="62">
        <f ca="1">AVERAGE(OFFSET($GD$3,0,0,'Données projet'!$E$17+1,1))-AVERAGE(OFFSET($H$3,0,0,'Données projet'!$E$17+1,1))</f>
        <v>218.89895999738746</v>
      </c>
      <c r="GF136" s="62">
        <f t="shared" si="158"/>
        <v>145.64042897395763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48.023317814061244</v>
      </c>
      <c r="GM136" s="23">
        <f>EXP(-LN(2)/25)*GM135+(1-EXP(-LN(2)/25))/(LN(2)/25)*Calculateur!GH136*Calculateur!GJ136*VLOOKUP('Données projet'!$B$17,Paramètres!$A$1:$I$89,3,0)*0.475*44/12</f>
        <v>2.6636274183110284</v>
      </c>
      <c r="GN136" s="23">
        <f>EXP(-LN(2)/2)*GN135+(1-EXP(-LN(2)/2))/(LN(2)/2)*GH136*GK136*VLOOKUP('Données projet'!$B$17,Paramètres!$A$1:$I$89,3,0)*0.475*44/12</f>
        <v>4.5194458119947488E-10</v>
      </c>
      <c r="GO136" s="23">
        <f t="shared" si="135"/>
        <v>50.686945232824222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1.7053025658242404E-13</v>
      </c>
      <c r="GV136" s="18">
        <f>GU136*VLOOKUP('Données projet'!$B$18,Paramètres!$A$1:$I$89,3,0)*VLOOKUP('Données projet'!$B$18,Paramètres!$A$1:$I$89,5,0)</f>
        <v>1.8355876818532125E-13</v>
      </c>
      <c r="GW136" s="14">
        <f t="shared" si="159"/>
        <v>2.5693529898865504E-12</v>
      </c>
      <c r="GX136" s="22">
        <f t="shared" si="136"/>
        <v>4.7946546453085093E-12</v>
      </c>
      <c r="GY136" s="62">
        <f t="shared" si="137"/>
        <v>293.33333333333809</v>
      </c>
      <c r="GZ136" s="62">
        <f ca="1">AVERAGE(OFFSET($GY$3,0,0,'Données projet'!$E$18+1,1))-AVERAGE(OFFSET($H$3,0,0,'Données projet'!$E$18+1,1))</f>
        <v>331.3579800635751</v>
      </c>
      <c r="HA136" s="62">
        <f t="shared" si="160"/>
        <v>209.40702003535273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62.520923191891079</v>
      </c>
      <c r="HH136" s="23">
        <f>EXP(-LN(2)/25)*HH135+(1-EXP(-LN(2)/25))/(LN(2)/25)*Calculateur!HC136*Calculateur!HE136*VLOOKUP('Données projet'!$B$18,Paramètres!$A$1:$I$89,3,0)*0.475*44/12</f>
        <v>3.4677413559143604</v>
      </c>
      <c r="HI136" s="23">
        <f>EXP(-LN(2)/2)*HI135+(1-EXP(-LN(2)/2))/(LN(2)/2)*HC136*HF136*VLOOKUP('Données projet'!$B$18,Paramètres!$A$1:$I$89,3,0)*0.475*44/12</f>
        <v>7.2521339773868845E-10</v>
      </c>
      <c r="HJ136" s="24">
        <f t="shared" si="138"/>
        <v>65.98866454853065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104.98066666666666</v>
      </c>
      <c r="N137" s="14">
        <f>IF('Données projet'!$A$36&gt;35,N136+M137-V136,IF(A137&lt;'Données projet'!$A$36,$K$205^A137,IF(A137='Données projet'!$A$36,'Données projet'!$B$36,N136+M137-V136)))</f>
        <v>3396.5860000000039</v>
      </c>
      <c r="O137" s="14">
        <f>N137*VLOOKUP('Données projet'!$B$9,Paramètres!$A$1:$I$89,3,0)*VLOOKUP('Données projet'!$B$9,Paramètres!$A$1:$I$89,5,0)</f>
        <v>3073.2310128000036</v>
      </c>
      <c r="P137" s="14">
        <f t="shared" si="141"/>
        <v>556.14903741698947</v>
      </c>
      <c r="Q137" s="22">
        <f t="shared" si="108"/>
        <v>6321.1702541279292</v>
      </c>
      <c r="R137" s="62">
        <f t="shared" si="109"/>
        <v>6614.5035874612622</v>
      </c>
      <c r="S137" s="62">
        <f ca="1">AVERAGE(OFFSET($R$3,0,0,'Données projet'!$E$9+1,1))-AVERAGE(OFFSET($H$3,0,0,'Données projet'!$E$9+1,1))</f>
        <v>2472.5049373954762</v>
      </c>
      <c r="T137" s="62">
        <f t="shared" si="142"/>
        <v>286.98388307318311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401.1693870460615</v>
      </c>
      <c r="AA137" s="23">
        <f>EXP(-LN(2)/25)*AA136+(1-EXP(-LN(2)/25))/(LN(2)/25)*Calculateur!V137*Calculateur!X137*VLOOKUP('Données projet'!$B$9,Paramètres!$A$1:$I$89,3,0)*0.475*44/12</f>
        <v>21.99449396437587</v>
      </c>
      <c r="AB137" s="23">
        <f>EXP(-LN(2)/2)*AB136+(1-EXP(-LN(2)/2))/(LN(2)/2)*V137*Y137*VLOOKUP('Données projet'!$B$9,Paramètres!$A$1:$I$89,3,0)*0.475*44/12</f>
        <v>1.3965182613879601</v>
      </c>
      <c r="AC137" s="24">
        <f t="shared" si="111"/>
        <v>424.5603992718253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104.98066666666666</v>
      </c>
      <c r="AI137" s="14">
        <f>IF('Données projet'!$A$62&gt;35,AI136+AH137-AQ136,IF(A137&lt;'Données projet'!$A$62,$AF$205^A137,IF(A137='Données projet'!$A$62,'Données projet'!$B$62,AI136+AH137-AQ136)))</f>
        <v>3396.5860000000039</v>
      </c>
      <c r="AJ137" s="14">
        <f>AI137*VLOOKUP('Données projet'!$B$10,Paramètres!$A$1:$I$89,3,0)*VLOOKUP('Données projet'!$B$10,Paramètres!$A$1:$I$89,5,0)</f>
        <v>3444.138204000004</v>
      </c>
      <c r="AK137" s="14">
        <f t="shared" si="143"/>
        <v>615.05854524746417</v>
      </c>
      <c r="AL137" s="22">
        <f t="shared" si="112"/>
        <v>7069.7676716060059</v>
      </c>
      <c r="AM137" s="62">
        <f t="shared" si="113"/>
        <v>7363.101004939339</v>
      </c>
      <c r="AN137" s="62">
        <f ca="1">AVERAGE(OFFSET($AM$3,0,0,'Données projet'!$E$10+1,1))-AVERAGE(OFFSET($H$3,0,0,'Données projet'!$E$10+1,1))</f>
        <v>2761.1400657295467</v>
      </c>
      <c r="AO137" s="62">
        <f t="shared" si="144"/>
        <v>316.41877504316409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449.58638203437943</v>
      </c>
      <c r="AV137" s="23">
        <f>EXP(-LN(2)/25)*AV136+(1-EXP(-LN(2)/25))/(LN(2)/25)*Calculateur!AQ137*Calculateur!AS137*VLOOKUP('Données projet'!$B$10,Paramètres!$A$1:$I$89,3,0)*0.475*44/12</f>
        <v>24.649001856628132</v>
      </c>
      <c r="AW137" s="23">
        <f>EXP(-LN(2)/2)*AW136+(1-EXP(-LN(2)/2))/(LN(2)/2)*AQ137*AT137*VLOOKUP('Données projet'!$B$10,Paramètres!$A$1:$I$89,3,0)*0.475*44/12</f>
        <v>1.5650635687968513</v>
      </c>
      <c r="AX137" s="23">
        <f t="shared" si="114"/>
        <v>475.80044745980445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104.98066666666666</v>
      </c>
      <c r="BD137" s="13">
        <f>IF('Données projet'!$A$88&gt;35,BD136+BC137-BL136,IF(A137&lt;'Données projet'!$A$88,$BA$205^A137,IF(A137='Données projet'!$A$88,'Données projet'!$B$88,BD136+BC137-BL136)))</f>
        <v>3396.5860000000039</v>
      </c>
      <c r="BE137" s="14">
        <f>BD137*VLOOKUP('Données projet'!$B$11,Paramètres!$A$1:$I$89,3,0)*VLOOKUP('Données projet'!$B$11,Paramètres!$A$1:$I$89,5,0)</f>
        <v>3550.1116872000039</v>
      </c>
      <c r="BF137" s="14">
        <f t="shared" si="145"/>
        <v>631.7509598474461</v>
      </c>
      <c r="BG137" s="22">
        <f t="shared" si="115"/>
        <v>7283.4107769409748</v>
      </c>
      <c r="BH137" s="62">
        <f t="shared" si="116"/>
        <v>7576.7441102743078</v>
      </c>
      <c r="BI137" s="62">
        <f ca="1">AVERAGE(OFFSET($BH$3,0,0,'Données projet'!$E$11+1,1))-AVERAGE(OFFSET($H$3,0,0,'Données projet'!$E$11+1,1))</f>
        <v>2843.5086223152098</v>
      </c>
      <c r="BJ137" s="62">
        <f t="shared" si="146"/>
        <v>324.81562437645522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463.41980917389856</v>
      </c>
      <c r="BQ137" s="23">
        <f>EXP(-LN(2)/25)*BQ136+(1-EXP(-LN(2)/25))/(LN(2)/25)*Calculateur!BL137*Calculateur!BN137*VLOOKUP('Données projet'!$B$11,Paramètres!$A$1:$I$89,3,0)*0.475*44/12</f>
        <v>25.407432682985917</v>
      </c>
      <c r="BR137" s="23">
        <f>EXP(-LN(2)/2)*BR136+(1-EXP(-LN(2)/2))/(LN(2)/2)*BL137*BO137*VLOOKUP('Données projet'!$B$11,Paramètres!$A$1:$I$89,3,0)*0.475*44/12</f>
        <v>1.6132193709136784</v>
      </c>
      <c r="BS137" s="24">
        <f t="shared" si="117"/>
        <v>490.44046122779815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104.98066666666666</v>
      </c>
      <c r="BY137" s="13">
        <f>IF('Données projet'!$A$114&gt;35,BY136+BX137-CG136,IF(A137&lt;'Données projet'!$A$114,$BV$205^A137,IF(A137='Données projet'!$A$114,'Données projet'!$B$114,BY136+BX137-CG136)))</f>
        <v>3396.5860000000039</v>
      </c>
      <c r="BZ137" s="14">
        <f>BY137*VLOOKUP('Données projet'!$B$12,Paramètres!$A$1:$I$89,3,0)*VLOOKUP('Données projet'!$B$12,Paramètres!$A$1:$I$89,5,0)</f>
        <v>3391.1514624000042</v>
      </c>
      <c r="CA137" s="14">
        <f t="shared" si="147"/>
        <v>606.69000447451924</v>
      </c>
      <c r="CB137" s="22">
        <f t="shared" si="118"/>
        <v>6962.9072214731286</v>
      </c>
      <c r="CC137" s="62">
        <f t="shared" si="119"/>
        <v>7256.2405548064617</v>
      </c>
      <c r="CD137" s="62">
        <f ca="1">AVERAGE(OFFSET($CC$3,0,0,'Données projet'!$E$12+1,1))-AVERAGE(OFFSET($H$3,0,0,'Données projet'!$E$12+1,1))</f>
        <v>2719.939926994799</v>
      </c>
      <c r="CE137" s="62">
        <f t="shared" si="148"/>
        <v>312.21824046329749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442.66966846461958</v>
      </c>
      <c r="CL137" s="23">
        <f>EXP(-LN(2)/25)*CL136+(1-EXP(-LN(2)/25))/(LN(2)/25)*Calculateur!CG137*Calculateur!CI137*VLOOKUP('Données projet'!$B$12,Paramètres!$A$1:$I$89,3,0)*0.475*44/12</f>
        <v>24.269786443449238</v>
      </c>
      <c r="CM137" s="23">
        <f>EXP(-LN(2)/2)*CM136+(1-EXP(-LN(2)/2))/(LN(2)/2)*CG137*CJ137*VLOOKUP('Données projet'!$B$12,Paramètres!$A$1:$I$89,3,0)*0.475*44/12</f>
        <v>1.5409856677384388</v>
      </c>
      <c r="CN137" s="24">
        <f t="shared" si="120"/>
        <v>468.48044057580722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1.1368683772161603E-12</v>
      </c>
      <c r="CU137" s="18">
        <f>CT137*VLOOKUP('Données projet'!$B$13,Paramètres!$A$1:$I$89,3,0)*VLOOKUP('Données projet'!$B$13,Paramètres!$A$1:$I$89,5,0)</f>
        <v>9.9316821433603771E-13</v>
      </c>
      <c r="CV137" s="14">
        <f t="shared" si="149"/>
        <v>1.1421454694498936E-11</v>
      </c>
      <c r="CW137" s="22">
        <f t="shared" si="121"/>
        <v>2.1622134899554243E-11</v>
      </c>
      <c r="CX137" s="62">
        <f t="shared" si="122"/>
        <v>293.33333333335491</v>
      </c>
      <c r="CY137" s="62">
        <f ca="1">AVERAGE(OFFSET($CX$3,0,0,'Données projet'!$E$13+1,1))-AVERAGE(OFFSET($H$3,0,0,'Données projet'!$E$13+1,1))</f>
        <v>1036.0130072090849</v>
      </c>
      <c r="CZ137" s="62">
        <f t="shared" si="150"/>
        <v>346.56593355696174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229.83781380409846</v>
      </c>
      <c r="DG137" s="23">
        <f>EXP(-LN(2)/25)*DG136+(1-EXP(-LN(2)/25))/(LN(2)/25)*Calculateur!DB137*Calculateur!DD137*VLOOKUP('Données projet'!$B$13,Paramètres!$A$1:$I$89,3,0)*0.475*44/12</f>
        <v>9.4697027786433505</v>
      </c>
      <c r="DH137" s="23">
        <f>EXP(-LN(2)/2)*DH136+(1-EXP(-LN(2)/2))/(LN(2)/2)*DB137*DE137*VLOOKUP('Données projet'!$B$13,Paramètres!$A$1:$I$89,3,0)*0.475*44/12</f>
        <v>6.7334633766606757E-7</v>
      </c>
      <c r="DI137" s="24">
        <f t="shared" si="123"/>
        <v>239.30751725608815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6.8212102632969618E-13</v>
      </c>
      <c r="DP137" s="18">
        <f>DO137*VLOOKUP('Données projet'!$B$14,Paramètres!$A$1:$I$89,3,0)*VLOOKUP('Données projet'!$B$14,Paramètres!$A$1:$I$89,5,0)</f>
        <v>3.8130565371830017E-13</v>
      </c>
      <c r="DQ137" s="14">
        <f t="shared" si="151"/>
        <v>4.9019074112354236E-12</v>
      </c>
      <c r="DR137" s="22">
        <f t="shared" si="124"/>
        <v>9.2015960881277352E-12</v>
      </c>
      <c r="DS137" s="62">
        <f t="shared" si="125"/>
        <v>293.33333333334252</v>
      </c>
      <c r="DT137" s="62">
        <f ca="1">AVERAGE(OFFSET($DS$3,0,0,'Données projet'!$E$14+1,1))-AVERAGE(OFFSET($H$3,0,0,'Données projet'!$E$14+1,1))</f>
        <v>446.48069057792151</v>
      </c>
      <c r="DU137" s="62">
        <f t="shared" si="152"/>
        <v>561.75656782935948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42.649237374076115</v>
      </c>
      <c r="EB137" s="23">
        <f>EXP(-LN(2)/25)*EB136+(1-EXP(-LN(2)/25))/(LN(2)/25)*Calculateur!DW137*Calculateur!DY137*VLOOKUP('Données projet'!$B$14,Paramètres!$A$1:$I$89,3,0)*0.475*44/12</f>
        <v>10.414100710120112</v>
      </c>
      <c r="EC137" s="23">
        <f>EXP(-LN(2)/2)*EC136+(1-EXP(-LN(2)/2))/(LN(2)/2)*DW137*DZ137*VLOOKUP('Données projet'!$B$14,Paramètres!$A$1:$I$89,3,0)*0.475*44/12</f>
        <v>9.7632562321259187E-10</v>
      </c>
      <c r="ED137" s="24">
        <f t="shared" si="126"/>
        <v>53.063338085172553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1.7053025658242404E-13</v>
      </c>
      <c r="EK137" s="18">
        <f>EJ137*VLOOKUP('Données projet'!$B$15,Paramètres!$A$1:$I$89,3,0)*VLOOKUP('Données projet'!$B$15,Paramètres!$A$1:$I$89,5,0)</f>
        <v>1.6493686416652052E-13</v>
      </c>
      <c r="EL137" s="14">
        <f t="shared" si="153"/>
        <v>2.3376205369651282E-12</v>
      </c>
      <c r="EM137" s="22">
        <f t="shared" si="127"/>
        <v>4.3586208069709543E-12</v>
      </c>
      <c r="EN137" s="62">
        <f t="shared" si="128"/>
        <v>293.33333333333769</v>
      </c>
      <c r="EO137" s="62">
        <f ca="1">AVERAGE(OFFSET($EN$3,0,0,'Données projet'!$E$15+1,1))-AVERAGE(OFFSET($H$3,0,0,'Données projet'!$E$15+1,1))</f>
        <v>301.18531163828169</v>
      </c>
      <c r="EP137" s="62">
        <f t="shared" si="154"/>
        <v>192.30530273268101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55.076600193767277</v>
      </c>
      <c r="EW137" s="23">
        <f>EXP(-LN(2)/25)*EW136+(1-EXP(-LN(2)/25))/(LN(2)/25)*Calculateur!ER137*Calculateur!ET137*VLOOKUP('Données projet'!$B$15,Paramètres!$A$1:$I$89,3,0)*0.475*44/12</f>
        <v>3.0307359238105795</v>
      </c>
      <c r="EX137" s="23">
        <f>EXP(-LN(2)/2)*EX136+(1-EXP(-LN(2)/2))/(LN(2)/2)*ER137*EU137*VLOOKUP('Données projet'!$B$15,Paramètres!$A$1:$I$89,3,0)*0.475*44/12</f>
        <v>4.6077978700867681E-10</v>
      </c>
      <c r="EY137" s="24">
        <f t="shared" si="129"/>
        <v>58.107336118038639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1.7053025658242404E-13</v>
      </c>
      <c r="FF137" s="18">
        <f>FE137*VLOOKUP('Données projet'!$B$16,Paramètres!$A$1:$I$89,3,0)*VLOOKUP('Données projet'!$B$16,Paramètres!$A$1:$I$89,5,0)</f>
        <v>1.3301360013429075E-13</v>
      </c>
      <c r="FG137" s="14">
        <f t="shared" si="155"/>
        <v>1.9329766731057041E-12</v>
      </c>
      <c r="FH137" s="22">
        <f t="shared" si="130"/>
        <v>3.5982663925596575E-12</v>
      </c>
      <c r="FI137" s="62">
        <f t="shared" si="131"/>
        <v>293.3333333333369</v>
      </c>
      <c r="FJ137" s="62">
        <f ca="1">AVERAGE(OFFSET($FI$3,0,0,'Données projet'!$E$16+1,1))-AVERAGE(OFFSET($H$3,0,0,'Données projet'!$E$16+1,1))</f>
        <v>249.2899297828755</v>
      </c>
      <c r="FK137" s="62">
        <f t="shared" si="156"/>
        <v>162.88011837476813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44.416613059489734</v>
      </c>
      <c r="FR137" s="23">
        <f>EXP(-LN(2)/25)*FR136+(1-EXP(-LN(2)/25))/(LN(2)/25)*Calculateur!FM137*Calculateur!FO137*VLOOKUP('Données projet'!$B$16,Paramètres!$A$1:$I$89,3,0)*0.475*44/12</f>
        <v>2.4441418740407861</v>
      </c>
      <c r="FS137" s="23">
        <f>EXP(-LN(2)/2)*FS136+(1-EXP(-LN(2)/2))/(LN(2)/2)*FM137*FP137*VLOOKUP('Données projet'!$B$16,Paramètres!$A$1:$I$89,3,0)*0.475*44/12</f>
        <v>3.7159660242635022E-10</v>
      </c>
      <c r="FT137" s="24">
        <f t="shared" si="132"/>
        <v>46.860754933902122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1.7053025658242404E-13</v>
      </c>
      <c r="GA137" s="18">
        <f>FZ137*VLOOKUP('Données projet'!$B$17,Paramètres!$A$1:$I$89,3,0)*VLOOKUP('Données projet'!$B$17,Paramètres!$A$1:$I$89,5,0)</f>
        <v>1.1439169611549005E-13</v>
      </c>
      <c r="GB137" s="14">
        <f t="shared" si="157"/>
        <v>1.6918016515029816E-12</v>
      </c>
      <c r="GC137" s="22">
        <f t="shared" si="133"/>
        <v>3.1457867471021712E-12</v>
      </c>
      <c r="GD137" s="62">
        <f t="shared" si="134"/>
        <v>293.33333333333644</v>
      </c>
      <c r="GE137" s="62">
        <f ca="1">AVERAGE(OFFSET($GD$3,0,0,'Données projet'!$E$17+1,1))-AVERAGE(OFFSET($H$3,0,0,'Données projet'!$E$17+1,1))</f>
        <v>218.89895999738746</v>
      </c>
      <c r="GF137" s="62">
        <f t="shared" si="158"/>
        <v>145.64042897395763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47.081609843059091</v>
      </c>
      <c r="GM137" s="23">
        <f>EXP(-LN(2)/25)*GM136+(1-EXP(-LN(2)/25))/(LN(2)/25)*Calculateur!GH137*Calculateur!GJ137*VLOOKUP('Données projet'!$B$17,Paramètres!$A$1:$I$89,3,0)*0.475*44/12</f>
        <v>2.5907903864832353</v>
      </c>
      <c r="GN137" s="23">
        <f>EXP(-LN(2)/2)*GN136+(1-EXP(-LN(2)/2))/(LN(2)/2)*GH137*GK137*VLOOKUP('Données projet'!$B$17,Paramètres!$A$1:$I$89,3,0)*0.475*44/12</f>
        <v>3.1957307808666298E-10</v>
      </c>
      <c r="GO137" s="23">
        <f t="shared" si="135"/>
        <v>49.6724002298619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1.7053025658242404E-13</v>
      </c>
      <c r="GV137" s="18">
        <f>GU137*VLOOKUP('Données projet'!$B$18,Paramètres!$A$1:$I$89,3,0)*VLOOKUP('Données projet'!$B$18,Paramètres!$A$1:$I$89,5,0)</f>
        <v>1.8355876818532125E-13</v>
      </c>
      <c r="GW137" s="14">
        <f t="shared" si="159"/>
        <v>2.5693529898865504E-12</v>
      </c>
      <c r="GX137" s="22">
        <f t="shared" si="136"/>
        <v>4.7946546453085093E-12</v>
      </c>
      <c r="GY137" s="62">
        <f t="shared" si="137"/>
        <v>293.33333333333809</v>
      </c>
      <c r="GZ137" s="62">
        <f ca="1">AVERAGE(OFFSET($GY$3,0,0,'Données projet'!$E$18+1,1))-AVERAGE(OFFSET($H$3,0,0,'Données projet'!$E$18+1,1))</f>
        <v>331.3579800635751</v>
      </c>
      <c r="HA137" s="62">
        <f t="shared" si="160"/>
        <v>209.40702003535273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61.294926022095822</v>
      </c>
      <c r="HH137" s="23">
        <f>EXP(-LN(2)/25)*HH136+(1-EXP(-LN(2)/25))/(LN(2)/25)*Calculateur!HC137*Calculateur!HE137*VLOOKUP('Données projet'!$B$18,Paramètres!$A$1:$I$89,3,0)*0.475*44/12</f>
        <v>3.3729157861762897</v>
      </c>
      <c r="HI137" s="23">
        <f>EXP(-LN(2)/2)*HI136+(1-EXP(-LN(2)/2))/(LN(2)/2)*HC137*HF137*VLOOKUP('Données projet'!$B$18,Paramètres!$A$1:$I$89,3,0)*0.475*44/12</f>
        <v>5.1280331134836343E-10</v>
      </c>
      <c r="HJ137" s="24">
        <f t="shared" si="138"/>
        <v>64.667841808784914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104.98066666666666</v>
      </c>
      <c r="N138" s="14">
        <f>IF('Données projet'!$A$36&gt;35,N137+M138-V137,IF(A138&lt;'Données projet'!$A$36,$K$205^A138,IF(A138='Données projet'!$A$36,'Données projet'!$B$36,N137+M138-V137)))</f>
        <v>3501.5666666666707</v>
      </c>
      <c r="O138" s="14">
        <f>N138*VLOOKUP('Données projet'!$B$9,Paramètres!$A$1:$I$89,3,0)*VLOOKUP('Données projet'!$B$9,Paramètres!$A$1:$I$89,5,0)</f>
        <v>3168.2175200000038</v>
      </c>
      <c r="P138" s="14">
        <f t="shared" si="141"/>
        <v>571.31048052816243</v>
      </c>
      <c r="Q138" s="22">
        <f t="shared" si="108"/>
        <v>6513.0112675865557</v>
      </c>
      <c r="R138" s="62">
        <f t="shared" si="109"/>
        <v>6806.3446009198888</v>
      </c>
      <c r="S138" s="62">
        <f ca="1">AVERAGE(OFFSET($R$3,0,0,'Données projet'!$E$9+1,1))-AVERAGE(OFFSET($H$3,0,0,'Données projet'!$E$9+1,1))</f>
        <v>2472.5049373954762</v>
      </c>
      <c r="T138" s="62">
        <f t="shared" si="142"/>
        <v>286.98388307318311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393.3027000552533</v>
      </c>
      <c r="AA138" s="23">
        <f>EXP(-LN(2)/25)*AA137+(1-EXP(-LN(2)/25))/(LN(2)/25)*Calculateur!V138*Calculateur!X138*VLOOKUP('Données projet'!$B$9,Paramètres!$A$1:$I$89,3,0)*0.475*44/12</f>
        <v>21.393053370279844</v>
      </c>
      <c r="AB138" s="23">
        <f>EXP(-LN(2)/2)*AB137+(1-EXP(-LN(2)/2))/(LN(2)/2)*V138*Y138*VLOOKUP('Données projet'!$B$9,Paramètres!$A$1:$I$89,3,0)*0.475*44/12</f>
        <v>0.98748753267827416</v>
      </c>
      <c r="AC138" s="24">
        <f t="shared" si="111"/>
        <v>415.68324095821146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104.98066666666666</v>
      </c>
      <c r="AI138" s="14">
        <f>IF('Données projet'!$A$62&gt;35,AI137+AH138-AQ137,IF(A138&lt;'Données projet'!$A$62,$AF$205^A138,IF(A138='Données projet'!$A$62,'Données projet'!$B$62,AI137+AH138-AQ137)))</f>
        <v>3501.5666666666707</v>
      </c>
      <c r="AJ138" s="14">
        <f>AI138*VLOOKUP('Données projet'!$B$10,Paramètres!$A$1:$I$89,3,0)*VLOOKUP('Données projet'!$B$10,Paramètres!$A$1:$I$89,5,0)</f>
        <v>3550.5886000000046</v>
      </c>
      <c r="AK138" s="14">
        <f t="shared" si="143"/>
        <v>631.82594843694119</v>
      </c>
      <c r="AL138" s="22">
        <f t="shared" si="112"/>
        <v>7284.3720051943465</v>
      </c>
      <c r="AM138" s="62">
        <f t="shared" si="113"/>
        <v>7577.7053385276795</v>
      </c>
      <c r="AN138" s="62">
        <f ca="1">AVERAGE(OFFSET($AM$3,0,0,'Données projet'!$E$10+1,1))-AVERAGE(OFFSET($H$3,0,0,'Données projet'!$E$10+1,1))</f>
        <v>2761.1400657295467</v>
      </c>
      <c r="AO138" s="62">
        <f t="shared" si="144"/>
        <v>316.41877504316409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440.77026730330124</v>
      </c>
      <c r="AV138" s="23">
        <f>EXP(-LN(2)/25)*AV137+(1-EXP(-LN(2)/25))/(LN(2)/25)*Calculateur!AQ138*Calculateur!AS138*VLOOKUP('Données projet'!$B$10,Paramètres!$A$1:$I$89,3,0)*0.475*44/12</f>
        <v>23.974973604623965</v>
      </c>
      <c r="AW138" s="23">
        <f>EXP(-LN(2)/2)*AW137+(1-EXP(-LN(2)/2))/(LN(2)/2)*AQ138*AT138*VLOOKUP('Données projet'!$B$10,Paramètres!$A$1:$I$89,3,0)*0.475*44/12</f>
        <v>1.1066670624842723</v>
      </c>
      <c r="AX138" s="23">
        <f t="shared" si="114"/>
        <v>465.85190797040951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104.98066666666666</v>
      </c>
      <c r="BD138" s="13">
        <f>IF('Données projet'!$A$88&gt;35,BD137+BC138-BL137,IF(A138&lt;'Données projet'!$A$88,$BA$205^A138,IF(A138='Données projet'!$A$88,'Données projet'!$B$88,BD137+BC138-BL137)))</f>
        <v>3501.5666666666707</v>
      </c>
      <c r="BE138" s="14">
        <f>BD138*VLOOKUP('Données projet'!$B$11,Paramètres!$A$1:$I$89,3,0)*VLOOKUP('Données projet'!$B$11,Paramètres!$A$1:$I$89,5,0)</f>
        <v>3659.8374800000047</v>
      </c>
      <c r="BF138" s="14">
        <f t="shared" si="145"/>
        <v>648.97342288117125</v>
      </c>
      <c r="BG138" s="22">
        <f t="shared" si="115"/>
        <v>7504.5123225180478</v>
      </c>
      <c r="BH138" s="62">
        <f t="shared" si="116"/>
        <v>7797.8456558513808</v>
      </c>
      <c r="BI138" s="62">
        <f ca="1">AVERAGE(OFFSET($BH$3,0,0,'Données projet'!$E$11+1,1))-AVERAGE(OFFSET($H$3,0,0,'Données projet'!$E$11+1,1))</f>
        <v>2843.5086223152098</v>
      </c>
      <c r="BJ138" s="62">
        <f t="shared" si="146"/>
        <v>324.81562437645522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454.33242937417185</v>
      </c>
      <c r="BQ138" s="23">
        <f>EXP(-LN(2)/25)*BQ137+(1-EXP(-LN(2)/25))/(LN(2)/25)*Calculateur!BL138*Calculateur!BN138*VLOOKUP('Données projet'!$B$11,Paramètres!$A$1:$I$89,3,0)*0.475*44/12</f>
        <v>24.712665100150851</v>
      </c>
      <c r="BR138" s="23">
        <f>EXP(-LN(2)/2)*BR137+(1-EXP(-LN(2)/2))/(LN(2)/2)*BL138*BO138*VLOOKUP('Données projet'!$B$11,Paramètres!$A$1:$I$89,3,0)*0.475*44/12</f>
        <v>1.1407183567145582</v>
      </c>
      <c r="BS138" s="24">
        <f t="shared" si="117"/>
        <v>480.18581283103725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104.98066666666666</v>
      </c>
      <c r="BY138" s="13">
        <f>IF('Données projet'!$A$114&gt;35,BY137+BX138-CG137,IF(A138&lt;'Données projet'!$A$114,$BV$205^A138,IF(A138='Données projet'!$A$114,'Données projet'!$B$114,BY137+BX138-CG137)))</f>
        <v>3501.5666666666707</v>
      </c>
      <c r="BZ138" s="14">
        <f>BY138*VLOOKUP('Données projet'!$B$12,Paramètres!$A$1:$I$89,3,0)*VLOOKUP('Données projet'!$B$12,Paramètres!$A$1:$I$89,5,0)</f>
        <v>3495.9641600000045</v>
      </c>
      <c r="CA138" s="14">
        <f t="shared" si="147"/>
        <v>623.22926889845621</v>
      </c>
      <c r="CB138" s="22">
        <f t="shared" si="118"/>
        <v>7174.2618886648197</v>
      </c>
      <c r="CC138" s="62">
        <f t="shared" si="119"/>
        <v>7467.5952219981527</v>
      </c>
      <c r="CD138" s="62">
        <f ca="1">AVERAGE(OFFSET($CC$3,0,0,'Données projet'!$E$12+1,1))-AVERAGE(OFFSET($H$3,0,0,'Données projet'!$E$12+1,1))</f>
        <v>2719.939926994799</v>
      </c>
      <c r="CE138" s="62">
        <f t="shared" si="148"/>
        <v>312.21824046329749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433.9891862678657</v>
      </c>
      <c r="CL138" s="23">
        <f>EXP(-LN(2)/25)*CL137+(1-EXP(-LN(2)/25))/(LN(2)/25)*Calculateur!CG138*Calculateur!CI138*VLOOKUP('Données projet'!$B$12,Paramètres!$A$1:$I$89,3,0)*0.475*44/12</f>
        <v>23.606127856860518</v>
      </c>
      <c r="CM138" s="23">
        <f>EXP(-LN(2)/2)*CM137+(1-EXP(-LN(2)/2))/(LN(2)/2)*CG138*CJ138*VLOOKUP('Données projet'!$B$12,Paramètres!$A$1:$I$89,3,0)*0.475*44/12</f>
        <v>1.0896414153691301</v>
      </c>
      <c r="CN138" s="24">
        <f t="shared" si="120"/>
        <v>458.68495554009536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1.1368683772161603E-12</v>
      </c>
      <c r="CU138" s="18">
        <f>CT138*VLOOKUP('Données projet'!$B$13,Paramètres!$A$1:$I$89,3,0)*VLOOKUP('Données projet'!$B$13,Paramètres!$A$1:$I$89,5,0)</f>
        <v>9.9316821433603771E-13</v>
      </c>
      <c r="CV138" s="14">
        <f t="shared" si="149"/>
        <v>1.1421454694498936E-11</v>
      </c>
      <c r="CW138" s="22">
        <f t="shared" si="121"/>
        <v>2.1622134899554243E-11</v>
      </c>
      <c r="CX138" s="62">
        <f t="shared" si="122"/>
        <v>293.33333333335491</v>
      </c>
      <c r="CY138" s="62">
        <f ca="1">AVERAGE(OFFSET($CX$3,0,0,'Données projet'!$E$13+1,1))-AVERAGE(OFFSET($H$3,0,0,'Données projet'!$E$13+1,1))</f>
        <v>1036.0130072090849</v>
      </c>
      <c r="CZ138" s="62">
        <f t="shared" si="150"/>
        <v>346.56593355696174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225.33083446262418</v>
      </c>
      <c r="DG138" s="23">
        <f>EXP(-LN(2)/25)*DG137+(1-EXP(-LN(2)/25))/(LN(2)/25)*Calculateur!DB138*Calculateur!DD138*VLOOKUP('Données projet'!$B$13,Paramètres!$A$1:$I$89,3,0)*0.475*44/12</f>
        <v>9.210753258171323</v>
      </c>
      <c r="DH138" s="23">
        <f>EXP(-LN(2)/2)*DH137+(1-EXP(-LN(2)/2))/(LN(2)/2)*DB138*DE138*VLOOKUP('Données projet'!$B$13,Paramètres!$A$1:$I$89,3,0)*0.475*44/12</f>
        <v>4.7612776145080321E-7</v>
      </c>
      <c r="DI138" s="24">
        <f t="shared" si="123"/>
        <v>234.54158819692327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6.8212102632969618E-13</v>
      </c>
      <c r="DP138" s="18">
        <f>DO138*VLOOKUP('Données projet'!$B$14,Paramètres!$A$1:$I$89,3,0)*VLOOKUP('Données projet'!$B$14,Paramètres!$A$1:$I$89,5,0)</f>
        <v>3.8130565371830017E-13</v>
      </c>
      <c r="DQ138" s="14">
        <f t="shared" si="151"/>
        <v>4.9019074112354236E-12</v>
      </c>
      <c r="DR138" s="22">
        <f t="shared" si="124"/>
        <v>9.2015960881277352E-12</v>
      </c>
      <c r="DS138" s="62">
        <f t="shared" si="125"/>
        <v>293.33333333334252</v>
      </c>
      <c r="DT138" s="62">
        <f ca="1">AVERAGE(OFFSET($DS$3,0,0,'Données projet'!$E$14+1,1))-AVERAGE(OFFSET($H$3,0,0,'Données projet'!$E$14+1,1))</f>
        <v>446.48069057792151</v>
      </c>
      <c r="DU138" s="62">
        <f t="shared" si="152"/>
        <v>561.75656782935948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41.812911842636666</v>
      </c>
      <c r="EB138" s="23">
        <f>EXP(-LN(2)/25)*EB137+(1-EXP(-LN(2)/25))/(LN(2)/25)*Calculateur!DW138*Calculateur!DY138*VLOOKUP('Données projet'!$B$14,Paramètres!$A$1:$I$89,3,0)*0.475*44/12</f>
        <v>10.129326578548122</v>
      </c>
      <c r="EC138" s="23">
        <f>EXP(-LN(2)/2)*EC137+(1-EXP(-LN(2)/2))/(LN(2)/2)*DW138*DZ138*VLOOKUP('Données projet'!$B$14,Paramètres!$A$1:$I$89,3,0)*0.475*44/12</f>
        <v>6.9036646881980585E-10</v>
      </c>
      <c r="ED138" s="24">
        <f t="shared" si="126"/>
        <v>51.942238421875153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1.7053025658242404E-13</v>
      </c>
      <c r="EK138" s="18">
        <f>EJ138*VLOOKUP('Données projet'!$B$15,Paramètres!$A$1:$I$89,3,0)*VLOOKUP('Données projet'!$B$15,Paramètres!$A$1:$I$89,5,0)</f>
        <v>1.6493686416652052E-13</v>
      </c>
      <c r="EL138" s="14">
        <f t="shared" si="153"/>
        <v>2.3376205369651282E-12</v>
      </c>
      <c r="EM138" s="22">
        <f t="shared" si="127"/>
        <v>4.3586208069709543E-12</v>
      </c>
      <c r="EN138" s="62">
        <f t="shared" si="128"/>
        <v>293.33333333333769</v>
      </c>
      <c r="EO138" s="62">
        <f ca="1">AVERAGE(OFFSET($EN$3,0,0,'Données projet'!$E$15+1,1))-AVERAGE(OFFSET($H$3,0,0,'Données projet'!$E$15+1,1))</f>
        <v>301.18531163828169</v>
      </c>
      <c r="EP138" s="62">
        <f t="shared" si="154"/>
        <v>192.30530273268101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53.996581657376545</v>
      </c>
      <c r="EW138" s="23">
        <f>EXP(-LN(2)/25)*EW137+(1-EXP(-LN(2)/25))/(LN(2)/25)*Calculateur!ER138*Calculateur!ET138*VLOOKUP('Données projet'!$B$15,Paramètres!$A$1:$I$89,3,0)*0.475*44/12</f>
        <v>2.9478602905945039</v>
      </c>
      <c r="EX138" s="23">
        <f>EXP(-LN(2)/2)*EX137+(1-EXP(-LN(2)/2))/(LN(2)/2)*ER138*EU138*VLOOKUP('Données projet'!$B$15,Paramètres!$A$1:$I$89,3,0)*0.475*44/12</f>
        <v>3.2582051202752842E-10</v>
      </c>
      <c r="EY138" s="24">
        <f t="shared" si="129"/>
        <v>56.94444194829687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1.7053025658242404E-13</v>
      </c>
      <c r="FF138" s="18">
        <f>FE138*VLOOKUP('Données projet'!$B$16,Paramètres!$A$1:$I$89,3,0)*VLOOKUP('Données projet'!$B$16,Paramètres!$A$1:$I$89,5,0)</f>
        <v>1.3301360013429075E-13</v>
      </c>
      <c r="FG138" s="14">
        <f t="shared" si="155"/>
        <v>1.9329766731057041E-12</v>
      </c>
      <c r="FH138" s="22">
        <f t="shared" si="130"/>
        <v>3.5982663925596575E-12</v>
      </c>
      <c r="FI138" s="62">
        <f t="shared" si="131"/>
        <v>293.3333333333369</v>
      </c>
      <c r="FJ138" s="62">
        <f ca="1">AVERAGE(OFFSET($FI$3,0,0,'Données projet'!$E$16+1,1))-AVERAGE(OFFSET($H$3,0,0,'Données projet'!$E$16+1,1))</f>
        <v>249.2899297828755</v>
      </c>
      <c r="FK138" s="62">
        <f t="shared" si="156"/>
        <v>162.88011837476813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43.545630368852045</v>
      </c>
      <c r="FR138" s="23">
        <f>EXP(-LN(2)/25)*FR137+(1-EXP(-LN(2)/25))/(LN(2)/25)*Calculateur!FM138*Calculateur!FO138*VLOOKUP('Données projet'!$B$16,Paramètres!$A$1:$I$89,3,0)*0.475*44/12</f>
        <v>2.3773066859633056</v>
      </c>
      <c r="FS138" s="23">
        <f>EXP(-LN(2)/2)*FS137+(1-EXP(-LN(2)/2))/(LN(2)/2)*FM138*FP138*VLOOKUP('Données projet'!$B$16,Paramètres!$A$1:$I$89,3,0)*0.475*44/12</f>
        <v>2.6275847744155371E-10</v>
      </c>
      <c r="FT138" s="24">
        <f t="shared" si="132"/>
        <v>45.922937055078108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1.7053025658242404E-13</v>
      </c>
      <c r="GA138" s="18">
        <f>FZ138*VLOOKUP('Données projet'!$B$17,Paramètres!$A$1:$I$89,3,0)*VLOOKUP('Données projet'!$B$17,Paramètres!$A$1:$I$89,5,0)</f>
        <v>1.1439169611549005E-13</v>
      </c>
      <c r="GB138" s="14">
        <f t="shared" si="157"/>
        <v>1.6918016515029816E-12</v>
      </c>
      <c r="GC138" s="22">
        <f t="shared" si="133"/>
        <v>3.1457867471021712E-12</v>
      </c>
      <c r="GD138" s="62">
        <f t="shared" si="134"/>
        <v>293.33333333333644</v>
      </c>
      <c r="GE138" s="62">
        <f ca="1">AVERAGE(OFFSET($GD$3,0,0,'Données projet'!$E$17+1,1))-AVERAGE(OFFSET($H$3,0,0,'Données projet'!$E$17+1,1))</f>
        <v>218.89895999738746</v>
      </c>
      <c r="GF138" s="62">
        <f t="shared" si="158"/>
        <v>145.64042897395763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46.158368190983147</v>
      </c>
      <c r="GM138" s="23">
        <f>EXP(-LN(2)/25)*GM137+(1-EXP(-LN(2)/25))/(LN(2)/25)*Calculateur!GH138*Calculateur!GJ138*VLOOKUP('Données projet'!$B$17,Paramètres!$A$1:$I$89,3,0)*0.475*44/12</f>
        <v>2.5199450871211062</v>
      </c>
      <c r="GN138" s="23">
        <f>EXP(-LN(2)/2)*GN137+(1-EXP(-LN(2)/2))/(LN(2)/2)*GH138*GK138*VLOOKUP('Données projet'!$B$17,Paramètres!$A$1:$I$89,3,0)*0.475*44/12</f>
        <v>2.2597229059973749E-10</v>
      </c>
      <c r="GO138" s="23">
        <f t="shared" si="135"/>
        <v>48.678313278330229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1.7053025658242404E-13</v>
      </c>
      <c r="GV138" s="18">
        <f>GU138*VLOOKUP('Données projet'!$B$18,Paramètres!$A$1:$I$89,3,0)*VLOOKUP('Données projet'!$B$18,Paramètres!$A$1:$I$89,5,0)</f>
        <v>1.8355876818532125E-13</v>
      </c>
      <c r="GW138" s="14">
        <f t="shared" si="159"/>
        <v>2.5693529898865504E-12</v>
      </c>
      <c r="GX138" s="22">
        <f t="shared" si="136"/>
        <v>4.7946546453085093E-12</v>
      </c>
      <c r="GY138" s="62">
        <f t="shared" si="137"/>
        <v>293.33333333333809</v>
      </c>
      <c r="GZ138" s="62">
        <f ca="1">AVERAGE(OFFSET($GY$3,0,0,'Données projet'!$E$18+1,1))-AVERAGE(OFFSET($H$3,0,0,'Données projet'!$E$18+1,1))</f>
        <v>331.3579800635751</v>
      </c>
      <c r="HA138" s="62">
        <f t="shared" si="160"/>
        <v>209.40702003535273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60.092969909015814</v>
      </c>
      <c r="HH138" s="23">
        <f>EXP(-LN(2)/25)*HH137+(1-EXP(-LN(2)/25))/(LN(2)/25)*Calculateur!HC138*Calculateur!HE138*VLOOKUP('Données projet'!$B$18,Paramètres!$A$1:$I$89,3,0)*0.475*44/12</f>
        <v>3.2806832266293666</v>
      </c>
      <c r="HI138" s="23">
        <f>EXP(-LN(2)/2)*HI137+(1-EXP(-LN(2)/2))/(LN(2)/2)*HC138*HF138*VLOOKUP('Données projet'!$B$18,Paramètres!$A$1:$I$89,3,0)*0.475*44/12</f>
        <v>3.6260669886934423E-10</v>
      </c>
      <c r="HJ138" s="24">
        <f t="shared" si="138"/>
        <v>63.373653136007782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104.98066666666666</v>
      </c>
      <c r="N139" s="14">
        <f>IF('Données projet'!$A$36&gt;35,N138+M139-V138,IF(A139&lt;'Données projet'!$A$36,$K$205^A139,IF(A139='Données projet'!$A$36,'Données projet'!$B$36,N138+M139-V138)))</f>
        <v>3606.5473333333375</v>
      </c>
      <c r="O139" s="14">
        <f>N139*VLOOKUP('Données projet'!$B$9,Paramètres!$A$1:$I$89,3,0)*VLOOKUP('Données projet'!$B$9,Paramètres!$A$1:$I$89,5,0)</f>
        <v>3263.2040272000031</v>
      </c>
      <c r="P139" s="14">
        <f t="shared" si="141"/>
        <v>586.41909716605187</v>
      </c>
      <c r="Q139" s="22">
        <f t="shared" si="108"/>
        <v>6704.7602749375446</v>
      </c>
      <c r="R139" s="62">
        <f t="shared" si="109"/>
        <v>6998.0936082708777</v>
      </c>
      <c r="S139" s="62">
        <f ca="1">AVERAGE(OFFSET($R$3,0,0,'Données projet'!$E$9+1,1))-AVERAGE(OFFSET($H$3,0,0,'Données projet'!$E$9+1,1))</f>
        <v>2472.5049373954762</v>
      </c>
      <c r="T139" s="62">
        <f t="shared" si="142"/>
        <v>286.98388307318311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385.59027399812953</v>
      </c>
      <c r="AA139" s="23">
        <f>EXP(-LN(2)/25)*AA138+(1-EXP(-LN(2)/25))/(LN(2)/25)*Calculateur!V139*Calculateur!X139*VLOOKUP('Données projet'!$B$9,Paramètres!$A$1:$I$89,3,0)*0.475*44/12</f>
        <v>20.808059200857759</v>
      </c>
      <c r="AB139" s="23">
        <f>EXP(-LN(2)/2)*AB138+(1-EXP(-LN(2)/2))/(LN(2)/2)*V139*Y139*VLOOKUP('Données projet'!$B$9,Paramètres!$A$1:$I$89,3,0)*0.475*44/12</f>
        <v>0.69825913069398016</v>
      </c>
      <c r="AC139" s="24">
        <f t="shared" si="111"/>
        <v>407.0965923296813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104.98066666666666</v>
      </c>
      <c r="AI139" s="14">
        <f>IF('Données projet'!$A$62&gt;35,AI138+AH139-AQ138,IF(A139&lt;'Données projet'!$A$62,$AF$205^A139,IF(A139='Données projet'!$A$62,'Données projet'!$B$62,AI138+AH139-AQ138)))</f>
        <v>3606.5473333333375</v>
      </c>
      <c r="AJ139" s="14">
        <f>AI139*VLOOKUP('Données projet'!$B$10,Paramètres!$A$1:$I$89,3,0)*VLOOKUP('Données projet'!$B$10,Paramètres!$A$1:$I$89,5,0)</f>
        <v>3657.0389960000043</v>
      </c>
      <c r="AK139" s="14">
        <f t="shared" si="143"/>
        <v>648.53492956394518</v>
      </c>
      <c r="AL139" s="22">
        <f t="shared" si="112"/>
        <v>7498.8745870238781</v>
      </c>
      <c r="AM139" s="62">
        <f t="shared" si="113"/>
        <v>7792.2079203572112</v>
      </c>
      <c r="AN139" s="62">
        <f ca="1">AVERAGE(OFFSET($AM$3,0,0,'Données projet'!$E$10+1,1))-AVERAGE(OFFSET($H$3,0,0,'Données projet'!$E$10+1,1))</f>
        <v>2761.1400657295467</v>
      </c>
      <c r="AO139" s="62">
        <f t="shared" si="144"/>
        <v>316.41877504316409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432.12703120480046</v>
      </c>
      <c r="AV139" s="23">
        <f>EXP(-LN(2)/25)*AV138+(1-EXP(-LN(2)/25))/(LN(2)/25)*Calculateur!AQ139*Calculateur!AS139*VLOOKUP('Données projet'!$B$10,Paramètres!$A$1:$I$89,3,0)*0.475*44/12</f>
        <v>23.319376690616458</v>
      </c>
      <c r="AW139" s="23">
        <f>EXP(-LN(2)/2)*AW138+(1-EXP(-LN(2)/2))/(LN(2)/2)*AQ139*AT139*VLOOKUP('Données projet'!$B$10,Paramètres!$A$1:$I$89,3,0)*0.475*44/12</f>
        <v>0.78253178439842563</v>
      </c>
      <c r="AX139" s="23">
        <f t="shared" si="114"/>
        <v>456.22893967981537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104.98066666666666</v>
      </c>
      <c r="BD139" s="13">
        <f>IF('Données projet'!$A$88&gt;35,BD138+BC139-BL138,IF(A139&lt;'Données projet'!$A$88,$BA$205^A139,IF(A139='Données projet'!$A$88,'Données projet'!$B$88,BD138+BC139-BL138)))</f>
        <v>3606.5473333333375</v>
      </c>
      <c r="BE139" s="14">
        <f>BD139*VLOOKUP('Données projet'!$B$11,Paramètres!$A$1:$I$89,3,0)*VLOOKUP('Données projet'!$B$11,Paramètres!$A$1:$I$89,5,0)</f>
        <v>3769.5632728000051</v>
      </c>
      <c r="BF139" s="14">
        <f t="shared" si="145"/>
        <v>666.13587830370557</v>
      </c>
      <c r="BG139" s="22">
        <f t="shared" si="115"/>
        <v>7725.5093548389623</v>
      </c>
      <c r="BH139" s="62">
        <f t="shared" si="116"/>
        <v>8018.8426881722953</v>
      </c>
      <c r="BI139" s="62">
        <f ca="1">AVERAGE(OFFSET($BH$3,0,0,'Données projet'!$E$11+1,1))-AVERAGE(OFFSET($H$3,0,0,'Données projet'!$E$11+1,1))</f>
        <v>2843.5086223152098</v>
      </c>
      <c r="BJ139" s="62">
        <f t="shared" si="146"/>
        <v>324.81562437645522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445.42324754956337</v>
      </c>
      <c r="BQ139" s="23">
        <f>EXP(-LN(2)/25)*BQ138+(1-EXP(-LN(2)/25))/(LN(2)/25)*Calculateur!BL139*Calculateur!BN139*VLOOKUP('Données projet'!$B$11,Paramètres!$A$1:$I$89,3,0)*0.475*44/12</f>
        <v>24.036895973404651</v>
      </c>
      <c r="BR139" s="23">
        <f>EXP(-LN(2)/2)*BR138+(1-EXP(-LN(2)/2))/(LN(2)/2)*BL139*BO139*VLOOKUP('Données projet'!$B$11,Paramètres!$A$1:$I$89,3,0)*0.475*44/12</f>
        <v>0.8066096854568392</v>
      </c>
      <c r="BS139" s="24">
        <f t="shared" si="117"/>
        <v>470.26675320842486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104.98066666666666</v>
      </c>
      <c r="BY139" s="13">
        <f>IF('Données projet'!$A$114&gt;35,BY138+BX139-CG138,IF(A139&lt;'Données projet'!$A$114,$BV$205^A139,IF(A139='Données projet'!$A$114,'Données projet'!$B$114,BY138+BX139-CG138)))</f>
        <v>3606.5473333333375</v>
      </c>
      <c r="BZ139" s="14">
        <f>BY139*VLOOKUP('Données projet'!$B$12,Paramètres!$A$1:$I$89,3,0)*VLOOKUP('Données projet'!$B$12,Paramètres!$A$1:$I$89,5,0)</f>
        <v>3600.7768576000049</v>
      </c>
      <c r="CA139" s="14">
        <f t="shared" si="147"/>
        <v>639.71090615565231</v>
      </c>
      <c r="CB139" s="22">
        <f t="shared" si="118"/>
        <v>7385.5161885411026</v>
      </c>
      <c r="CC139" s="62">
        <f t="shared" si="119"/>
        <v>7678.8495218744356</v>
      </c>
      <c r="CD139" s="62">
        <f ca="1">AVERAGE(OFFSET($CC$3,0,0,'Données projet'!$E$12+1,1))-AVERAGE(OFFSET($H$3,0,0,'Données projet'!$E$12+1,1))</f>
        <v>2719.939926994799</v>
      </c>
      <c r="CE139" s="62">
        <f t="shared" si="148"/>
        <v>312.21824046329749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425.47892303241883</v>
      </c>
      <c r="CL139" s="23">
        <f>EXP(-LN(2)/25)*CL138+(1-EXP(-LN(2)/25))/(LN(2)/25)*Calculateur!CG139*Calculateur!CI139*VLOOKUP('Données projet'!$B$12,Paramètres!$A$1:$I$89,3,0)*0.475*44/12</f>
        <v>22.960617049222357</v>
      </c>
      <c r="CM139" s="23">
        <f>EXP(-LN(2)/2)*CM138+(1-EXP(-LN(2)/2))/(LN(2)/2)*CG139*CJ139*VLOOKUP('Données projet'!$B$12,Paramètres!$A$1:$I$89,3,0)*0.475*44/12</f>
        <v>0.77049283386921941</v>
      </c>
      <c r="CN139" s="24">
        <f t="shared" si="120"/>
        <v>449.21003291551045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1.1368683772161603E-12</v>
      </c>
      <c r="CU139" s="18">
        <f>CT139*VLOOKUP('Données projet'!$B$13,Paramètres!$A$1:$I$89,3,0)*VLOOKUP('Données projet'!$B$13,Paramètres!$A$1:$I$89,5,0)</f>
        <v>9.9316821433603771E-13</v>
      </c>
      <c r="CV139" s="14">
        <f t="shared" si="149"/>
        <v>1.1421454694498936E-11</v>
      </c>
      <c r="CW139" s="22">
        <f t="shared" si="121"/>
        <v>2.1622134899554243E-11</v>
      </c>
      <c r="CX139" s="62">
        <f t="shared" si="122"/>
        <v>293.33333333335491</v>
      </c>
      <c r="CY139" s="62">
        <f ca="1">AVERAGE(OFFSET($CX$3,0,0,'Données projet'!$E$13+1,1))-AVERAGE(OFFSET($H$3,0,0,'Données projet'!$E$13+1,1))</f>
        <v>1036.0130072090849</v>
      </c>
      <c r="CZ139" s="62">
        <f t="shared" si="150"/>
        <v>346.56593355696174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220.91223423705026</v>
      </c>
      <c r="DG139" s="23">
        <f>EXP(-LN(2)/25)*DG138+(1-EXP(-LN(2)/25))/(LN(2)/25)*Calculateur!DB139*Calculateur!DD139*VLOOKUP('Données projet'!$B$13,Paramètres!$A$1:$I$89,3,0)*0.475*44/12</f>
        <v>8.9588847259541655</v>
      </c>
      <c r="DH139" s="23">
        <f>EXP(-LN(2)/2)*DH138+(1-EXP(-LN(2)/2))/(LN(2)/2)*DB139*DE139*VLOOKUP('Données projet'!$B$13,Paramètres!$A$1:$I$89,3,0)*0.475*44/12</f>
        <v>3.3667316883303384E-7</v>
      </c>
      <c r="DI139" s="24">
        <f t="shared" si="123"/>
        <v>229.87111929967759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6.8212102632969618E-13</v>
      </c>
      <c r="DP139" s="18">
        <f>DO139*VLOOKUP('Données projet'!$B$14,Paramètres!$A$1:$I$89,3,0)*VLOOKUP('Données projet'!$B$14,Paramètres!$A$1:$I$89,5,0)</f>
        <v>3.8130565371830017E-13</v>
      </c>
      <c r="DQ139" s="14">
        <f t="shared" si="151"/>
        <v>4.9019074112354236E-12</v>
      </c>
      <c r="DR139" s="22">
        <f t="shared" si="124"/>
        <v>9.2015960881277352E-12</v>
      </c>
      <c r="DS139" s="62">
        <f t="shared" si="125"/>
        <v>293.33333333334252</v>
      </c>
      <c r="DT139" s="62">
        <f ca="1">AVERAGE(OFFSET($DS$3,0,0,'Données projet'!$E$14+1,1))-AVERAGE(OFFSET($H$3,0,0,'Données projet'!$E$14+1,1))</f>
        <v>446.48069057792151</v>
      </c>
      <c r="DU139" s="62">
        <f t="shared" si="152"/>
        <v>561.75656782935948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40.992986144760536</v>
      </c>
      <c r="EB139" s="23">
        <f>EXP(-LN(2)/25)*EB138+(1-EXP(-LN(2)/25))/(LN(2)/25)*Calculateur!DW139*Calculateur!DY139*VLOOKUP('Données projet'!$B$14,Paramètres!$A$1:$I$89,3,0)*0.475*44/12</f>
        <v>9.8523396105795893</v>
      </c>
      <c r="EC139" s="23">
        <f>EXP(-LN(2)/2)*EC138+(1-EXP(-LN(2)/2))/(LN(2)/2)*DW139*DZ139*VLOOKUP('Données projet'!$B$14,Paramètres!$A$1:$I$89,3,0)*0.475*44/12</f>
        <v>4.8816281160629594E-10</v>
      </c>
      <c r="ED139" s="24">
        <f t="shared" si="126"/>
        <v>50.845325755828291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1.7053025658242404E-13</v>
      </c>
      <c r="EK139" s="18">
        <f>EJ139*VLOOKUP('Données projet'!$B$15,Paramètres!$A$1:$I$89,3,0)*VLOOKUP('Données projet'!$B$15,Paramètres!$A$1:$I$89,5,0)</f>
        <v>1.6493686416652052E-13</v>
      </c>
      <c r="EL139" s="14">
        <f t="shared" si="153"/>
        <v>2.3376205369651282E-12</v>
      </c>
      <c r="EM139" s="22">
        <f t="shared" si="127"/>
        <v>4.3586208069709543E-12</v>
      </c>
      <c r="EN139" s="62">
        <f t="shared" si="128"/>
        <v>293.33333333333769</v>
      </c>
      <c r="EO139" s="62">
        <f ca="1">AVERAGE(OFFSET($EN$3,0,0,'Données projet'!$E$15+1,1))-AVERAGE(OFFSET($H$3,0,0,'Données projet'!$E$15+1,1))</f>
        <v>301.18531163828169</v>
      </c>
      <c r="EP139" s="62">
        <f t="shared" si="154"/>
        <v>192.30530273268101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52.937741625738177</v>
      </c>
      <c r="EW139" s="23">
        <f>EXP(-LN(2)/25)*EW138+(1-EXP(-LN(2)/25))/(LN(2)/25)*Calculateur!ER139*Calculateur!ET139*VLOOKUP('Données projet'!$B$15,Paramètres!$A$1:$I$89,3,0)*0.475*44/12</f>
        <v>2.8672508959269618</v>
      </c>
      <c r="EX139" s="23">
        <f>EXP(-LN(2)/2)*EX138+(1-EXP(-LN(2)/2))/(LN(2)/2)*ER139*EU139*VLOOKUP('Données projet'!$B$15,Paramètres!$A$1:$I$89,3,0)*0.475*44/12</f>
        <v>2.3038989350433843E-10</v>
      </c>
      <c r="EY139" s="24">
        <f t="shared" si="129"/>
        <v>55.804992521895528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1.7053025658242404E-13</v>
      </c>
      <c r="FF139" s="18">
        <f>FE139*VLOOKUP('Données projet'!$B$16,Paramètres!$A$1:$I$89,3,0)*VLOOKUP('Données projet'!$B$16,Paramètres!$A$1:$I$89,5,0)</f>
        <v>1.3301360013429075E-13</v>
      </c>
      <c r="FG139" s="14">
        <f t="shared" si="155"/>
        <v>1.9329766731057041E-12</v>
      </c>
      <c r="FH139" s="22">
        <f t="shared" si="130"/>
        <v>3.5982663925596575E-12</v>
      </c>
      <c r="FI139" s="62">
        <f t="shared" si="131"/>
        <v>293.3333333333369</v>
      </c>
      <c r="FJ139" s="62">
        <f ca="1">AVERAGE(OFFSET($FI$3,0,0,'Données projet'!$E$16+1,1))-AVERAGE(OFFSET($H$3,0,0,'Données projet'!$E$16+1,1))</f>
        <v>249.2899297828755</v>
      </c>
      <c r="FK139" s="62">
        <f t="shared" si="156"/>
        <v>162.88011837476813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42.691727117530782</v>
      </c>
      <c r="FR139" s="23">
        <f>EXP(-LN(2)/25)*FR138+(1-EXP(-LN(2)/25))/(LN(2)/25)*Calculateur!FM139*Calculateur!FO139*VLOOKUP('Données projet'!$B$16,Paramètres!$A$1:$I$89,3,0)*0.475*44/12</f>
        <v>2.3122991096185137</v>
      </c>
      <c r="FS139" s="23">
        <f>EXP(-LN(2)/2)*FS138+(1-EXP(-LN(2)/2))/(LN(2)/2)*FM139*FP139*VLOOKUP('Données projet'!$B$16,Paramètres!$A$1:$I$89,3,0)*0.475*44/12</f>
        <v>1.8579830121317511E-10</v>
      </c>
      <c r="FT139" s="24">
        <f t="shared" si="132"/>
        <v>45.004026227335096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1.7053025658242404E-13</v>
      </c>
      <c r="GA139" s="18">
        <f>FZ139*VLOOKUP('Données projet'!$B$17,Paramètres!$A$1:$I$89,3,0)*VLOOKUP('Données projet'!$B$17,Paramètres!$A$1:$I$89,5,0)</f>
        <v>1.1439169611549005E-13</v>
      </c>
      <c r="GB139" s="14">
        <f t="shared" si="157"/>
        <v>1.6918016515029816E-12</v>
      </c>
      <c r="GC139" s="22">
        <f t="shared" si="133"/>
        <v>3.1457867471021712E-12</v>
      </c>
      <c r="GD139" s="62">
        <f t="shared" si="134"/>
        <v>293.33333333333644</v>
      </c>
      <c r="GE139" s="62">
        <f ca="1">AVERAGE(OFFSET($GD$3,0,0,'Données projet'!$E$17+1,1))-AVERAGE(OFFSET($H$3,0,0,'Données projet'!$E$17+1,1))</f>
        <v>218.89895999738746</v>
      </c>
      <c r="GF139" s="62">
        <f t="shared" si="158"/>
        <v>145.64042897395763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45.253230744582602</v>
      </c>
      <c r="GM139" s="23">
        <f>EXP(-LN(2)/25)*GM138+(1-EXP(-LN(2)/25))/(LN(2)/25)*Calculateur!GH139*Calculateur!GJ139*VLOOKUP('Données projet'!$B$17,Paramètres!$A$1:$I$89,3,0)*0.475*44/12</f>
        <v>2.4510370561956267</v>
      </c>
      <c r="GN139" s="23">
        <f>EXP(-LN(2)/2)*GN138+(1-EXP(-LN(2)/2))/(LN(2)/2)*GH139*GK139*VLOOKUP('Données projet'!$B$17,Paramètres!$A$1:$I$89,3,0)*0.475*44/12</f>
        <v>1.5978653904333152E-10</v>
      </c>
      <c r="GO139" s="23">
        <f t="shared" si="135"/>
        <v>47.704267800938013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1.7053025658242404E-13</v>
      </c>
      <c r="GV139" s="18">
        <f>GU139*VLOOKUP('Données projet'!$B$18,Paramètres!$A$1:$I$89,3,0)*VLOOKUP('Données projet'!$B$18,Paramètres!$A$1:$I$89,5,0)</f>
        <v>1.8355876818532125E-13</v>
      </c>
      <c r="GW139" s="14">
        <f t="shared" si="159"/>
        <v>2.5693529898865504E-12</v>
      </c>
      <c r="GX139" s="22">
        <f t="shared" si="136"/>
        <v>4.7946546453085093E-12</v>
      </c>
      <c r="GY139" s="62">
        <f t="shared" si="137"/>
        <v>293.33333333333809</v>
      </c>
      <c r="GZ139" s="62">
        <f ca="1">AVERAGE(OFFSET($GY$3,0,0,'Données projet'!$E$18+1,1))-AVERAGE(OFFSET($H$3,0,0,'Données projet'!$E$18+1,1))</f>
        <v>331.3579800635751</v>
      </c>
      <c r="HA139" s="62">
        <f t="shared" si="160"/>
        <v>209.40702003535273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58.914583422192464</v>
      </c>
      <c r="HH139" s="23">
        <f>EXP(-LN(2)/25)*HH138+(1-EXP(-LN(2)/25))/(LN(2)/25)*Calculateur!HC139*Calculateur!HE139*VLOOKUP('Données projet'!$B$18,Paramètres!$A$1:$I$89,3,0)*0.475*44/12</f>
        <v>3.1909727712735538</v>
      </c>
      <c r="HI139" s="23">
        <f>EXP(-LN(2)/2)*HI138+(1-EXP(-LN(2)/2))/(LN(2)/2)*HC139*HF139*VLOOKUP('Données projet'!$B$18,Paramètres!$A$1:$I$89,3,0)*0.475*44/12</f>
        <v>2.5640165567418171E-10</v>
      </c>
      <c r="HJ139" s="24">
        <f t="shared" si="138"/>
        <v>62.105556193722414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104.98066666666666</v>
      </c>
      <c r="N140" s="14">
        <f>IF('Données projet'!$A$36&gt;35,N139+M140-V139,IF(A140&lt;'Données projet'!$A$36,$K$205^A140,IF(A140='Données projet'!$A$36,'Données projet'!$B$36,N139+M140-V139)))</f>
        <v>3711.5280000000043</v>
      </c>
      <c r="O140" s="14">
        <f>N140*VLOOKUP('Données projet'!$B$9,Paramètres!$A$1:$I$89,3,0)*VLOOKUP('Données projet'!$B$9,Paramètres!$A$1:$I$89,5,0)</f>
        <v>3358.1905344000038</v>
      </c>
      <c r="P140" s="14">
        <f t="shared" si="141"/>
        <v>601.47660159556585</v>
      </c>
      <c r="Q140" s="22">
        <f t="shared" si="108"/>
        <v>6896.4202618589507</v>
      </c>
      <c r="R140" s="62">
        <f t="shared" si="109"/>
        <v>7189.7535951922837</v>
      </c>
      <c r="S140" s="62">
        <f ca="1">AVERAGE(OFFSET($R$3,0,0,'Données projet'!$E$9+1,1))-AVERAGE(OFFSET($H$3,0,0,'Données projet'!$E$9+1,1))</f>
        <v>2472.5049373954762</v>
      </c>
      <c r="T140" s="62">
        <f t="shared" si="142"/>
        <v>286.98388307318311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378.0290839118706</v>
      </c>
      <c r="AA140" s="23">
        <f>EXP(-LN(2)/25)*AA139+(1-EXP(-LN(2)/25))/(LN(2)/25)*Calculateur!V140*Calculateur!X140*VLOOKUP('Données projet'!$B$9,Paramètres!$A$1:$I$89,3,0)*0.475*44/12</f>
        <v>20.239061727762028</v>
      </c>
      <c r="AB140" s="23">
        <f>EXP(-LN(2)/2)*AB139+(1-EXP(-LN(2)/2))/(LN(2)/2)*V140*Y140*VLOOKUP('Données projet'!$B$9,Paramètres!$A$1:$I$89,3,0)*0.475*44/12</f>
        <v>0.49374376633913714</v>
      </c>
      <c r="AC140" s="24">
        <f t="shared" si="111"/>
        <v>398.76188940597177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104.98066666666666</v>
      </c>
      <c r="AI140" s="14">
        <f>IF('Données projet'!$A$62&gt;35,AI139+AH140-AQ139,IF(A140&lt;'Données projet'!$A$62,$AF$205^A140,IF(A140='Données projet'!$A$62,'Données projet'!$B$62,AI139+AH140-AQ139)))</f>
        <v>3711.5280000000043</v>
      </c>
      <c r="AJ140" s="14">
        <f>AI140*VLOOKUP('Données projet'!$B$10,Paramètres!$A$1:$I$89,3,0)*VLOOKUP('Données projet'!$B$10,Paramètres!$A$1:$I$89,5,0)</f>
        <v>3763.489392000005</v>
      </c>
      <c r="AK140" s="14">
        <f t="shared" si="143"/>
        <v>665.18738447511123</v>
      </c>
      <c r="AL140" s="22">
        <f t="shared" si="112"/>
        <v>7713.2787190274948</v>
      </c>
      <c r="AM140" s="62">
        <f t="shared" si="113"/>
        <v>8006.6120523608279</v>
      </c>
      <c r="AN140" s="62">
        <f ca="1">AVERAGE(OFFSET($AM$3,0,0,'Données projet'!$E$10+1,1))-AVERAGE(OFFSET($H$3,0,0,'Données projet'!$E$10+1,1))</f>
        <v>2761.1400657295467</v>
      </c>
      <c r="AO140" s="62">
        <f t="shared" si="144"/>
        <v>316.41877504316409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423.65328369433786</v>
      </c>
      <c r="AV140" s="23">
        <f>EXP(-LN(2)/25)*AV139+(1-EXP(-LN(2)/25))/(LN(2)/25)*Calculateur!AQ140*Calculateur!AS140*VLOOKUP('Données projet'!$B$10,Paramètres!$A$1:$I$89,3,0)*0.475*44/12</f>
        <v>22.681707108698827</v>
      </c>
      <c r="AW140" s="23">
        <f>EXP(-LN(2)/2)*AW139+(1-EXP(-LN(2)/2))/(LN(2)/2)*AQ140*AT140*VLOOKUP('Données projet'!$B$10,Paramètres!$A$1:$I$89,3,0)*0.475*44/12</f>
        <v>0.55333353124213613</v>
      </c>
      <c r="AX140" s="23">
        <f t="shared" si="114"/>
        <v>446.88832433427882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104.98066666666666</v>
      </c>
      <c r="BD140" s="13">
        <f>IF('Données projet'!$A$88&gt;35,BD139+BC140-BL139,IF(A140&lt;'Données projet'!$A$88,$BA$205^A140,IF(A140='Données projet'!$A$88,'Données projet'!$B$88,BD139+BC140-BL139)))</f>
        <v>3711.5280000000043</v>
      </c>
      <c r="BE140" s="14">
        <f>BD140*VLOOKUP('Données projet'!$B$11,Paramètres!$A$1:$I$89,3,0)*VLOOKUP('Données projet'!$B$11,Paramètres!$A$1:$I$89,5,0)</f>
        <v>3879.289065600005</v>
      </c>
      <c r="BF140" s="14">
        <f t="shared" si="145"/>
        <v>683.24027341411249</v>
      </c>
      <c r="BG140" s="22">
        <f t="shared" si="115"/>
        <v>7946.4052654495872</v>
      </c>
      <c r="BH140" s="62">
        <f t="shared" si="116"/>
        <v>8239.7385987829202</v>
      </c>
      <c r="BI140" s="62">
        <f ca="1">AVERAGE(OFFSET($BH$3,0,0,'Données projet'!$E$11+1,1))-AVERAGE(OFFSET($H$3,0,0,'Données projet'!$E$11+1,1))</f>
        <v>2843.5086223152098</v>
      </c>
      <c r="BJ140" s="62">
        <f t="shared" si="146"/>
        <v>324.81562437645522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436.68876934647113</v>
      </c>
      <c r="BQ140" s="23">
        <f>EXP(-LN(2)/25)*BQ139+(1-EXP(-LN(2)/25))/(LN(2)/25)*Calculateur!BL140*Calculateur!BN140*VLOOKUP('Données projet'!$B$11,Paramètres!$A$1:$I$89,3,0)*0.475*44/12</f>
        <v>23.379605788966479</v>
      </c>
      <c r="BR140" s="23">
        <f>EXP(-LN(2)/2)*BR139+(1-EXP(-LN(2)/2))/(LN(2)/2)*BL140*BO140*VLOOKUP('Données projet'!$B$11,Paramètres!$A$1:$I$89,3,0)*0.475*44/12</f>
        <v>0.57035917835727912</v>
      </c>
      <c r="BS140" s="24">
        <f t="shared" si="117"/>
        <v>460.63873431379494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104.98066666666666</v>
      </c>
      <c r="BY140" s="13">
        <f>IF('Données projet'!$A$114&gt;35,BY139+BX140-CG139,IF(A140&lt;'Données projet'!$A$114,$BV$205^A140,IF(A140='Données projet'!$A$114,'Données projet'!$B$114,BY139+BX140-CG139)))</f>
        <v>3711.5280000000043</v>
      </c>
      <c r="BZ140" s="14">
        <f>BY140*VLOOKUP('Données projet'!$B$12,Paramètres!$A$1:$I$89,3,0)*VLOOKUP('Données projet'!$B$12,Paramètres!$A$1:$I$89,5,0)</f>
        <v>3705.5895552000043</v>
      </c>
      <c r="CA140" s="14">
        <f t="shared" si="147"/>
        <v>656.13678629768322</v>
      </c>
      <c r="CB140" s="22">
        <f t="shared" si="118"/>
        <v>7596.6733781084731</v>
      </c>
      <c r="CC140" s="62">
        <f t="shared" si="119"/>
        <v>7890.0067114418061</v>
      </c>
      <c r="CD140" s="62">
        <f ca="1">AVERAGE(OFFSET($CC$3,0,0,'Données projet'!$E$12+1,1))-AVERAGE(OFFSET($H$3,0,0,'Données projet'!$E$12+1,1))</f>
        <v>2719.939926994799</v>
      </c>
      <c r="CE140" s="62">
        <f t="shared" si="148"/>
        <v>312.21824046329749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417.13554086827105</v>
      </c>
      <c r="CL140" s="23">
        <f>EXP(-LN(2)/25)*CL139+(1-EXP(-LN(2)/25))/(LN(2)/25)*Calculateur!CG140*Calculateur!CI140*VLOOKUP('Données projet'!$B$12,Paramètres!$A$1:$I$89,3,0)*0.475*44/12</f>
        <v>22.332757768564999</v>
      </c>
      <c r="CM140" s="23">
        <f>EXP(-LN(2)/2)*CM139+(1-EXP(-LN(2)/2))/(LN(2)/2)*CG140*CJ140*VLOOKUP('Données projet'!$B$12,Paramètres!$A$1:$I$89,3,0)*0.475*44/12</f>
        <v>0.54482070768456503</v>
      </c>
      <c r="CN140" s="24">
        <f t="shared" si="120"/>
        <v>440.01311934452059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1.1368683772161603E-12</v>
      </c>
      <c r="CU140" s="18">
        <f>CT140*VLOOKUP('Données projet'!$B$13,Paramètres!$A$1:$I$89,3,0)*VLOOKUP('Données projet'!$B$13,Paramètres!$A$1:$I$89,5,0)</f>
        <v>9.9316821433603771E-13</v>
      </c>
      <c r="CV140" s="14">
        <f t="shared" si="149"/>
        <v>1.1421454694498936E-11</v>
      </c>
      <c r="CW140" s="22">
        <f t="shared" si="121"/>
        <v>2.1622134899554243E-11</v>
      </c>
      <c r="CX140" s="62">
        <f t="shared" si="122"/>
        <v>293.33333333335491</v>
      </c>
      <c r="CY140" s="62">
        <f ca="1">AVERAGE(OFFSET($CX$3,0,0,'Données projet'!$E$13+1,1))-AVERAGE(OFFSET($H$3,0,0,'Données projet'!$E$13+1,1))</f>
        <v>1036.0130072090849</v>
      </c>
      <c r="CZ140" s="62">
        <f t="shared" si="150"/>
        <v>346.56593355696174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216.5802800668198</v>
      </c>
      <c r="DG140" s="23">
        <f>EXP(-LN(2)/25)*DG139+(1-EXP(-LN(2)/25))/(LN(2)/25)*Calculateur!DB140*Calculateur!DD140*VLOOKUP('Données projet'!$B$13,Paramètres!$A$1:$I$89,3,0)*0.475*44/12</f>
        <v>8.7139035519956778</v>
      </c>
      <c r="DH140" s="23">
        <f>EXP(-LN(2)/2)*DH139+(1-EXP(-LN(2)/2))/(LN(2)/2)*DB140*DE140*VLOOKUP('Données projet'!$B$13,Paramètres!$A$1:$I$89,3,0)*0.475*44/12</f>
        <v>2.3806388072540163E-7</v>
      </c>
      <c r="DI140" s="24">
        <f t="shared" si="123"/>
        <v>225.29418385687936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6.8212102632969618E-13</v>
      </c>
      <c r="DP140" s="18">
        <f>DO140*VLOOKUP('Données projet'!$B$14,Paramètres!$A$1:$I$89,3,0)*VLOOKUP('Données projet'!$B$14,Paramètres!$A$1:$I$89,5,0)</f>
        <v>3.8130565371830017E-13</v>
      </c>
      <c r="DQ140" s="14">
        <f t="shared" si="151"/>
        <v>4.9019074112354236E-12</v>
      </c>
      <c r="DR140" s="22">
        <f t="shared" si="124"/>
        <v>9.2015960881277352E-12</v>
      </c>
      <c r="DS140" s="62">
        <f t="shared" si="125"/>
        <v>293.33333333334252</v>
      </c>
      <c r="DT140" s="62">
        <f ca="1">AVERAGE(OFFSET($DS$3,0,0,'Données projet'!$E$14+1,1))-AVERAGE(OFFSET($H$3,0,0,'Données projet'!$E$14+1,1))</f>
        <v>446.48069057792151</v>
      </c>
      <c r="DU140" s="62">
        <f t="shared" si="152"/>
        <v>561.75656782935948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40.189138689714461</v>
      </c>
      <c r="EB140" s="23">
        <f>EXP(-LN(2)/25)*EB139+(1-EXP(-LN(2)/25))/(LN(2)/25)*Calculateur!DW140*Calculateur!DY140*VLOOKUP('Données projet'!$B$14,Paramètres!$A$1:$I$89,3,0)*0.475*44/12</f>
        <v>9.582926865816269</v>
      </c>
      <c r="EC140" s="23">
        <f>EXP(-LN(2)/2)*EC139+(1-EXP(-LN(2)/2))/(LN(2)/2)*DW140*DZ140*VLOOKUP('Données projet'!$B$14,Paramètres!$A$1:$I$89,3,0)*0.475*44/12</f>
        <v>3.4518323440990293E-10</v>
      </c>
      <c r="ED140" s="24">
        <f t="shared" si="126"/>
        <v>49.772065555875912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1.7053025658242404E-13</v>
      </c>
      <c r="EK140" s="18">
        <f>EJ140*VLOOKUP('Données projet'!$B$15,Paramètres!$A$1:$I$89,3,0)*VLOOKUP('Données projet'!$B$15,Paramètres!$A$1:$I$89,5,0)</f>
        <v>1.6493686416652052E-13</v>
      </c>
      <c r="EL140" s="14">
        <f t="shared" si="153"/>
        <v>2.3376205369651282E-12</v>
      </c>
      <c r="EM140" s="22">
        <f t="shared" si="127"/>
        <v>4.3586208069709543E-12</v>
      </c>
      <c r="EN140" s="62">
        <f t="shared" si="128"/>
        <v>293.33333333333769</v>
      </c>
      <c r="EO140" s="62">
        <f ca="1">AVERAGE(OFFSET($EN$3,0,0,'Données projet'!$E$15+1,1))-AVERAGE(OFFSET($H$3,0,0,'Données projet'!$E$15+1,1))</f>
        <v>301.18531163828169</v>
      </c>
      <c r="EP140" s="62">
        <f t="shared" si="154"/>
        <v>192.30530273268101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51.899664801291586</v>
      </c>
      <c r="EW140" s="23">
        <f>EXP(-LN(2)/25)*EW139+(1-EXP(-LN(2)/25))/(LN(2)/25)*Calculateur!ER140*Calculateur!ET140*VLOOKUP('Données projet'!$B$15,Paramètres!$A$1:$I$89,3,0)*0.475*44/12</f>
        <v>2.7888457693956674</v>
      </c>
      <c r="EX140" s="23">
        <f>EXP(-LN(2)/2)*EX139+(1-EXP(-LN(2)/2))/(LN(2)/2)*ER140*EU140*VLOOKUP('Données projet'!$B$15,Paramètres!$A$1:$I$89,3,0)*0.475*44/12</f>
        <v>1.6291025601376424E-10</v>
      </c>
      <c r="EY140" s="24">
        <f t="shared" si="129"/>
        <v>54.68851057085017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1.7053025658242404E-13</v>
      </c>
      <c r="FF140" s="18">
        <f>FE140*VLOOKUP('Données projet'!$B$16,Paramètres!$A$1:$I$89,3,0)*VLOOKUP('Données projet'!$B$16,Paramètres!$A$1:$I$89,5,0)</f>
        <v>1.3301360013429075E-13</v>
      </c>
      <c r="FG140" s="14">
        <f t="shared" si="155"/>
        <v>1.9329766731057041E-12</v>
      </c>
      <c r="FH140" s="22">
        <f t="shared" si="130"/>
        <v>3.5982663925596575E-12</v>
      </c>
      <c r="FI140" s="62">
        <f t="shared" si="131"/>
        <v>293.3333333333369</v>
      </c>
      <c r="FJ140" s="62">
        <f ca="1">AVERAGE(OFFSET($FI$3,0,0,'Données projet'!$E$16+1,1))-AVERAGE(OFFSET($H$3,0,0,'Données projet'!$E$16+1,1))</f>
        <v>249.2899297828755</v>
      </c>
      <c r="FK140" s="62">
        <f t="shared" si="156"/>
        <v>162.88011837476813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41.854568388138368</v>
      </c>
      <c r="FR140" s="23">
        <f>EXP(-LN(2)/25)*FR139+(1-EXP(-LN(2)/25))/(LN(2)/25)*Calculateur!FM140*Calculateur!FO140*VLOOKUP('Données projet'!$B$16,Paramètres!$A$1:$I$89,3,0)*0.475*44/12</f>
        <v>2.2490691688674702</v>
      </c>
      <c r="FS140" s="23">
        <f>EXP(-LN(2)/2)*FS139+(1-EXP(-LN(2)/2))/(LN(2)/2)*FM140*FP140*VLOOKUP('Données projet'!$B$16,Paramètres!$A$1:$I$89,3,0)*0.475*44/12</f>
        <v>1.3137923872077686E-10</v>
      </c>
      <c r="FT140" s="24">
        <f t="shared" si="132"/>
        <v>44.103637557137219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1.7053025658242404E-13</v>
      </c>
      <c r="GA140" s="18">
        <f>FZ140*VLOOKUP('Données projet'!$B$17,Paramètres!$A$1:$I$89,3,0)*VLOOKUP('Données projet'!$B$17,Paramètres!$A$1:$I$89,5,0)</f>
        <v>1.1439169611549005E-13</v>
      </c>
      <c r="GB140" s="14">
        <f t="shared" si="157"/>
        <v>1.6918016515029816E-12</v>
      </c>
      <c r="GC140" s="22">
        <f t="shared" si="133"/>
        <v>3.1457867471021712E-12</v>
      </c>
      <c r="GD140" s="62">
        <f t="shared" si="134"/>
        <v>293.33333333333644</v>
      </c>
      <c r="GE140" s="62">
        <f ca="1">AVERAGE(OFFSET($GD$3,0,0,'Données projet'!$E$17+1,1))-AVERAGE(OFFSET($H$3,0,0,'Données projet'!$E$17+1,1))</f>
        <v>218.89895999738746</v>
      </c>
      <c r="GF140" s="62">
        <f t="shared" si="158"/>
        <v>145.64042897395763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44.365842491426648</v>
      </c>
      <c r="GM140" s="23">
        <f>EXP(-LN(2)/25)*GM139+(1-EXP(-LN(2)/25))/(LN(2)/25)*Calculateur!GH140*Calculateur!GJ140*VLOOKUP('Données projet'!$B$17,Paramètres!$A$1:$I$89,3,0)*0.475*44/12</f>
        <v>2.3840133189995205</v>
      </c>
      <c r="GN140" s="23">
        <f>EXP(-LN(2)/2)*GN139+(1-EXP(-LN(2)/2))/(LN(2)/2)*GH140*GK140*VLOOKUP('Données projet'!$B$17,Paramètres!$A$1:$I$89,3,0)*0.475*44/12</f>
        <v>1.1298614529986876E-10</v>
      </c>
      <c r="GO140" s="23">
        <f t="shared" si="135"/>
        <v>46.749855810539152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1.7053025658242404E-13</v>
      </c>
      <c r="GV140" s="18">
        <f>GU140*VLOOKUP('Données projet'!$B$18,Paramètres!$A$1:$I$89,3,0)*VLOOKUP('Données projet'!$B$18,Paramètres!$A$1:$I$89,5,0)</f>
        <v>1.8355876818532125E-13</v>
      </c>
      <c r="GW140" s="14">
        <f t="shared" si="159"/>
        <v>2.5693529898865504E-12</v>
      </c>
      <c r="GX140" s="22">
        <f t="shared" si="136"/>
        <v>4.7946546453085093E-12</v>
      </c>
      <c r="GY140" s="62">
        <f t="shared" si="137"/>
        <v>293.33333333333809</v>
      </c>
      <c r="GZ140" s="62">
        <f ca="1">AVERAGE(OFFSET($GY$3,0,0,'Données projet'!$E$18+1,1))-AVERAGE(OFFSET($H$3,0,0,'Données projet'!$E$18+1,1))</f>
        <v>331.3579800635751</v>
      </c>
      <c r="HA140" s="62">
        <f t="shared" si="160"/>
        <v>209.40702003535273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57.759304375630933</v>
      </c>
      <c r="HH140" s="23">
        <f>EXP(-LN(2)/25)*HH139+(1-EXP(-LN(2)/25))/(LN(2)/25)*Calculateur!HC140*Calculateur!HE140*VLOOKUP('Données projet'!$B$18,Paramètres!$A$1:$I$89,3,0)*0.475*44/12</f>
        <v>3.1037154530371134</v>
      </c>
      <c r="HI140" s="23">
        <f>EXP(-LN(2)/2)*HI139+(1-EXP(-LN(2)/2))/(LN(2)/2)*HC140*HF140*VLOOKUP('Données projet'!$B$18,Paramètres!$A$1:$I$89,3,0)*0.475*44/12</f>
        <v>1.8130334943467211E-10</v>
      </c>
      <c r="HJ140" s="24">
        <f t="shared" si="138"/>
        <v>60.863019828849346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104.98066666666666</v>
      </c>
      <c r="N141" s="14">
        <f>IF('Données projet'!$A$36&gt;35,N140+M141-V140,IF(A141&lt;'Données projet'!$A$36,$K$205^A141,IF(A141='Données projet'!$A$36,'Données projet'!$B$36,N140+M141-V140)))</f>
        <v>3816.5086666666712</v>
      </c>
      <c r="O141" s="14">
        <f>N141*VLOOKUP('Données projet'!$B$9,Paramètres!$A$1:$I$89,3,0)*VLOOKUP('Données projet'!$B$9,Paramètres!$A$1:$I$89,5,0)</f>
        <v>3453.177041600004</v>
      </c>
      <c r="P141" s="14">
        <f t="shared" si="141"/>
        <v>616.48460558895863</v>
      </c>
      <c r="Q141" s="22">
        <f t="shared" si="108"/>
        <v>7087.9940355207764</v>
      </c>
      <c r="R141" s="62">
        <f t="shared" si="109"/>
        <v>7381.3273688541094</v>
      </c>
      <c r="S141" s="62">
        <f ca="1">AVERAGE(OFFSET($R$3,0,0,'Données projet'!$E$9+1,1))-AVERAGE(OFFSET($H$3,0,0,'Données projet'!$E$9+1,1))</f>
        <v>2472.5049373954762</v>
      </c>
      <c r="T141" s="62">
        <f t="shared" si="142"/>
        <v>286.98388307318311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370.61616415133261</v>
      </c>
      <c r="AA141" s="23">
        <f>EXP(-LN(2)/25)*AA140+(1-EXP(-LN(2)/25))/(LN(2)/25)*Calculateur!V141*Calculateur!X141*VLOOKUP('Données projet'!$B$9,Paramètres!$A$1:$I$89,3,0)*0.475*44/12</f>
        <v>19.685623520490378</v>
      </c>
      <c r="AB141" s="23">
        <f>EXP(-LN(2)/2)*AB140+(1-EXP(-LN(2)/2))/(LN(2)/2)*V141*Y141*VLOOKUP('Données projet'!$B$9,Paramètres!$A$1:$I$89,3,0)*0.475*44/12</f>
        <v>0.34912956534699013</v>
      </c>
      <c r="AC141" s="24">
        <f t="shared" si="111"/>
        <v>390.65091723716995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104.98066666666666</v>
      </c>
      <c r="AI141" s="14">
        <f>IF('Données projet'!$A$62&gt;35,AI140+AH141-AQ140,IF(A141&lt;'Données projet'!$A$62,$AF$205^A141,IF(A141='Données projet'!$A$62,'Données projet'!$B$62,AI140+AH141-AQ140)))</f>
        <v>3816.5086666666712</v>
      </c>
      <c r="AJ141" s="14">
        <f>AI141*VLOOKUP('Données projet'!$B$10,Paramètres!$A$1:$I$89,3,0)*VLOOKUP('Données projet'!$B$10,Paramètres!$A$1:$I$89,5,0)</f>
        <v>3869.9397880000047</v>
      </c>
      <c r="AK141" s="14">
        <f t="shared" si="143"/>
        <v>681.78509566798789</v>
      </c>
      <c r="AL141" s="22">
        <f t="shared" si="112"/>
        <v>7927.5875057217536</v>
      </c>
      <c r="AM141" s="62">
        <f t="shared" si="113"/>
        <v>8220.9208390550866</v>
      </c>
      <c r="AN141" s="62">
        <f ca="1">AVERAGE(OFFSET($AM$3,0,0,'Données projet'!$E$10+1,1))-AVERAGE(OFFSET($H$3,0,0,'Données projet'!$E$10+1,1))</f>
        <v>2761.1400657295467</v>
      </c>
      <c r="AO141" s="62">
        <f t="shared" si="144"/>
        <v>316.41877504316409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415.34570120407977</v>
      </c>
      <c r="AV141" s="23">
        <f>EXP(-LN(2)/25)*AV140+(1-EXP(-LN(2)/25))/(LN(2)/25)*Calculateur!AQ141*Calculateur!AS141*VLOOKUP('Données projet'!$B$10,Paramètres!$A$1:$I$89,3,0)*0.475*44/12</f>
        <v>22.061474635032322</v>
      </c>
      <c r="AW141" s="23">
        <f>EXP(-LN(2)/2)*AW140+(1-EXP(-LN(2)/2))/(LN(2)/2)*AQ141*AT141*VLOOKUP('Données projet'!$B$10,Paramètres!$A$1:$I$89,3,0)*0.475*44/12</f>
        <v>0.39126589219921282</v>
      </c>
      <c r="AX141" s="23">
        <f t="shared" si="114"/>
        <v>437.7984417313113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104.98066666666666</v>
      </c>
      <c r="BD141" s="13">
        <f>IF('Données projet'!$A$88&gt;35,BD140+BC141-BL140,IF(A141&lt;'Données projet'!$A$88,$BA$205^A141,IF(A141='Données projet'!$A$88,'Données projet'!$B$88,BD140+BC141-BL140)))</f>
        <v>3816.5086666666712</v>
      </c>
      <c r="BE141" s="14">
        <f>BD141*VLOOKUP('Données projet'!$B$11,Paramètres!$A$1:$I$89,3,0)*VLOOKUP('Données projet'!$B$11,Paramètres!$A$1:$I$89,5,0)</f>
        <v>3989.0148584000053</v>
      </c>
      <c r="BF141" s="14">
        <f t="shared" si="145"/>
        <v>700.28843908613396</v>
      </c>
      <c r="BG141" s="22">
        <f t="shared" si="115"/>
        <v>8167.2032431216912</v>
      </c>
      <c r="BH141" s="62">
        <f t="shared" si="116"/>
        <v>8460.5365764550243</v>
      </c>
      <c r="BI141" s="62">
        <f ca="1">AVERAGE(OFFSET($BH$3,0,0,'Données projet'!$E$11+1,1))-AVERAGE(OFFSET($H$3,0,0,'Données projet'!$E$11+1,1))</f>
        <v>2843.5086223152098</v>
      </c>
      <c r="BJ141" s="62">
        <f t="shared" si="146"/>
        <v>324.81562437645522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428.12556893343589</v>
      </c>
      <c r="BQ141" s="23">
        <f>EXP(-LN(2)/25)*BQ140+(1-EXP(-LN(2)/25))/(LN(2)/25)*Calculateur!BL141*Calculateur!BN141*VLOOKUP('Données projet'!$B$11,Paramètres!$A$1:$I$89,3,0)*0.475*44/12</f>
        <v>22.740289239187156</v>
      </c>
      <c r="BR141" s="23">
        <f>EXP(-LN(2)/2)*BR140+(1-EXP(-LN(2)/2))/(LN(2)/2)*BL141*BO141*VLOOKUP('Données projet'!$B$11,Paramètres!$A$1:$I$89,3,0)*0.475*44/12</f>
        <v>0.4033048427284196</v>
      </c>
      <c r="BS141" s="24">
        <f t="shared" si="117"/>
        <v>451.26916301535147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104.98066666666666</v>
      </c>
      <c r="BY141" s="13">
        <f>IF('Données projet'!$A$114&gt;35,BY140+BX141-CG140,IF(A141&lt;'Données projet'!$A$114,$BV$205^A141,IF(A141='Données projet'!$A$114,'Données projet'!$B$114,BY140+BX141-CG140)))</f>
        <v>3816.5086666666712</v>
      </c>
      <c r="BZ141" s="14">
        <f>BY141*VLOOKUP('Données projet'!$B$12,Paramètres!$A$1:$I$89,3,0)*VLOOKUP('Données projet'!$B$12,Paramètres!$A$1:$I$89,5,0)</f>
        <v>3810.4022528000046</v>
      </c>
      <c r="CA141" s="14">
        <f t="shared" si="147"/>
        <v>672.50866756928099</v>
      </c>
      <c r="CB141" s="22">
        <f t="shared" si="118"/>
        <v>7807.7365196431738</v>
      </c>
      <c r="CC141" s="62">
        <f t="shared" si="119"/>
        <v>8101.0698529765068</v>
      </c>
      <c r="CD141" s="62">
        <f ca="1">AVERAGE(OFFSET($CC$3,0,0,'Données projet'!$E$12+1,1))-AVERAGE(OFFSET($H$3,0,0,'Données projet'!$E$12+1,1))</f>
        <v>2719.939926994799</v>
      </c>
      <c r="CE141" s="62">
        <f t="shared" si="148"/>
        <v>312.21824046329749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408.95576733940158</v>
      </c>
      <c r="CL141" s="23">
        <f>EXP(-LN(2)/25)*CL140+(1-EXP(-LN(2)/25))/(LN(2)/25)*Calculateur!CG141*Calculateur!CI141*VLOOKUP('Données projet'!$B$12,Paramètres!$A$1:$I$89,3,0)*0.475*44/12</f>
        <v>21.7220673329549</v>
      </c>
      <c r="CM141" s="23">
        <f>EXP(-LN(2)/2)*CM140+(1-EXP(-LN(2)/2))/(LN(2)/2)*CG141*CJ141*VLOOKUP('Données projet'!$B$12,Paramètres!$A$1:$I$89,3,0)*0.475*44/12</f>
        <v>0.3852464169346097</v>
      </c>
      <c r="CN141" s="24">
        <f t="shared" si="120"/>
        <v>431.06308108929107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1.1368683772161603E-12</v>
      </c>
      <c r="CU141" s="18">
        <f>CT141*VLOOKUP('Données projet'!$B$13,Paramètres!$A$1:$I$89,3,0)*VLOOKUP('Données projet'!$B$13,Paramètres!$A$1:$I$89,5,0)</f>
        <v>9.9316821433603771E-13</v>
      </c>
      <c r="CV141" s="14">
        <f t="shared" si="149"/>
        <v>1.1421454694498936E-11</v>
      </c>
      <c r="CW141" s="22">
        <f t="shared" si="121"/>
        <v>2.1622134899554243E-11</v>
      </c>
      <c r="CX141" s="62">
        <f t="shared" si="122"/>
        <v>293.33333333335491</v>
      </c>
      <c r="CY141" s="62">
        <f ca="1">AVERAGE(OFFSET($CX$3,0,0,'Données projet'!$E$13+1,1))-AVERAGE(OFFSET($H$3,0,0,'Données projet'!$E$13+1,1))</f>
        <v>1036.0130072090849</v>
      </c>
      <c r="CZ141" s="62">
        <f t="shared" si="150"/>
        <v>346.56593355696174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212.33327287563642</v>
      </c>
      <c r="DG141" s="23">
        <f>EXP(-LN(2)/25)*DG140+(1-EXP(-LN(2)/25))/(LN(2)/25)*Calculateur!DB141*Calculateur!DD141*VLOOKUP('Données projet'!$B$13,Paramètres!$A$1:$I$89,3,0)*0.475*44/12</f>
        <v>8.4756214011220834</v>
      </c>
      <c r="DH141" s="23">
        <f>EXP(-LN(2)/2)*DH140+(1-EXP(-LN(2)/2))/(LN(2)/2)*DB141*DE141*VLOOKUP('Données projet'!$B$13,Paramètres!$A$1:$I$89,3,0)*0.475*44/12</f>
        <v>1.6833658441651694E-7</v>
      </c>
      <c r="DI141" s="24">
        <f t="shared" si="123"/>
        <v>220.80889444509509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6.8212102632969618E-13</v>
      </c>
      <c r="DP141" s="18">
        <f>DO141*VLOOKUP('Données projet'!$B$14,Paramètres!$A$1:$I$89,3,0)*VLOOKUP('Données projet'!$B$14,Paramètres!$A$1:$I$89,5,0)</f>
        <v>3.8130565371830017E-13</v>
      </c>
      <c r="DQ141" s="14">
        <f t="shared" si="151"/>
        <v>4.9019074112354236E-12</v>
      </c>
      <c r="DR141" s="22">
        <f t="shared" si="124"/>
        <v>9.2015960881277352E-12</v>
      </c>
      <c r="DS141" s="62">
        <f t="shared" si="125"/>
        <v>293.33333333334252</v>
      </c>
      <c r="DT141" s="62">
        <f ca="1">AVERAGE(OFFSET($DS$3,0,0,'Données projet'!$E$14+1,1))-AVERAGE(OFFSET($H$3,0,0,'Données projet'!$E$14+1,1))</f>
        <v>446.48069057792151</v>
      </c>
      <c r="DU141" s="62">
        <f t="shared" si="152"/>
        <v>561.75656782935948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39.401054192963308</v>
      </c>
      <c r="EB141" s="23">
        <f>EXP(-LN(2)/25)*EB140+(1-EXP(-LN(2)/25))/(LN(2)/25)*Calculateur!DW141*Calculateur!DY141*VLOOKUP('Données projet'!$B$14,Paramètres!$A$1:$I$89,3,0)*0.475*44/12</f>
        <v>9.3208812267263017</v>
      </c>
      <c r="EC141" s="23">
        <f>EXP(-LN(2)/2)*EC140+(1-EXP(-LN(2)/2))/(LN(2)/2)*DW141*DZ141*VLOOKUP('Données projet'!$B$14,Paramètres!$A$1:$I$89,3,0)*0.475*44/12</f>
        <v>2.4408140580314797E-10</v>
      </c>
      <c r="ED141" s="24">
        <f t="shared" si="126"/>
        <v>48.721935419933686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1.7053025658242404E-13</v>
      </c>
      <c r="EK141" s="18">
        <f>EJ141*VLOOKUP('Données projet'!$B$15,Paramètres!$A$1:$I$89,3,0)*VLOOKUP('Données projet'!$B$15,Paramètres!$A$1:$I$89,5,0)</f>
        <v>1.6493686416652052E-13</v>
      </c>
      <c r="EL141" s="14">
        <f t="shared" si="153"/>
        <v>2.3376205369651282E-12</v>
      </c>
      <c r="EM141" s="22">
        <f t="shared" si="127"/>
        <v>4.3586208069709543E-12</v>
      </c>
      <c r="EN141" s="62">
        <f t="shared" si="128"/>
        <v>293.33333333333769</v>
      </c>
      <c r="EO141" s="62">
        <f ca="1">AVERAGE(OFFSET($EN$3,0,0,'Données projet'!$E$15+1,1))-AVERAGE(OFFSET($H$3,0,0,'Données projet'!$E$15+1,1))</f>
        <v>301.18531163828169</v>
      </c>
      <c r="EP141" s="62">
        <f t="shared" si="154"/>
        <v>192.30530273268101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50.881944030208047</v>
      </c>
      <c r="EW141" s="23">
        <f>EXP(-LN(2)/25)*EW140+(1-EXP(-LN(2)/25))/(LN(2)/25)*Calculateur!ER141*Calculateur!ET141*VLOOKUP('Données projet'!$B$15,Paramètres!$A$1:$I$89,3,0)*0.475*44/12</f>
        <v>2.7125846351725178</v>
      </c>
      <c r="EX141" s="23">
        <f>EXP(-LN(2)/2)*EX140+(1-EXP(-LN(2)/2))/(LN(2)/2)*ER141*EU141*VLOOKUP('Données projet'!$B$15,Paramètres!$A$1:$I$89,3,0)*0.475*44/12</f>
        <v>1.1519494675216923E-10</v>
      </c>
      <c r="EY141" s="24">
        <f t="shared" si="129"/>
        <v>53.594528665495758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1.7053025658242404E-13</v>
      </c>
      <c r="FF141" s="18">
        <f>FE141*VLOOKUP('Données projet'!$B$16,Paramètres!$A$1:$I$89,3,0)*VLOOKUP('Données projet'!$B$16,Paramètres!$A$1:$I$89,5,0)</f>
        <v>1.3301360013429075E-13</v>
      </c>
      <c r="FG141" s="14">
        <f t="shared" si="155"/>
        <v>1.9329766731057041E-12</v>
      </c>
      <c r="FH141" s="22">
        <f t="shared" si="130"/>
        <v>3.5982663925596575E-12</v>
      </c>
      <c r="FI141" s="62">
        <f t="shared" si="131"/>
        <v>293.3333333333369</v>
      </c>
      <c r="FJ141" s="62">
        <f ca="1">AVERAGE(OFFSET($FI$3,0,0,'Données projet'!$E$16+1,1))-AVERAGE(OFFSET($H$3,0,0,'Données projet'!$E$16+1,1))</f>
        <v>249.2899297828755</v>
      </c>
      <c r="FK141" s="62">
        <f t="shared" si="156"/>
        <v>162.88011837476813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41.033825830812937</v>
      </c>
      <c r="FR141" s="23">
        <f>EXP(-LN(2)/25)*FR140+(1-EXP(-LN(2)/25))/(LN(2)/25)*Calculateur!FM141*Calculateur!FO141*VLOOKUP('Données projet'!$B$16,Paramètres!$A$1:$I$89,3,0)*0.475*44/12</f>
        <v>2.1875682541713819</v>
      </c>
      <c r="FS141" s="23">
        <f>EXP(-LN(2)/2)*FS140+(1-EXP(-LN(2)/2))/(LN(2)/2)*FM141*FP141*VLOOKUP('Données projet'!$B$16,Paramètres!$A$1:$I$89,3,0)*0.475*44/12</f>
        <v>9.2899150606587554E-11</v>
      </c>
      <c r="FT141" s="24">
        <f t="shared" si="132"/>
        <v>43.221394085077215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1.7053025658242404E-13</v>
      </c>
      <c r="GA141" s="18">
        <f>FZ141*VLOOKUP('Données projet'!$B$17,Paramètres!$A$1:$I$89,3,0)*VLOOKUP('Données projet'!$B$17,Paramètres!$A$1:$I$89,5,0)</f>
        <v>1.1439169611549005E-13</v>
      </c>
      <c r="GB141" s="14">
        <f t="shared" si="157"/>
        <v>1.6918016515029816E-12</v>
      </c>
      <c r="GC141" s="22">
        <f t="shared" si="133"/>
        <v>3.1457867471021712E-12</v>
      </c>
      <c r="GD141" s="62">
        <f t="shared" si="134"/>
        <v>293.33333333333644</v>
      </c>
      <c r="GE141" s="62">
        <f ca="1">AVERAGE(OFFSET($GD$3,0,0,'Données projet'!$E$17+1,1))-AVERAGE(OFFSET($H$3,0,0,'Données projet'!$E$17+1,1))</f>
        <v>218.89895999738746</v>
      </c>
      <c r="GF141" s="62">
        <f t="shared" si="158"/>
        <v>145.64042897395763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43.495855380661688</v>
      </c>
      <c r="GM141" s="23">
        <f>EXP(-LN(2)/25)*GM140+(1-EXP(-LN(2)/25))/(LN(2)/25)*Calculateur!GH141*Calculateur!GJ141*VLOOKUP('Données projet'!$B$17,Paramètres!$A$1:$I$89,3,0)*0.475*44/12</f>
        <v>2.3188223494216671</v>
      </c>
      <c r="GN141" s="23">
        <f>EXP(-LN(2)/2)*GN140+(1-EXP(-LN(2)/2))/(LN(2)/2)*GH141*GK141*VLOOKUP('Données projet'!$B$17,Paramètres!$A$1:$I$89,3,0)*0.475*44/12</f>
        <v>7.9893269521665772E-11</v>
      </c>
      <c r="GO141" s="23">
        <f t="shared" si="135"/>
        <v>45.814677730163247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1.7053025658242404E-13</v>
      </c>
      <c r="GV141" s="18">
        <f>GU141*VLOOKUP('Données projet'!$B$18,Paramètres!$A$1:$I$89,3,0)*VLOOKUP('Données projet'!$B$18,Paramètres!$A$1:$I$89,5,0)</f>
        <v>1.8355876818532125E-13</v>
      </c>
      <c r="GW141" s="14">
        <f t="shared" si="159"/>
        <v>2.5693529898865504E-12</v>
      </c>
      <c r="GX141" s="22">
        <f t="shared" si="136"/>
        <v>4.7946546453085093E-12</v>
      </c>
      <c r="GY141" s="62">
        <f t="shared" si="137"/>
        <v>293.33333333333809</v>
      </c>
      <c r="GZ141" s="62">
        <f ca="1">AVERAGE(OFFSET($GY$3,0,0,'Données projet'!$E$18+1,1))-AVERAGE(OFFSET($H$3,0,0,'Données projet'!$E$18+1,1))</f>
        <v>331.3579800635751</v>
      </c>
      <c r="HA141" s="62">
        <f t="shared" si="160"/>
        <v>209.40702003535273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56.626679646521836</v>
      </c>
      <c r="HH141" s="23">
        <f>EXP(-LN(2)/25)*HH140+(1-EXP(-LN(2)/25))/(LN(2)/25)*Calculateur!HC141*Calculateur!HE141*VLOOKUP('Données projet'!$B$18,Paramètres!$A$1:$I$89,3,0)*0.475*44/12</f>
        <v>3.0188441907565116</v>
      </c>
      <c r="HI141" s="23">
        <f>EXP(-LN(2)/2)*HI140+(1-EXP(-LN(2)/2))/(LN(2)/2)*HC141*HF141*VLOOKUP('Données projet'!$B$18,Paramètres!$A$1:$I$89,3,0)*0.475*44/12</f>
        <v>1.2820082783709086E-10</v>
      </c>
      <c r="HJ141" s="24">
        <f t="shared" si="138"/>
        <v>59.64552383740655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104.98066666666666</v>
      </c>
      <c r="N142" s="14">
        <f>IF('Données projet'!$A$36&gt;35,N141+M142-V141,IF(A142&lt;'Données projet'!$A$36,$K$205^A142,IF(A142='Données projet'!$A$36,'Données projet'!$B$36,N141+M142-V141)))</f>
        <v>3921.489333333338</v>
      </c>
      <c r="O142" s="14">
        <f>N142*VLOOKUP('Données projet'!$B$9,Paramètres!$A$1:$I$89,3,0)*VLOOKUP('Données projet'!$B$9,Paramètres!$A$1:$I$89,5,0)</f>
        <v>3548.1635488000043</v>
      </c>
      <c r="P142" s="14">
        <f t="shared" si="141"/>
        <v>631.44462720221543</v>
      </c>
      <c r="Q142" s="22">
        <f t="shared" si="108"/>
        <v>7279.4842398705332</v>
      </c>
      <c r="R142" s="62">
        <f t="shared" si="109"/>
        <v>7572.8175732038662</v>
      </c>
      <c r="S142" s="62">
        <f ca="1">AVERAGE(OFFSET($R$3,0,0,'Données projet'!$E$9+1,1))-AVERAGE(OFFSET($H$3,0,0,'Données projet'!$E$9+1,1))</f>
        <v>2472.5049373954762</v>
      </c>
      <c r="T142" s="62">
        <f t="shared" si="142"/>
        <v>286.98388307318311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363.34860722586416</v>
      </c>
      <c r="AA142" s="23">
        <f>EXP(-LN(2)/25)*AA141+(1-EXP(-LN(2)/25))/(LN(2)/25)*Calculateur!V142*Calculateur!X142*VLOOKUP('Données projet'!$B$9,Paramètres!$A$1:$I$89,3,0)*0.475*44/12</f>
        <v>19.147319110100618</v>
      </c>
      <c r="AB142" s="23">
        <f>EXP(-LN(2)/2)*AB141+(1-EXP(-LN(2)/2))/(LN(2)/2)*V142*Y142*VLOOKUP('Données projet'!$B$9,Paramètres!$A$1:$I$89,3,0)*0.475*44/12</f>
        <v>0.24687188316956862</v>
      </c>
      <c r="AC142" s="24">
        <f t="shared" si="111"/>
        <v>382.74279821913433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104.98066666666666</v>
      </c>
      <c r="AI142" s="14">
        <f>IF('Données projet'!$A$62&gt;35,AI141+AH142-AQ141,IF(A142&lt;'Données projet'!$A$62,$AF$205^A142,IF(A142='Données projet'!$A$62,'Données projet'!$B$62,AI141+AH142-AQ141)))</f>
        <v>3921.489333333338</v>
      </c>
      <c r="AJ142" s="14">
        <f>AI142*VLOOKUP('Données projet'!$B$10,Paramètres!$A$1:$I$89,3,0)*VLOOKUP('Données projet'!$B$10,Paramètres!$A$1:$I$89,5,0)</f>
        <v>3976.3901840000053</v>
      </c>
      <c r="AK142" s="14">
        <f t="shared" si="143"/>
        <v>698.32974199706496</v>
      </c>
      <c r="AL142" s="22">
        <f t="shared" si="112"/>
        <v>8141.8038711115632</v>
      </c>
      <c r="AM142" s="62">
        <f t="shared" si="113"/>
        <v>8435.1372044448963</v>
      </c>
      <c r="AN142" s="62">
        <f ca="1">AVERAGE(OFFSET($AM$3,0,0,'Données projet'!$E$10+1,1))-AVERAGE(OFFSET($H$3,0,0,'Données projet'!$E$10+1,1))</f>
        <v>2761.1400657295467</v>
      </c>
      <c r="AO142" s="62">
        <f t="shared" si="144"/>
        <v>316.41877504316409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407.20102533933067</v>
      </c>
      <c r="AV142" s="23">
        <f>EXP(-LN(2)/25)*AV141+(1-EXP(-LN(2)/25))/(LN(2)/25)*Calculateur!AQ142*Calculateur!AS142*VLOOKUP('Données projet'!$B$10,Paramètres!$A$1:$I$89,3,0)*0.475*44/12</f>
        <v>21.458202450974834</v>
      </c>
      <c r="AW142" s="23">
        <f>EXP(-LN(2)/2)*AW141+(1-EXP(-LN(2)/2))/(LN(2)/2)*AQ142*AT142*VLOOKUP('Données projet'!$B$10,Paramètres!$A$1:$I$89,3,0)*0.475*44/12</f>
        <v>0.27666676562106807</v>
      </c>
      <c r="AX142" s="23">
        <f t="shared" si="114"/>
        <v>428.93589455592661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104.98066666666666</v>
      </c>
      <c r="BD142" s="13">
        <f>IF('Données projet'!$A$88&gt;35,BD141+BC142-BL141,IF(A142&lt;'Données projet'!$A$88,$BA$205^A142,IF(A142='Données projet'!$A$88,'Données projet'!$B$88,BD141+BC142-BL141)))</f>
        <v>3921.489333333338</v>
      </c>
      <c r="BE142" s="14">
        <f>BD142*VLOOKUP('Données projet'!$B$11,Paramètres!$A$1:$I$89,3,0)*VLOOKUP('Données projet'!$B$11,Paramètres!$A$1:$I$89,5,0)</f>
        <v>4098.7406512000052</v>
      </c>
      <c r="BF142" s="14">
        <f t="shared" si="145"/>
        <v>717.28209973761705</v>
      </c>
      <c r="BG142" s="22">
        <f t="shared" si="115"/>
        <v>8387.9062912163572</v>
      </c>
      <c r="BH142" s="62">
        <f t="shared" si="116"/>
        <v>8681.2396245496911</v>
      </c>
      <c r="BI142" s="62">
        <f ca="1">AVERAGE(OFFSET($BH$3,0,0,'Données projet'!$E$11+1,1))-AVERAGE(OFFSET($H$3,0,0,'Données projet'!$E$11+1,1))</f>
        <v>2843.5086223152098</v>
      </c>
      <c r="BJ142" s="62">
        <f t="shared" si="146"/>
        <v>324.81562437645522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419.73028765746375</v>
      </c>
      <c r="BQ142" s="23">
        <f>EXP(-LN(2)/25)*BQ141+(1-EXP(-LN(2)/25))/(LN(2)/25)*Calculateur!BL142*Calculateur!BN142*VLOOKUP('Données projet'!$B$11,Paramètres!$A$1:$I$89,3,0)*0.475*44/12</f>
        <v>22.118454834081746</v>
      </c>
      <c r="BR142" s="23">
        <f>EXP(-LN(2)/2)*BR141+(1-EXP(-LN(2)/2))/(LN(2)/2)*BL142*BO142*VLOOKUP('Données projet'!$B$11,Paramètres!$A$1:$I$89,3,0)*0.475*44/12</f>
        <v>0.28517958917863956</v>
      </c>
      <c r="BS142" s="24">
        <f t="shared" si="117"/>
        <v>442.13392208072418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104.98066666666666</v>
      </c>
      <c r="BY142" s="13">
        <f>IF('Données projet'!$A$114&gt;35,BY141+BX142-CG141,IF(A142&lt;'Données projet'!$A$114,$BV$205^A142,IF(A142='Données projet'!$A$114,'Données projet'!$B$114,BY141+BX142-CG141)))</f>
        <v>3921.489333333338</v>
      </c>
      <c r="BZ142" s="14">
        <f>BY142*VLOOKUP('Données projet'!$B$12,Paramètres!$A$1:$I$89,3,0)*VLOOKUP('Données projet'!$B$12,Paramètres!$A$1:$I$89,5,0)</f>
        <v>3915.2149504000045</v>
      </c>
      <c r="CA142" s="14">
        <f t="shared" si="147"/>
        <v>688.82820598229216</v>
      </c>
      <c r="CB142" s="22">
        <f t="shared" si="118"/>
        <v>8018.708497365832</v>
      </c>
      <c r="CC142" s="62">
        <f t="shared" si="119"/>
        <v>8312.0418306991651</v>
      </c>
      <c r="CD142" s="62">
        <f ca="1">AVERAGE(OFFSET($CC$3,0,0,'Données projet'!$E$12+1,1))-AVERAGE(OFFSET($H$3,0,0,'Données projet'!$E$12+1,1))</f>
        <v>2719.939926994799</v>
      </c>
      <c r="CE142" s="62">
        <f t="shared" si="148"/>
        <v>312.21824046329749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400.93639418026402</v>
      </c>
      <c r="CL142" s="23">
        <f>EXP(-LN(2)/25)*CL141+(1-EXP(-LN(2)/25))/(LN(2)/25)*Calculateur!CG142*Calculateur!CI142*VLOOKUP('Données projet'!$B$12,Paramètres!$A$1:$I$89,3,0)*0.475*44/12</f>
        <v>21.128076259421373</v>
      </c>
      <c r="CM142" s="23">
        <f>EXP(-LN(2)/2)*CM141+(1-EXP(-LN(2)/2))/(LN(2)/2)*CG142*CJ142*VLOOKUP('Données projet'!$B$12,Paramètres!$A$1:$I$89,3,0)*0.475*44/12</f>
        <v>0.27241035384228252</v>
      </c>
      <c r="CN142" s="24">
        <f t="shared" si="120"/>
        <v>422.33688079352771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1.1368683772161603E-12</v>
      </c>
      <c r="CU142" s="18">
        <f>CT142*VLOOKUP('Données projet'!$B$13,Paramètres!$A$1:$I$89,3,0)*VLOOKUP('Données projet'!$B$13,Paramètres!$A$1:$I$89,5,0)</f>
        <v>9.9316821433603771E-13</v>
      </c>
      <c r="CV142" s="14">
        <f t="shared" si="149"/>
        <v>1.1421454694498936E-11</v>
      </c>
      <c r="CW142" s="22">
        <f t="shared" si="121"/>
        <v>2.1622134899554243E-11</v>
      </c>
      <c r="CX142" s="62">
        <f t="shared" si="122"/>
        <v>293.33333333335491</v>
      </c>
      <c r="CY142" s="62">
        <f ca="1">AVERAGE(OFFSET($CX$3,0,0,'Données projet'!$E$13+1,1))-AVERAGE(OFFSET($H$3,0,0,'Données projet'!$E$13+1,1))</f>
        <v>1036.0130072090849</v>
      </c>
      <c r="CZ142" s="62">
        <f t="shared" si="150"/>
        <v>346.56593355696174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208.16954690505355</v>
      </c>
      <c r="DG142" s="23">
        <f>EXP(-LN(2)/25)*DG141+(1-EXP(-LN(2)/25))/(LN(2)/25)*Calculateur!DB142*Calculateur!DD142*VLOOKUP('Données projet'!$B$13,Paramètres!$A$1:$I$89,3,0)*0.475*44/12</f>
        <v>8.2438550881948416</v>
      </c>
      <c r="DH142" s="23">
        <f>EXP(-LN(2)/2)*DH141+(1-EXP(-LN(2)/2))/(LN(2)/2)*DB142*DE142*VLOOKUP('Données projet'!$B$13,Paramètres!$A$1:$I$89,3,0)*0.475*44/12</f>
        <v>1.1903194036270084E-7</v>
      </c>
      <c r="DI142" s="24">
        <f t="shared" si="123"/>
        <v>216.41340211228032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6.8212102632969618E-13</v>
      </c>
      <c r="DP142" s="18">
        <f>DO142*VLOOKUP('Données projet'!$B$14,Paramètres!$A$1:$I$89,3,0)*VLOOKUP('Données projet'!$B$14,Paramètres!$A$1:$I$89,5,0)</f>
        <v>3.8130565371830017E-13</v>
      </c>
      <c r="DQ142" s="14">
        <f t="shared" si="151"/>
        <v>4.9019074112354236E-12</v>
      </c>
      <c r="DR142" s="22">
        <f t="shared" si="124"/>
        <v>9.2015960881277352E-12</v>
      </c>
      <c r="DS142" s="62">
        <f t="shared" si="125"/>
        <v>293.33333333334252</v>
      </c>
      <c r="DT142" s="62">
        <f ca="1">AVERAGE(OFFSET($DS$3,0,0,'Données projet'!$E$14+1,1))-AVERAGE(OFFSET($H$3,0,0,'Données projet'!$E$14+1,1))</f>
        <v>446.48069057792151</v>
      </c>
      <c r="DU142" s="62">
        <f t="shared" si="152"/>
        <v>561.75656782935948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38.628423552509368</v>
      </c>
      <c r="EB142" s="23">
        <f>EXP(-LN(2)/25)*EB141+(1-EXP(-LN(2)/25))/(LN(2)/25)*Calculateur!DW142*Calculateur!DY142*VLOOKUP('Données projet'!$B$14,Paramètres!$A$1:$I$89,3,0)*0.475*44/12</f>
        <v>9.0660012394176306</v>
      </c>
      <c r="EC142" s="23">
        <f>EXP(-LN(2)/2)*EC141+(1-EXP(-LN(2)/2))/(LN(2)/2)*DW142*DZ142*VLOOKUP('Données projet'!$B$14,Paramètres!$A$1:$I$89,3,0)*0.475*44/12</f>
        <v>1.7259161720495146E-10</v>
      </c>
      <c r="ED142" s="24">
        <f t="shared" si="126"/>
        <v>47.694424792099589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1.7053025658242404E-13</v>
      </c>
      <c r="EK142" s="18">
        <f>EJ142*VLOOKUP('Données projet'!$B$15,Paramètres!$A$1:$I$89,3,0)*VLOOKUP('Données projet'!$B$15,Paramètres!$A$1:$I$89,5,0)</f>
        <v>1.6493686416652052E-13</v>
      </c>
      <c r="EL142" s="14">
        <f t="shared" si="153"/>
        <v>2.3376205369651282E-12</v>
      </c>
      <c r="EM142" s="22">
        <f t="shared" si="127"/>
        <v>4.3586208069709543E-12</v>
      </c>
      <c r="EN142" s="62">
        <f t="shared" si="128"/>
        <v>293.33333333333769</v>
      </c>
      <c r="EO142" s="62">
        <f ca="1">AVERAGE(OFFSET($EN$3,0,0,'Données projet'!$E$15+1,1))-AVERAGE(OFFSET($H$3,0,0,'Données projet'!$E$15+1,1))</f>
        <v>301.18531163828169</v>
      </c>
      <c r="EP142" s="62">
        <f t="shared" si="154"/>
        <v>192.30530273268101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49.884180142697083</v>
      </c>
      <c r="EW142" s="23">
        <f>EXP(-LN(2)/25)*EW141+(1-EXP(-LN(2)/25))/(LN(2)/25)*Calculateur!ER142*Calculateur!ET142*VLOOKUP('Données projet'!$B$15,Paramètres!$A$1:$I$89,3,0)*0.475*44/12</f>
        <v>2.6384088656750992</v>
      </c>
      <c r="EX142" s="23">
        <f>EXP(-LN(2)/2)*EX141+(1-EXP(-LN(2)/2))/(LN(2)/2)*ER142*EU142*VLOOKUP('Données projet'!$B$15,Paramètres!$A$1:$I$89,3,0)*0.475*44/12</f>
        <v>8.1455128006882131E-11</v>
      </c>
      <c r="EY142" s="24">
        <f t="shared" si="129"/>
        <v>52.522589008453636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1.7053025658242404E-13</v>
      </c>
      <c r="FF142" s="18">
        <f>FE142*VLOOKUP('Données projet'!$B$16,Paramètres!$A$1:$I$89,3,0)*VLOOKUP('Données projet'!$B$16,Paramètres!$A$1:$I$89,5,0)</f>
        <v>1.3301360013429075E-13</v>
      </c>
      <c r="FG142" s="14">
        <f t="shared" si="155"/>
        <v>1.9329766731057041E-12</v>
      </c>
      <c r="FH142" s="22">
        <f t="shared" si="130"/>
        <v>3.5982663925596575E-12</v>
      </c>
      <c r="FI142" s="62">
        <f t="shared" si="131"/>
        <v>293.3333333333369</v>
      </c>
      <c r="FJ142" s="62">
        <f ca="1">AVERAGE(OFFSET($FI$3,0,0,'Données projet'!$E$16+1,1))-AVERAGE(OFFSET($H$3,0,0,'Données projet'!$E$16+1,1))</f>
        <v>249.2899297828755</v>
      </c>
      <c r="FK142" s="62">
        <f t="shared" si="156"/>
        <v>162.88011837476813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40.229177534433127</v>
      </c>
      <c r="FR142" s="23">
        <f>EXP(-LN(2)/25)*FR141+(1-EXP(-LN(2)/25))/(LN(2)/25)*Calculateur!FM142*Calculateur!FO142*VLOOKUP('Données projet'!$B$16,Paramètres!$A$1:$I$89,3,0)*0.475*44/12</f>
        <v>2.1277490852218506</v>
      </c>
      <c r="FS142" s="23">
        <f>EXP(-LN(2)/2)*FS141+(1-EXP(-LN(2)/2))/(LN(2)/2)*FM142*FP142*VLOOKUP('Données projet'!$B$16,Paramètres!$A$1:$I$89,3,0)*0.475*44/12</f>
        <v>6.5689619360388429E-11</v>
      </c>
      <c r="FT142" s="24">
        <f t="shared" si="132"/>
        <v>42.356926619720667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1.7053025658242404E-13</v>
      </c>
      <c r="GA142" s="18">
        <f>FZ142*VLOOKUP('Données projet'!$B$17,Paramètres!$A$1:$I$89,3,0)*VLOOKUP('Données projet'!$B$17,Paramètres!$A$1:$I$89,5,0)</f>
        <v>1.1439169611549005E-13</v>
      </c>
      <c r="GB142" s="14">
        <f t="shared" si="157"/>
        <v>1.6918016515029816E-12</v>
      </c>
      <c r="GC142" s="22">
        <f t="shared" si="133"/>
        <v>3.1457867471021712E-12</v>
      </c>
      <c r="GD142" s="62">
        <f t="shared" si="134"/>
        <v>293.33333333333644</v>
      </c>
      <c r="GE142" s="62">
        <f ca="1">AVERAGE(OFFSET($GD$3,0,0,'Données projet'!$E$17+1,1))-AVERAGE(OFFSET($H$3,0,0,'Données projet'!$E$17+1,1))</f>
        <v>218.89895999738746</v>
      </c>
      <c r="GF142" s="62">
        <f t="shared" si="158"/>
        <v>145.64042897395763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42.642928186499091</v>
      </c>
      <c r="GM142" s="23">
        <f>EXP(-LN(2)/25)*GM141+(1-EXP(-LN(2)/25))/(LN(2)/25)*Calculateur!GH142*Calculateur!GJ142*VLOOKUP('Données projet'!$B$17,Paramètres!$A$1:$I$89,3,0)*0.475*44/12</f>
        <v>2.2554140303351642</v>
      </c>
      <c r="GN142" s="23">
        <f>EXP(-LN(2)/2)*GN141+(1-EXP(-LN(2)/2))/(LN(2)/2)*GH142*GK142*VLOOKUP('Données projet'!$B$17,Paramètres!$A$1:$I$89,3,0)*0.475*44/12</f>
        <v>5.6493072649934386E-11</v>
      </c>
      <c r="GO142" s="23">
        <f t="shared" si="135"/>
        <v>44.898342216890754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1.7053025658242404E-13</v>
      </c>
      <c r="GV142" s="18">
        <f>GU142*VLOOKUP('Données projet'!$B$18,Paramètres!$A$1:$I$89,3,0)*VLOOKUP('Données projet'!$B$18,Paramètres!$A$1:$I$89,5,0)</f>
        <v>1.8355876818532125E-13</v>
      </c>
      <c r="GW142" s="14">
        <f t="shared" si="159"/>
        <v>2.5693529898865504E-12</v>
      </c>
      <c r="GX142" s="22">
        <f t="shared" si="136"/>
        <v>4.7946546453085093E-12</v>
      </c>
      <c r="GY142" s="62">
        <f t="shared" si="137"/>
        <v>293.33333333333809</v>
      </c>
      <c r="GZ142" s="62">
        <f ca="1">AVERAGE(OFFSET($GY$3,0,0,'Données projet'!$E$18+1,1))-AVERAGE(OFFSET($H$3,0,0,'Données projet'!$E$18+1,1))</f>
        <v>331.3579800635751</v>
      </c>
      <c r="HA142" s="62">
        <f t="shared" si="160"/>
        <v>209.40702003535273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55.516264997517695</v>
      </c>
      <c r="HH142" s="23">
        <f>EXP(-LN(2)/25)*HH141+(1-EXP(-LN(2)/25))/(LN(2)/25)*Calculateur!HC142*Calculateur!HE142*VLOOKUP('Données projet'!$B$18,Paramètres!$A$1:$I$89,3,0)*0.475*44/12</f>
        <v>2.9362937376061584</v>
      </c>
      <c r="HI142" s="23">
        <f>EXP(-LN(2)/2)*HI141+(1-EXP(-LN(2)/2))/(LN(2)/2)*HC142*HF142*VLOOKUP('Données projet'!$B$18,Paramètres!$A$1:$I$89,3,0)*0.475*44/12</f>
        <v>9.0651674717336057E-11</v>
      </c>
      <c r="HJ142" s="24">
        <f t="shared" si="138"/>
        <v>58.452558735214502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4026.47</v>
      </c>
      <c r="L143" s="13">
        <f>VLOOKUP(A143,'Données projet'!$A$35:$I$55,9,0)</f>
        <v>104.98066666666666</v>
      </c>
      <c r="M143" s="13">
        <f t="array" ref="M143">INDEX(L:L,MIN(IF(ISNUMBER(L143:L339),ROW(L143:L339),"")))</f>
        <v>104.98066666666666</v>
      </c>
      <c r="N143" s="14">
        <f>IF('Données projet'!$A$36&gt;35,N142+M143-V142,IF(A143&lt;'Données projet'!$A$36,$K$205^A143,IF(A143='Données projet'!$A$36,'Données projet'!$B$36,N142+M143-V142)))</f>
        <v>4026.4700000000048</v>
      </c>
      <c r="O143" s="14">
        <f>N143*VLOOKUP('Données projet'!$B$9,Paramètres!$A$1:$I$89,3,0)*VLOOKUP('Données projet'!$B$9,Paramètres!$A$1:$I$89,5,0)</f>
        <v>3643.150056000004</v>
      </c>
      <c r="P143" s="14">
        <f t="shared" si="141"/>
        <v>646.35809858521316</v>
      </c>
      <c r="Q143" s="22">
        <f t="shared" si="108"/>
        <v>7470.8933692359196</v>
      </c>
      <c r="R143" s="62">
        <f t="shared" si="109"/>
        <v>7764.2267025692527</v>
      </c>
      <c r="S143" s="62">
        <f ca="1">AVERAGE(OFFSET($R$3,0,0,'Données projet'!$E$9+1,1))-AVERAGE(OFFSET($H$3,0,0,'Données projet'!$E$9+1,1))</f>
        <v>2472.5049373954762</v>
      </c>
      <c r="T143" s="62">
        <f t="shared" si="142"/>
        <v>286.98388307318311</v>
      </c>
      <c r="U143" s="16">
        <f>IF(ISNA(VLOOKUP(A143,'Données projet'!$A$35:$I$55,3,0)),0,VLOOKUP(A143,'Données projet'!$A$35:$I$55,3,0))</f>
        <v>9</v>
      </c>
      <c r="V143" s="16">
        <f>IF(ISNA(VLOOKUP(A143,'Données projet'!$A$35:$I$55,4,0)),0,VLOOKUP(A143,'Données projet'!$A$35:$I$55,4,0))</f>
        <v>4026.47</v>
      </c>
      <c r="W143" s="17">
        <f>IF(ISNA(VLOOKUP(A143,'Données projet'!$A$35:$I$55,5,0)),0%,VLOOKUP(A143,'Données projet'!$A$35:$I$55,5,0)*VLOOKUP('Données projet'!$B$9,Paramètres!$A$1:$I$89,7,0))</f>
        <v>0.34400000000000003</v>
      </c>
      <c r="X143" s="17">
        <f>IF(ISNA(VLOOKUP(A143,'Données projet'!$A$35:$I$55,6,0)),0%,VLOOKUP(A143,'Données projet'!$A$35:$I$55,6,0)*VLOOKUP('Données projet'!$B$9,Paramètres!$A$1:$I$89,7,0))</f>
        <v>1.72E-2</v>
      </c>
      <c r="Y143" s="17">
        <f>IF(ISNA(VLOOKUP(A143,'Données projet'!$A$35:$I$55,7,0)),0%,VLOOKUP(A143,'Données projet'!$A$35:$I$55,7,0))</f>
        <v>0.06</v>
      </c>
      <c r="Z143" s="23">
        <f>EXP(-LN(2)/35)*Z142+(1-EXP(-LN(2)/35))/(LN(2)/35)*V143*W143*VLOOKUP('Données projet'!$B$9,Paramètres!$A$1:$I$89,3,0)*0.475*44/12</f>
        <v>1741.6472620939544</v>
      </c>
      <c r="AA143" s="23">
        <f>EXP(-LN(2)/25)*AA142+(1-EXP(-LN(2)/25))/(LN(2)/25)*Calculateur!V143*Calculateur!X143*VLOOKUP('Données projet'!$B$9,Paramètres!$A$1:$I$89,3,0)*0.475*44/12</f>
        <v>87.622172584247735</v>
      </c>
      <c r="AB143" s="23">
        <f>EXP(-LN(2)/2)*AB142+(1-EXP(-LN(2)/2))/(LN(2)/2)*V143*Y143*VLOOKUP('Données projet'!$B$9,Paramètres!$A$1:$I$89,3,0)*0.475*44/12</f>
        <v>206.41917268960111</v>
      </c>
      <c r="AC143" s="24">
        <f t="shared" si="111"/>
        <v>2035.6886073678031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4026.47</v>
      </c>
      <c r="AG143" s="13">
        <f>VLOOKUP(A143,'Données projet'!$A$61:$I$81,9,0)</f>
        <v>104.98066666666666</v>
      </c>
      <c r="AH143" s="13">
        <f t="array" ref="AH143">INDEX(AG:AG,MIN(IF(ISNUMBER(AG143:AG339),ROW(AG143:AG339),"")))</f>
        <v>104.98066666666666</v>
      </c>
      <c r="AI143" s="14">
        <f>IF('Données projet'!$A$62&gt;35,AI142+AH143-AQ142,IF(A143&lt;'Données projet'!$A$62,$AF$205^A143,IF(A143='Données projet'!$A$62,'Données projet'!$B$62,AI142+AH143-AQ142)))</f>
        <v>4026.4700000000048</v>
      </c>
      <c r="AJ143" s="14">
        <f>AI143*VLOOKUP('Données projet'!$B$10,Paramètres!$A$1:$I$89,3,0)*VLOOKUP('Données projet'!$B$10,Paramètres!$A$1:$I$89,5,0)</f>
        <v>4082.840580000005</v>
      </c>
      <c r="AK143" s="14">
        <f t="shared" si="143"/>
        <v>714.82290731120077</v>
      </c>
      <c r="AL143" s="22">
        <f t="shared" si="112"/>
        <v>8355.9305737336854</v>
      </c>
      <c r="AM143" s="62">
        <f t="shared" si="113"/>
        <v>8649.2639070670193</v>
      </c>
      <c r="AN143" s="62">
        <f ca="1">AVERAGE(OFFSET($AM$3,0,0,'Données projet'!$E$10+1,1))-AVERAGE(OFFSET($H$3,0,0,'Données projet'!$E$10+1,1))</f>
        <v>2761.1400657295467</v>
      </c>
      <c r="AO143" s="62">
        <f t="shared" si="144"/>
        <v>316.41877504316409</v>
      </c>
      <c r="AP143" s="16">
        <f>IF(ISNA(VLOOKUP(A143,'Données projet'!$A$61:$I$81,3,0)),0,VLOOKUP(A143,'Données projet'!$A$61:$I$81,3,0))</f>
        <v>9</v>
      </c>
      <c r="AQ143" s="16">
        <f>IF(ISNA(VLOOKUP(A143,'Données projet'!$A$61:$I$81,4,0)),0,VLOOKUP(A143,'Données projet'!$A$61:$I$81,4,0))</f>
        <v>4026.47</v>
      </c>
      <c r="AR143" s="17">
        <f>IF(ISNA(VLOOKUP(A143,'Données projet'!$A$61:$I$81,5,0)),0%,VLOOKUP(A143,'Données projet'!$A$61:$I$81,5,0)*VLOOKUP('Données projet'!$B$10,Paramètres!$A$1:$I$89,7,0))</f>
        <v>0.34400000000000003</v>
      </c>
      <c r="AS143" s="17">
        <f>IF(ISNA(VLOOKUP(A143,'Données projet'!$A$61:$I$81,6,0)),0%,VLOOKUP(A143,'Données projet'!$A$61:$I$81,6,0)*VLOOKUP('Données projet'!$B$10,Paramètres!$A$1:$I$89,7,0))</f>
        <v>1.72E-2</v>
      </c>
      <c r="AT143" s="17">
        <f>IF(ISNA(VLOOKUP(A143,'Données projet'!$A$61:$I$81,7,0)),0%,VLOOKUP(A143,'Données projet'!$A$61:$I$81,7,0))</f>
        <v>0.06</v>
      </c>
      <c r="AU143" s="23">
        <f>EXP(-LN(2)/35)*AU142+(1-EXP(-LN(2)/35))/(LN(2)/35)*AQ143*AR143*VLOOKUP('Données projet'!$B$10,Paramètres!$A$1:$I$89,3,0)*0.475*44/12</f>
        <v>1951.8460695880524</v>
      </c>
      <c r="AV143" s="23">
        <f>EXP(-LN(2)/25)*AV142+(1-EXP(-LN(2)/25))/(LN(2)/25)*Calculateur!AQ143*Calculateur!AS143*VLOOKUP('Données projet'!$B$10,Paramètres!$A$1:$I$89,3,0)*0.475*44/12</f>
        <v>98.197262378898344</v>
      </c>
      <c r="AW143" s="23">
        <f>EXP(-LN(2)/2)*AW142+(1-EXP(-LN(2)/2))/(LN(2)/2)*AQ143*AT143*VLOOKUP('Données projet'!$B$10,Paramètres!$A$1:$I$89,3,0)*0.475*44/12</f>
        <v>231.33183146248402</v>
      </c>
      <c r="AX143" s="23">
        <f t="shared" si="114"/>
        <v>2281.3751634294345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4026.47</v>
      </c>
      <c r="BB143" s="13">
        <f>VLOOKUP(A143,'Données projet'!$A$87:$I$107,9,0)</f>
        <v>104.98066666666666</v>
      </c>
      <c r="BC143" s="13">
        <f t="array" ref="BC143">INDEX(BB:BB,MIN(IF(ISNUMBER(BB143:BB339),ROW(BB143:BB339),"")))</f>
        <v>104.98066666666666</v>
      </c>
      <c r="BD143" s="13">
        <f>IF('Données projet'!$A$88&gt;35,BD142+BC143-BL142,IF(A143&lt;'Données projet'!$A$88,$BA$205^A143,IF(A143='Données projet'!$A$88,'Données projet'!$B$88,BD142+BC143-BL142)))</f>
        <v>4026.4700000000048</v>
      </c>
      <c r="BE143" s="14">
        <f>BD143*VLOOKUP('Données projet'!$B$11,Paramètres!$A$1:$I$89,3,0)*VLOOKUP('Données projet'!$B$11,Paramètres!$A$1:$I$89,5,0)</f>
        <v>4208.466444000006</v>
      </c>
      <c r="BF143" s="14">
        <f t="shared" si="145"/>
        <v>734.2228822023751</v>
      </c>
      <c r="BG143" s="22">
        <f t="shared" si="115"/>
        <v>8608.5172431358133</v>
      </c>
      <c r="BH143" s="62">
        <f t="shared" si="116"/>
        <v>8901.8505764691472</v>
      </c>
      <c r="BI143" s="62">
        <f ca="1">AVERAGE(OFFSET($BH$3,0,0,'Données projet'!$E$11+1,1))-AVERAGE(OFFSET($H$3,0,0,'Données projet'!$E$11+1,1))</f>
        <v>2843.5086223152098</v>
      </c>
      <c r="BJ143" s="62">
        <f t="shared" si="146"/>
        <v>324.81562437645522</v>
      </c>
      <c r="BK143" s="16">
        <f>IF(ISNA(VLOOKUP(A143,'Données projet'!$A$87:$I$107,3,0)),0,VLOOKUP(A143,'Données projet'!$A$87:$I$107,3,0))</f>
        <v>9</v>
      </c>
      <c r="BL143" s="16">
        <f>IF(ISNA(VLOOKUP(A143,'Données projet'!$A$87:$I$107,4,0)),0,VLOOKUP(A143,'Données projet'!$A$87:$I$107,4,0))</f>
        <v>4026.47</v>
      </c>
      <c r="BM143" s="17">
        <f>IF(ISNA(VLOOKUP(A143,'Données projet'!$A$87:$I$107,5,0)),0%,VLOOKUP(A143,'Données projet'!$A$87:$I$107,5,0)*VLOOKUP('Données projet'!$B$11,Paramètres!$A$1:$I$89,7,0))</f>
        <v>0.34400000000000003</v>
      </c>
      <c r="BN143" s="17">
        <f>IF(ISNA(VLOOKUP(A143,'Données projet'!$A$87:$I$107,6,0)),0%,VLOOKUP(A143,'Données projet'!$A$87:$I$107,6,0)*VLOOKUP('Données projet'!$B$11,Paramètres!$A$1:$I$89,7,0))</f>
        <v>1.72E-2</v>
      </c>
      <c r="BO143" s="17">
        <f>IF(ISNA(VLOOKUP(A143,'Données projet'!$A$87:$I$107,7,0)),0%,VLOOKUP(A143,'Données projet'!$A$87:$I$107,7,0))</f>
        <v>0.06</v>
      </c>
      <c r="BP143" s="23">
        <f>EXP(-LN(2)/35)*BP142+(1-EXP(-LN(2)/35))/(LN(2)/35)*BL143*BM143*VLOOKUP('Données projet'!$B$11,Paramètres!$A$1:$I$89,3,0)*0.475*44/12</f>
        <v>2011.9028717292233</v>
      </c>
      <c r="BQ143" s="23">
        <f>EXP(-LN(2)/25)*BQ142+(1-EXP(-LN(2)/25))/(LN(2)/25)*Calculateur!BL143*Calculateur!BN143*VLOOKUP('Données projet'!$B$11,Paramètres!$A$1:$I$89,3,0)*0.475*44/12</f>
        <v>101.21871660594135</v>
      </c>
      <c r="BR143" s="23">
        <f>EXP(-LN(2)/2)*BR142+(1-EXP(-LN(2)/2))/(LN(2)/2)*BL143*BO143*VLOOKUP('Données projet'!$B$11,Paramètres!$A$1:$I$89,3,0)*0.475*44/12</f>
        <v>238.44973396902196</v>
      </c>
      <c r="BS143" s="24">
        <f t="shared" si="117"/>
        <v>2351.5713223041867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4026.47</v>
      </c>
      <c r="BW143" s="13">
        <f>VLOOKUP(A143,'Données projet'!$A$113:$I$133,9,0)</f>
        <v>104.98066666666666</v>
      </c>
      <c r="BX143" s="13">
        <f t="array" ref="BX143">INDEX(BW:BW,MIN(IF(ISNUMBER(BW143:BW339),ROW(BW143:BW339),"")))</f>
        <v>104.98066666666666</v>
      </c>
      <c r="BY143" s="13">
        <f>IF('Données projet'!$A$114&gt;35,BY142+BX143-CG142,IF(A143&lt;'Données projet'!$A$114,$BV$205^A143,IF(A143='Données projet'!$A$114,'Données projet'!$B$114,BY142+BX143-CG142)))</f>
        <v>4026.4700000000048</v>
      </c>
      <c r="BZ143" s="14">
        <f>BY143*VLOOKUP('Données projet'!$B$12,Paramètres!$A$1:$I$89,3,0)*VLOOKUP('Données projet'!$B$12,Paramètres!$A$1:$I$89,5,0)</f>
        <v>4020.0276480000048</v>
      </c>
      <c r="CA143" s="14">
        <f t="shared" si="147"/>
        <v>705.09696383558901</v>
      </c>
      <c r="CB143" s="22">
        <f t="shared" si="118"/>
        <v>8229.5920322803267</v>
      </c>
      <c r="CC143" s="62">
        <f t="shared" si="119"/>
        <v>8522.9253656136607</v>
      </c>
      <c r="CD143" s="62">
        <f ca="1">AVERAGE(OFFSET($CC$3,0,0,'Données projet'!$E$12+1,1))-AVERAGE(OFFSET($H$3,0,0,'Données projet'!$E$12+1,1))</f>
        <v>2719.939926994799</v>
      </c>
      <c r="CE143" s="62">
        <f t="shared" si="148"/>
        <v>312.21824046329749</v>
      </c>
      <c r="CF143" s="16">
        <f>IF(ISNA(VLOOKUP(A143,'Données projet'!$A$113:$I$133,3,0)),0,VLOOKUP(A143,'Données projet'!$A$113:$I$133,3,0))</f>
        <v>9</v>
      </c>
      <c r="CG143" s="16">
        <f>IF(ISNA(VLOOKUP(A143,'Données projet'!$A$113:$I$133,4,0)),0,VLOOKUP(A143,'Données projet'!$A$113:$I$133,4,0))</f>
        <v>4026.47</v>
      </c>
      <c r="CH143" s="17">
        <f>IF(ISNA(VLOOKUP(A143,'Données projet'!$A$113:$I$133,5,0)),0%,VLOOKUP(A143,'Données projet'!$A$113:$I$133,5,0)*VLOOKUP('Données projet'!$B$12,Paramètres!$A$1:$I$89,7,0))</f>
        <v>0.34400000000000003</v>
      </c>
      <c r="CI143" s="17">
        <f>IF(ISNA(VLOOKUP(A143,'Données projet'!$A$113:$I$133,6,0)),0%,VLOOKUP(A143,'Données projet'!$A$113:$I$133,6,0)*VLOOKUP('Données projet'!$B$12,Paramètres!$A$1:$I$89,7,0))</f>
        <v>1.72E-2</v>
      </c>
      <c r="CJ143" s="17">
        <f>IF(ISNA(VLOOKUP(A143,'Données projet'!$A$113:$I$133,7,0)),0%,VLOOKUP(A143,'Données projet'!$A$113:$I$133,7,0))</f>
        <v>0.06</v>
      </c>
      <c r="CK143" s="23">
        <f>EXP(-LN(2)/35)*CK142+(1-EXP(-LN(2)/35))/(LN(2)/35)*CG143*CH143*VLOOKUP('Données projet'!$B$12,Paramètres!$A$1:$I$89,3,0)*0.475*44/12</f>
        <v>1921.8176685174672</v>
      </c>
      <c r="CL143" s="23">
        <f>EXP(-LN(2)/25)*CL142+(1-EXP(-LN(2)/25))/(LN(2)/25)*Calculateur!CG143*Calculateur!CI143*VLOOKUP('Données projet'!$B$12,Paramètres!$A$1:$I$89,3,0)*0.475*44/12</f>
        <v>96.686535265376818</v>
      </c>
      <c r="CM143" s="23">
        <f>EXP(-LN(2)/2)*CM142+(1-EXP(-LN(2)/2))/(LN(2)/2)*CG143*CJ143*VLOOKUP('Données projet'!$B$12,Paramètres!$A$1:$I$89,3,0)*0.475*44/12</f>
        <v>227.77288020921497</v>
      </c>
      <c r="CN143" s="24">
        <f t="shared" si="120"/>
        <v>2246.277083992059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1.1368683772161603E-12</v>
      </c>
      <c r="CU143" s="18">
        <f>CT143*VLOOKUP('Données projet'!$B$13,Paramètres!$A$1:$I$89,3,0)*VLOOKUP('Données projet'!$B$13,Paramètres!$A$1:$I$89,5,0)</f>
        <v>9.9316821433603771E-13</v>
      </c>
      <c r="CV143" s="14">
        <f t="shared" si="149"/>
        <v>1.1421454694498936E-11</v>
      </c>
      <c r="CW143" s="22">
        <f t="shared" si="121"/>
        <v>2.1622134899554243E-11</v>
      </c>
      <c r="CX143" s="62">
        <f t="shared" si="122"/>
        <v>293.33333333335491</v>
      </c>
      <c r="CY143" s="62">
        <f ca="1">AVERAGE(OFFSET($CX$3,0,0,'Données projet'!$E$13+1,1))-AVERAGE(OFFSET($H$3,0,0,'Données projet'!$E$13+1,1))</f>
        <v>1036.0130072090849</v>
      </c>
      <c r="CZ143" s="62">
        <f t="shared" si="150"/>
        <v>346.56593355696174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204.08746906113174</v>
      </c>
      <c r="DG143" s="23">
        <f>EXP(-LN(2)/25)*DG142+(1-EXP(-LN(2)/25))/(LN(2)/25)*Calculateur!DB143*Calculateur!DD143*VLOOKUP('Données projet'!$B$13,Paramètres!$A$1:$I$89,3,0)*0.475*44/12</f>
        <v>8.0184264372826561</v>
      </c>
      <c r="DH143" s="23">
        <f>EXP(-LN(2)/2)*DH142+(1-EXP(-LN(2)/2))/(LN(2)/2)*DB143*DE143*VLOOKUP('Données projet'!$B$13,Paramètres!$A$1:$I$89,3,0)*0.475*44/12</f>
        <v>8.4168292208258485E-8</v>
      </c>
      <c r="DI143" s="24">
        <f t="shared" si="123"/>
        <v>212.10589558258269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6.8212102632969618E-13</v>
      </c>
      <c r="DP143" s="18">
        <f>DO143*VLOOKUP('Données projet'!$B$14,Paramètres!$A$1:$I$89,3,0)*VLOOKUP('Données projet'!$B$14,Paramètres!$A$1:$I$89,5,0)</f>
        <v>3.8130565371830017E-13</v>
      </c>
      <c r="DQ143" s="14">
        <f t="shared" si="151"/>
        <v>4.9019074112354236E-12</v>
      </c>
      <c r="DR143" s="22">
        <f t="shared" si="124"/>
        <v>9.2015960881277352E-12</v>
      </c>
      <c r="DS143" s="62">
        <f t="shared" si="125"/>
        <v>293.33333333334252</v>
      </c>
      <c r="DT143" s="62">
        <f ca="1">AVERAGE(OFFSET($DS$3,0,0,'Données projet'!$E$14+1,1))-AVERAGE(OFFSET($H$3,0,0,'Données projet'!$E$14+1,1))</f>
        <v>446.48069057792151</v>
      </c>
      <c r="DU143" s="62">
        <f t="shared" si="152"/>
        <v>561.75656782935948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37.870943727656567</v>
      </c>
      <c r="EB143" s="23">
        <f>EXP(-LN(2)/25)*EB142+(1-EXP(-LN(2)/25))/(LN(2)/25)*Calculateur!DW143*Calculateur!DY143*VLOOKUP('Données projet'!$B$14,Paramètres!$A$1:$I$89,3,0)*0.475*44/12</f>
        <v>8.8180909587654703</v>
      </c>
      <c r="EC143" s="23">
        <f>EXP(-LN(2)/2)*EC142+(1-EXP(-LN(2)/2))/(LN(2)/2)*DW143*DZ143*VLOOKUP('Données projet'!$B$14,Paramètres!$A$1:$I$89,3,0)*0.475*44/12</f>
        <v>1.2204070290157398E-10</v>
      </c>
      <c r="ED143" s="24">
        <f t="shared" si="126"/>
        <v>46.689034686544076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1.7053025658242404E-13</v>
      </c>
      <c r="EK143" s="18">
        <f>EJ143*VLOOKUP('Données projet'!$B$15,Paramètres!$A$1:$I$89,3,0)*VLOOKUP('Données projet'!$B$15,Paramètres!$A$1:$I$89,5,0)</f>
        <v>1.6493686416652052E-13</v>
      </c>
      <c r="EL143" s="14">
        <f t="shared" si="153"/>
        <v>2.3376205369651282E-12</v>
      </c>
      <c r="EM143" s="22">
        <f t="shared" si="127"/>
        <v>4.3586208069709543E-12</v>
      </c>
      <c r="EN143" s="62">
        <f t="shared" si="128"/>
        <v>293.33333333333769</v>
      </c>
      <c r="EO143" s="62">
        <f ca="1">AVERAGE(OFFSET($EN$3,0,0,'Données projet'!$E$15+1,1))-AVERAGE(OFFSET($H$3,0,0,'Données projet'!$E$15+1,1))</f>
        <v>301.18531163828169</v>
      </c>
      <c r="EP143" s="62">
        <f t="shared" si="154"/>
        <v>192.30530273268101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48.90598179644433</v>
      </c>
      <c r="EW143" s="23">
        <f>EXP(-LN(2)/25)*EW142+(1-EXP(-LN(2)/25))/(LN(2)/25)*Calculateur!ER143*Calculateur!ET143*VLOOKUP('Données projet'!$B$15,Paramètres!$A$1:$I$89,3,0)*0.475*44/12</f>
        <v>2.5662614364953216</v>
      </c>
      <c r="EX143" s="23">
        <f>EXP(-LN(2)/2)*EX142+(1-EXP(-LN(2)/2))/(LN(2)/2)*ER143*EU143*VLOOKUP('Données projet'!$B$15,Paramètres!$A$1:$I$89,3,0)*0.475*44/12</f>
        <v>5.7597473376084627E-11</v>
      </c>
      <c r="EY143" s="24">
        <f t="shared" si="129"/>
        <v>51.472243232997251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1.7053025658242404E-13</v>
      </c>
      <c r="FF143" s="18">
        <f>FE143*VLOOKUP('Données projet'!$B$16,Paramètres!$A$1:$I$89,3,0)*VLOOKUP('Données projet'!$B$16,Paramètres!$A$1:$I$89,5,0)</f>
        <v>1.3301360013429075E-13</v>
      </c>
      <c r="FG143" s="14">
        <f t="shared" si="155"/>
        <v>1.9329766731057041E-12</v>
      </c>
      <c r="FH143" s="22">
        <f t="shared" si="130"/>
        <v>3.5982663925596575E-12</v>
      </c>
      <c r="FI143" s="62">
        <f t="shared" si="131"/>
        <v>293.3333333333369</v>
      </c>
      <c r="FJ143" s="62">
        <f ca="1">AVERAGE(OFFSET($FI$3,0,0,'Données projet'!$E$16+1,1))-AVERAGE(OFFSET($H$3,0,0,'Données projet'!$E$16+1,1))</f>
        <v>249.2899297828755</v>
      </c>
      <c r="FK143" s="62">
        <f t="shared" si="156"/>
        <v>162.88011837476813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39.440307900358327</v>
      </c>
      <c r="FR143" s="23">
        <f>EXP(-LN(2)/25)*FR142+(1-EXP(-LN(2)/25))/(LN(2)/25)*Calculateur!FM143*Calculateur!FO143*VLOOKUP('Données projet'!$B$16,Paramètres!$A$1:$I$89,3,0)*0.475*44/12</f>
        <v>2.0695656745929978</v>
      </c>
      <c r="FS143" s="23">
        <f>EXP(-LN(2)/2)*FS142+(1-EXP(-LN(2)/2))/(LN(2)/2)*FM143*FP143*VLOOKUP('Données projet'!$B$16,Paramètres!$A$1:$I$89,3,0)*0.475*44/12</f>
        <v>4.6449575303293777E-11</v>
      </c>
      <c r="FT143" s="24">
        <f t="shared" si="132"/>
        <v>41.509873574997776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1.7053025658242404E-13</v>
      </c>
      <c r="GA143" s="18">
        <f>FZ143*VLOOKUP('Données projet'!$B$17,Paramètres!$A$1:$I$89,3,0)*VLOOKUP('Données projet'!$B$17,Paramètres!$A$1:$I$89,5,0)</f>
        <v>1.1439169611549005E-13</v>
      </c>
      <c r="GB143" s="14">
        <f t="shared" si="157"/>
        <v>1.6918016515029816E-12</v>
      </c>
      <c r="GC143" s="22">
        <f t="shared" si="133"/>
        <v>3.1457867471021712E-12</v>
      </c>
      <c r="GD143" s="62">
        <f t="shared" si="134"/>
        <v>293.33333333333644</v>
      </c>
      <c r="GE143" s="62">
        <f ca="1">AVERAGE(OFFSET($GD$3,0,0,'Données projet'!$E$17+1,1))-AVERAGE(OFFSET($H$3,0,0,'Données projet'!$E$17+1,1))</f>
        <v>218.89895999738746</v>
      </c>
      <c r="GF143" s="62">
        <f t="shared" si="158"/>
        <v>145.64042897395763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41.806726374379799</v>
      </c>
      <c r="GM143" s="23">
        <f>EXP(-LN(2)/25)*GM142+(1-EXP(-LN(2)/25))/(LN(2)/25)*Calculateur!GH143*Calculateur!GJ143*VLOOKUP('Données projet'!$B$17,Paramètres!$A$1:$I$89,3,0)*0.475*44/12</f>
        <v>2.19373961506858</v>
      </c>
      <c r="GN143" s="23">
        <f>EXP(-LN(2)/2)*GN142+(1-EXP(-LN(2)/2))/(LN(2)/2)*GH143*GK143*VLOOKUP('Données projet'!$B$17,Paramètres!$A$1:$I$89,3,0)*0.475*44/12</f>
        <v>3.9946634760832892E-11</v>
      </c>
      <c r="GO143" s="23">
        <f t="shared" si="135"/>
        <v>44.000465989488326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1.7053025658242404E-13</v>
      </c>
      <c r="GV143" s="18">
        <f>GU143*VLOOKUP('Données projet'!$B$18,Paramètres!$A$1:$I$89,3,0)*VLOOKUP('Données projet'!$B$18,Paramètres!$A$1:$I$89,5,0)</f>
        <v>1.8355876818532125E-13</v>
      </c>
      <c r="GW143" s="14">
        <f t="shared" si="159"/>
        <v>2.5693529898865504E-12</v>
      </c>
      <c r="GX143" s="22">
        <f t="shared" si="136"/>
        <v>4.7946546453085093E-12</v>
      </c>
      <c r="GY143" s="62">
        <f t="shared" si="137"/>
        <v>293.33333333333809</v>
      </c>
      <c r="GZ143" s="62">
        <f ca="1">AVERAGE(OFFSET($GY$3,0,0,'Données projet'!$E$18+1,1))-AVERAGE(OFFSET($H$3,0,0,'Données projet'!$E$18+1,1))</f>
        <v>331.3579800635751</v>
      </c>
      <c r="HA143" s="62">
        <f t="shared" si="160"/>
        <v>209.40702003535273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54.427624902494465</v>
      </c>
      <c r="HH143" s="23">
        <f>EXP(-LN(2)/25)*HH142+(1-EXP(-LN(2)/25))/(LN(2)/25)*Calculateur!HC143*Calculateur!HE143*VLOOKUP('Données projet'!$B$18,Paramètres!$A$1:$I$89,3,0)*0.475*44/12</f>
        <v>2.8560006309383414</v>
      </c>
      <c r="HI143" s="23">
        <f>EXP(-LN(2)/2)*HI142+(1-EXP(-LN(2)/2))/(LN(2)/2)*HC143*HF143*VLOOKUP('Données projet'!$B$18,Paramètres!$A$1:$I$89,3,0)*0.475*44/12</f>
        <v>6.4100413918545428E-11</v>
      </c>
      <c r="HJ143" s="24">
        <f t="shared" si="138"/>
        <v>57.283625533496902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5.0022208597511053E-12</v>
      </c>
      <c r="O144" s="14">
        <f>N144*VLOOKUP('Données projet'!$B$9,Paramètres!$A$1:$I$89,3,0)*VLOOKUP('Données projet'!$B$9,Paramètres!$A$1:$I$89,5,0)</f>
        <v>4.5260094339028E-12</v>
      </c>
      <c r="P144" s="14">
        <f t="shared" si="141"/>
        <v>4.3625683148570328E-11</v>
      </c>
      <c r="Q144" s="22">
        <f t="shared" si="108"/>
        <v>8.3864197914474037E-11</v>
      </c>
      <c r="R144" s="62">
        <f t="shared" si="109"/>
        <v>293.33333333341716</v>
      </c>
      <c r="S144" s="62">
        <f ca="1">AVERAGE(OFFSET($R$3,0,0,'Données projet'!$E$9+1,1))-AVERAGE(OFFSET($H$3,0,0,'Données projet'!$E$9+1,1))</f>
        <v>2472.5049373954762</v>
      </c>
      <c r="T144" s="62">
        <f t="shared" si="142"/>
        <v>286.98388307318311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1707.4946215842285</v>
      </c>
      <c r="AA144" s="23">
        <f>EXP(-LN(2)/25)*AA143+(1-EXP(-LN(2)/25))/(LN(2)/25)*Calculateur!V144*Calculateur!X144*VLOOKUP('Données projet'!$B$9,Paramètres!$A$1:$I$89,3,0)*0.475*44/12</f>
        <v>85.226139667081682</v>
      </c>
      <c r="AB144" s="23">
        <f>EXP(-LN(2)/2)*AB143+(1-EXP(-LN(2)/2))/(LN(2)/2)*V144*Y144*VLOOKUP('Données projet'!$B$9,Paramètres!$A$1:$I$89,3,0)*0.475*44/12</f>
        <v>145.96039677573395</v>
      </c>
      <c r="AC144" s="24">
        <f t="shared" si="111"/>
        <v>1938.6811580270441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5.0022208597511053E-12</v>
      </c>
      <c r="AJ144" s="14">
        <f>AI144*VLOOKUP('Données projet'!$B$10,Paramètres!$A$1:$I$89,3,0)*VLOOKUP('Données projet'!$B$10,Paramètres!$A$1:$I$89,5,0)</f>
        <v>5.0722519517876216E-12</v>
      </c>
      <c r="AK144" s="14">
        <f t="shared" si="143"/>
        <v>4.8246688221215311E-11</v>
      </c>
      <c r="AL144" s="22">
        <f t="shared" si="112"/>
        <v>9.2863820801313432E-11</v>
      </c>
      <c r="AM144" s="62">
        <f t="shared" si="113"/>
        <v>293.3333333334262</v>
      </c>
      <c r="AN144" s="62">
        <f ca="1">AVERAGE(OFFSET($AM$3,0,0,'Données projet'!$E$10+1,1))-AVERAGE(OFFSET($H$3,0,0,'Données projet'!$E$10+1,1))</f>
        <v>2761.1400657295467</v>
      </c>
      <c r="AO144" s="62">
        <f t="shared" si="144"/>
        <v>316.41877504316409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1913.5715586719803</v>
      </c>
      <c r="AV144" s="23">
        <f>EXP(-LN(2)/25)*AV143+(1-EXP(-LN(2)/25))/(LN(2)/25)*Calculateur!AQ144*Calculateur!AS144*VLOOKUP('Données projet'!$B$10,Paramètres!$A$1:$I$89,3,0)*0.475*44/12</f>
        <v>95.512053075177775</v>
      </c>
      <c r="AW144" s="23">
        <f>EXP(-LN(2)/2)*AW143+(1-EXP(-LN(2)/2))/(LN(2)/2)*AQ144*AT144*VLOOKUP('Données projet'!$B$10,Paramètres!$A$1:$I$89,3,0)*0.475*44/12</f>
        <v>163.576306731426</v>
      </c>
      <c r="AX144" s="23">
        <f t="shared" si="114"/>
        <v>2172.6599184785841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5.0022208597511053E-12</v>
      </c>
      <c r="BE144" s="14">
        <f>BD144*VLOOKUP('Données projet'!$B$11,Paramètres!$A$1:$I$89,3,0)*VLOOKUP('Données projet'!$B$11,Paramètres!$A$1:$I$89,5,0)</f>
        <v>5.2283212426118558E-12</v>
      </c>
      <c r="BF144" s="14">
        <f t="shared" si="145"/>
        <v>4.9556081821365385E-11</v>
      </c>
      <c r="BG144" s="22">
        <f t="shared" si="115"/>
        <v>9.5416168669760364E-11</v>
      </c>
      <c r="BH144" s="62">
        <f t="shared" si="116"/>
        <v>293.33333333342875</v>
      </c>
      <c r="BI144" s="62">
        <f ca="1">AVERAGE(OFFSET($BH$3,0,0,'Données projet'!$E$11+1,1))-AVERAGE(OFFSET($H$3,0,0,'Données projet'!$E$11+1,1))</f>
        <v>2843.5086223152098</v>
      </c>
      <c r="BJ144" s="62">
        <f t="shared" si="146"/>
        <v>324.81562437645522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1972.4506835541949</v>
      </c>
      <c r="BQ144" s="23">
        <f>EXP(-LN(2)/25)*BQ143+(1-EXP(-LN(2)/25))/(LN(2)/25)*Calculateur!BL144*Calculateur!BN144*VLOOKUP('Données projet'!$B$11,Paramètres!$A$1:$I$89,3,0)*0.475*44/12</f>
        <v>98.450885477490914</v>
      </c>
      <c r="BR144" s="23">
        <f>EXP(-LN(2)/2)*BR143+(1-EXP(-LN(2)/2))/(LN(2)/2)*BL144*BO144*VLOOKUP('Données projet'!$B$11,Paramètres!$A$1:$I$89,3,0)*0.475*44/12</f>
        <v>168.6094238616237</v>
      </c>
      <c r="BS144" s="24">
        <f t="shared" si="117"/>
        <v>2239.5109928933098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5.0022208597511053E-12</v>
      </c>
      <c r="BZ144" s="14">
        <f>BY144*VLOOKUP('Données projet'!$B$12,Paramètres!$A$1:$I$89,3,0)*VLOOKUP('Données projet'!$B$12,Paramètres!$A$1:$I$89,5,0)</f>
        <v>4.9942173063755036E-12</v>
      </c>
      <c r="CA144" s="14">
        <f t="shared" si="147"/>
        <v>4.7590239529202817E-11</v>
      </c>
      <c r="CB144" s="22">
        <f t="shared" si="118"/>
        <v>9.1584595655298897E-11</v>
      </c>
      <c r="CC144" s="62">
        <f t="shared" si="119"/>
        <v>293.33333333342489</v>
      </c>
      <c r="CD144" s="62">
        <f ca="1">AVERAGE(OFFSET($CC$3,0,0,'Données projet'!$E$12+1,1))-AVERAGE(OFFSET($H$3,0,0,'Données projet'!$E$12+1,1))</f>
        <v>2719.939926994799</v>
      </c>
      <c r="CE144" s="62">
        <f t="shared" si="148"/>
        <v>312.21824046329749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1884.131996230873</v>
      </c>
      <c r="CL144" s="23">
        <f>EXP(-LN(2)/25)*CL143+(1-EXP(-LN(2)/25))/(LN(2)/25)*Calculateur!CG144*Calculateur!CI144*VLOOKUP('Données projet'!$B$12,Paramètres!$A$1:$I$89,3,0)*0.475*44/12</f>
        <v>94.042636874021184</v>
      </c>
      <c r="CM144" s="23">
        <f>EXP(-LN(2)/2)*CM143+(1-EXP(-LN(2)/2))/(LN(2)/2)*CG144*CJ144*VLOOKUP('Données projet'!$B$12,Paramètres!$A$1:$I$89,3,0)*0.475*44/12</f>
        <v>161.0597481663271</v>
      </c>
      <c r="CN144" s="24">
        <f t="shared" si="120"/>
        <v>2139.2343812712211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1.1368683772161603E-12</v>
      </c>
      <c r="CU144" s="18">
        <f>CT144*VLOOKUP('Données projet'!$B$13,Paramètres!$A$1:$I$89,3,0)*VLOOKUP('Données projet'!$B$13,Paramètres!$A$1:$I$89,5,0)</f>
        <v>9.9316821433603771E-13</v>
      </c>
      <c r="CV144" s="14">
        <f t="shared" si="149"/>
        <v>1.1421454694498936E-11</v>
      </c>
      <c r="CW144" s="22">
        <f t="shared" si="121"/>
        <v>2.1622134899554243E-11</v>
      </c>
      <c r="CX144" s="62">
        <f t="shared" si="122"/>
        <v>293.33333333335491</v>
      </c>
      <c r="CY144" s="62">
        <f ca="1">AVERAGE(OFFSET($CX$3,0,0,'Données projet'!$E$13+1,1))-AVERAGE(OFFSET($H$3,0,0,'Données projet'!$E$13+1,1))</f>
        <v>1036.0130072090849</v>
      </c>
      <c r="CZ144" s="62">
        <f t="shared" si="150"/>
        <v>346.56593355696174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200.08543827390758</v>
      </c>
      <c r="DG144" s="23">
        <f>EXP(-LN(2)/25)*DG143+(1-EXP(-LN(2)/25))/(LN(2)/25)*Calculateur!DB144*Calculateur!DD144*VLOOKUP('Données projet'!$B$13,Paramètres!$A$1:$I$89,3,0)*0.475*44/12</f>
        <v>7.7991621446844421</v>
      </c>
      <c r="DH144" s="23">
        <f>EXP(-LN(2)/2)*DH143+(1-EXP(-LN(2)/2))/(LN(2)/2)*DB144*DE144*VLOOKUP('Données projet'!$B$13,Paramètres!$A$1:$I$89,3,0)*0.475*44/12</f>
        <v>5.9515970181350428E-8</v>
      </c>
      <c r="DI144" s="24">
        <f t="shared" si="123"/>
        <v>207.88460047810798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6.8212102632969618E-13</v>
      </c>
      <c r="DP144" s="18">
        <f>DO144*VLOOKUP('Données projet'!$B$14,Paramètres!$A$1:$I$89,3,0)*VLOOKUP('Données projet'!$B$14,Paramètres!$A$1:$I$89,5,0)</f>
        <v>3.8130565371830017E-13</v>
      </c>
      <c r="DQ144" s="14">
        <f t="shared" si="151"/>
        <v>4.9019074112354236E-12</v>
      </c>
      <c r="DR144" s="22">
        <f t="shared" si="124"/>
        <v>9.2015960881277352E-12</v>
      </c>
      <c r="DS144" s="62">
        <f t="shared" si="125"/>
        <v>293.33333333334252</v>
      </c>
      <c r="DT144" s="62">
        <f ca="1">AVERAGE(OFFSET($DS$3,0,0,'Données projet'!$E$14+1,1))-AVERAGE(OFFSET($H$3,0,0,'Données projet'!$E$14+1,1))</f>
        <v>446.48069057792151</v>
      </c>
      <c r="DU144" s="62">
        <f t="shared" si="152"/>
        <v>561.75656782935948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37.12831762015206</v>
      </c>
      <c r="EB144" s="23">
        <f>EXP(-LN(2)/25)*EB143+(1-EXP(-LN(2)/25))/(LN(2)/25)*Calculateur!DW144*Calculateur!DY144*VLOOKUP('Données projet'!$B$14,Paramètres!$A$1:$I$89,3,0)*0.475*44/12</f>
        <v>8.5769597977747782</v>
      </c>
      <c r="EC144" s="23">
        <f>EXP(-LN(2)/2)*EC143+(1-EXP(-LN(2)/2))/(LN(2)/2)*DW144*DZ144*VLOOKUP('Données projet'!$B$14,Paramètres!$A$1:$I$89,3,0)*0.475*44/12</f>
        <v>8.6295808602475731E-11</v>
      </c>
      <c r="ED144" s="24">
        <f t="shared" si="126"/>
        <v>45.705277418013132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1.7053025658242404E-13</v>
      </c>
      <c r="EK144" s="18">
        <f>EJ144*VLOOKUP('Données projet'!$B$15,Paramètres!$A$1:$I$89,3,0)*VLOOKUP('Données projet'!$B$15,Paramètres!$A$1:$I$89,5,0)</f>
        <v>1.6493686416652052E-13</v>
      </c>
      <c r="EL144" s="14">
        <f t="shared" si="153"/>
        <v>2.3376205369651282E-12</v>
      </c>
      <c r="EM144" s="22">
        <f t="shared" si="127"/>
        <v>4.3586208069709543E-12</v>
      </c>
      <c r="EN144" s="62">
        <f t="shared" si="128"/>
        <v>293.33333333333769</v>
      </c>
      <c r="EO144" s="62">
        <f ca="1">AVERAGE(OFFSET($EN$3,0,0,'Données projet'!$E$15+1,1))-AVERAGE(OFFSET($H$3,0,0,'Données projet'!$E$15+1,1))</f>
        <v>301.18531163828169</v>
      </c>
      <c r="EP144" s="62">
        <f t="shared" si="154"/>
        <v>192.30530273268101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47.946965323119514</v>
      </c>
      <c r="EW144" s="23">
        <f>EXP(-LN(2)/25)*EW143+(1-EXP(-LN(2)/25))/(LN(2)/25)*Calculateur!ER144*Calculateur!ET144*VLOOKUP('Données projet'!$B$15,Paramètres!$A$1:$I$89,3,0)*0.475*44/12</f>
        <v>2.4960868825605331</v>
      </c>
      <c r="EX144" s="23">
        <f>EXP(-LN(2)/2)*EX143+(1-EXP(-LN(2)/2))/(LN(2)/2)*ER144*EU144*VLOOKUP('Données projet'!$B$15,Paramètres!$A$1:$I$89,3,0)*0.475*44/12</f>
        <v>4.0727564003441072E-11</v>
      </c>
      <c r="EY144" s="24">
        <f t="shared" si="129"/>
        <v>50.443052205720775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1.7053025658242404E-13</v>
      </c>
      <c r="FF144" s="18">
        <f>FE144*VLOOKUP('Données projet'!$B$16,Paramètres!$A$1:$I$89,3,0)*VLOOKUP('Données projet'!$B$16,Paramètres!$A$1:$I$89,5,0)</f>
        <v>1.3301360013429075E-13</v>
      </c>
      <c r="FG144" s="14">
        <f t="shared" si="155"/>
        <v>1.9329766731057041E-12</v>
      </c>
      <c r="FH144" s="22">
        <f t="shared" si="130"/>
        <v>3.5982663925596575E-12</v>
      </c>
      <c r="FI144" s="62">
        <f t="shared" si="131"/>
        <v>293.3333333333369</v>
      </c>
      <c r="FJ144" s="62">
        <f ca="1">AVERAGE(OFFSET($FI$3,0,0,'Données projet'!$E$16+1,1))-AVERAGE(OFFSET($H$3,0,0,'Données projet'!$E$16+1,1))</f>
        <v>249.2899297828755</v>
      </c>
      <c r="FK144" s="62">
        <f t="shared" si="156"/>
        <v>162.88011837476813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38.666907518644763</v>
      </c>
      <c r="FR144" s="23">
        <f>EXP(-LN(2)/25)*FR143+(1-EXP(-LN(2)/25))/(LN(2)/25)*Calculateur!FM144*Calculateur!FO144*VLOOKUP('Données projet'!$B$16,Paramètres!$A$1:$I$89,3,0)*0.475*44/12</f>
        <v>2.0129732923875236</v>
      </c>
      <c r="FS144" s="23">
        <f>EXP(-LN(2)/2)*FS143+(1-EXP(-LN(2)/2))/(LN(2)/2)*FM144*FP144*VLOOKUP('Données projet'!$B$16,Paramètres!$A$1:$I$89,3,0)*0.475*44/12</f>
        <v>3.2844809680194214E-11</v>
      </c>
      <c r="FT144" s="24">
        <f t="shared" si="132"/>
        <v>40.679880811065125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1.7053025658242404E-13</v>
      </c>
      <c r="GA144" s="18">
        <f>FZ144*VLOOKUP('Données projet'!$B$17,Paramètres!$A$1:$I$89,3,0)*VLOOKUP('Données projet'!$B$17,Paramètres!$A$1:$I$89,5,0)</f>
        <v>1.1439169611549005E-13</v>
      </c>
      <c r="GB144" s="14">
        <f t="shared" si="157"/>
        <v>1.6918016515029816E-12</v>
      </c>
      <c r="GC144" s="22">
        <f t="shared" si="133"/>
        <v>3.1457867471021712E-12</v>
      </c>
      <c r="GD144" s="62">
        <f t="shared" si="134"/>
        <v>293.33333333333644</v>
      </c>
      <c r="GE144" s="62">
        <f ca="1">AVERAGE(OFFSET($GD$3,0,0,'Données projet'!$E$17+1,1))-AVERAGE(OFFSET($H$3,0,0,'Données projet'!$E$17+1,1))</f>
        <v>218.89895999738746</v>
      </c>
      <c r="GF144" s="62">
        <f t="shared" si="158"/>
        <v>145.64042897395763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40.986921969763422</v>
      </c>
      <c r="GM144" s="23">
        <f>EXP(-LN(2)/25)*GM143+(1-EXP(-LN(2)/25))/(LN(2)/25)*Calculateur!GH144*Calculateur!GJ144*VLOOKUP('Données projet'!$B$17,Paramètres!$A$1:$I$89,3,0)*0.475*44/12</f>
        <v>2.1337516899307771</v>
      </c>
      <c r="GN144" s="23">
        <f>EXP(-LN(2)/2)*GN143+(1-EXP(-LN(2)/2))/(LN(2)/2)*GH144*GK144*VLOOKUP('Données projet'!$B$17,Paramètres!$A$1:$I$89,3,0)*0.475*44/12</f>
        <v>2.82465363249672E-11</v>
      </c>
      <c r="GO144" s="23">
        <f t="shared" si="135"/>
        <v>43.120673659722442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1.7053025658242404E-13</v>
      </c>
      <c r="GV144" s="18">
        <f>GU144*VLOOKUP('Données projet'!$B$18,Paramètres!$A$1:$I$89,3,0)*VLOOKUP('Données projet'!$B$18,Paramètres!$A$1:$I$89,5,0)</f>
        <v>1.8355876818532125E-13</v>
      </c>
      <c r="GW144" s="14">
        <f t="shared" si="159"/>
        <v>2.5693529898865504E-12</v>
      </c>
      <c r="GX144" s="22">
        <f t="shared" si="136"/>
        <v>4.7946546453085093E-12</v>
      </c>
      <c r="GY144" s="62">
        <f t="shared" si="137"/>
        <v>293.33333333333809</v>
      </c>
      <c r="GZ144" s="62">
        <f ca="1">AVERAGE(OFFSET($GY$3,0,0,'Données projet'!$E$18+1,1))-AVERAGE(OFFSET($H$3,0,0,'Données projet'!$E$18+1,1))</f>
        <v>331.3579800635751</v>
      </c>
      <c r="HA144" s="62">
        <f t="shared" si="160"/>
        <v>209.40702003535273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53.360332375729747</v>
      </c>
      <c r="HH144" s="23">
        <f>EXP(-LN(2)/25)*HH143+(1-EXP(-LN(2)/25))/(LN(2)/25)*Calculateur!HC144*Calculateur!HE144*VLOOKUP('Données projet'!$B$18,Paramètres!$A$1:$I$89,3,0)*0.475*44/12</f>
        <v>2.777903143494787</v>
      </c>
      <c r="HI144" s="23">
        <f>EXP(-LN(2)/2)*HI143+(1-EXP(-LN(2)/2))/(LN(2)/2)*HC144*HF144*VLOOKUP('Données projet'!$B$18,Paramètres!$A$1:$I$89,3,0)*0.475*44/12</f>
        <v>4.5325837358668028E-11</v>
      </c>
      <c r="HJ144" s="24">
        <f t="shared" si="138"/>
        <v>56.138235519269863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5.0022208597511053E-12</v>
      </c>
      <c r="O145" s="14">
        <f>N145*VLOOKUP('Données projet'!$B$9,Paramètres!$A$1:$I$89,3,0)*VLOOKUP('Données projet'!$B$9,Paramètres!$A$1:$I$89,5,0)</f>
        <v>4.5260094339028E-12</v>
      </c>
      <c r="P145" s="14">
        <f t="shared" si="141"/>
        <v>4.3625683148570328E-11</v>
      </c>
      <c r="Q145" s="22">
        <f t="shared" si="108"/>
        <v>8.3864197914474037E-11</v>
      </c>
      <c r="R145" s="62">
        <f t="shared" si="109"/>
        <v>293.33333333341716</v>
      </c>
      <c r="S145" s="62">
        <f ca="1">AVERAGE(OFFSET($R$3,0,0,'Données projet'!$E$9+1,1))-AVERAGE(OFFSET($H$3,0,0,'Données projet'!$E$9+1,1))</f>
        <v>2472.5049373954762</v>
      </c>
      <c r="T145" s="62">
        <f t="shared" si="142"/>
        <v>286.98388307318311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1674.0116935238445</v>
      </c>
      <c r="AA145" s="23">
        <f>EXP(-LN(2)/25)*AA144+(1-EXP(-LN(2)/25))/(LN(2)/25)*Calculateur!V145*Calculateur!X145*VLOOKUP('Données projet'!$B$9,Paramètres!$A$1:$I$89,3,0)*0.475*44/12</f>
        <v>82.895626396037429</v>
      </c>
      <c r="AB145" s="23">
        <f>EXP(-LN(2)/2)*AB144+(1-EXP(-LN(2)/2))/(LN(2)/2)*V145*Y145*VLOOKUP('Données projet'!$B$9,Paramètres!$A$1:$I$89,3,0)*0.475*44/12</f>
        <v>103.20958634480057</v>
      </c>
      <c r="AC145" s="24">
        <f t="shared" si="111"/>
        <v>1860.1169062646825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5.0022208597511053E-12</v>
      </c>
      <c r="AJ145" s="14">
        <f>AI145*VLOOKUP('Données projet'!$B$10,Paramètres!$A$1:$I$89,3,0)*VLOOKUP('Données projet'!$B$10,Paramètres!$A$1:$I$89,5,0)</f>
        <v>5.0722519517876216E-12</v>
      </c>
      <c r="AK145" s="14">
        <f t="shared" si="143"/>
        <v>4.8246688221215311E-11</v>
      </c>
      <c r="AL145" s="22">
        <f t="shared" si="112"/>
        <v>9.2863820801313432E-11</v>
      </c>
      <c r="AM145" s="62">
        <f t="shared" si="113"/>
        <v>293.3333333334262</v>
      </c>
      <c r="AN145" s="62">
        <f ca="1">AVERAGE(OFFSET($AM$3,0,0,'Données projet'!$E$10+1,1))-AVERAGE(OFFSET($H$3,0,0,'Données projet'!$E$10+1,1))</f>
        <v>2761.1400657295467</v>
      </c>
      <c r="AO145" s="62">
        <f t="shared" si="144"/>
        <v>316.41877504316409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1876.0475875698257</v>
      </c>
      <c r="AV145" s="23">
        <f>EXP(-LN(2)/25)*AV144+(1-EXP(-LN(2)/25))/(LN(2)/25)*Calculateur!AQ145*Calculateur!AS145*VLOOKUP('Données projet'!$B$10,Paramètres!$A$1:$I$89,3,0)*0.475*44/12</f>
        <v>92.900270961076458</v>
      </c>
      <c r="AW145" s="23">
        <f>EXP(-LN(2)/2)*AW144+(1-EXP(-LN(2)/2))/(LN(2)/2)*AQ145*AT145*VLOOKUP('Données projet'!$B$10,Paramètres!$A$1:$I$89,3,0)*0.475*44/12</f>
        <v>115.66591573124204</v>
      </c>
      <c r="AX145" s="23">
        <f t="shared" si="114"/>
        <v>2084.6137742621445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5.0022208597511053E-12</v>
      </c>
      <c r="BE145" s="14">
        <f>BD145*VLOOKUP('Données projet'!$B$11,Paramètres!$A$1:$I$89,3,0)*VLOOKUP('Données projet'!$B$11,Paramètres!$A$1:$I$89,5,0)</f>
        <v>5.2283212426118558E-12</v>
      </c>
      <c r="BF145" s="14">
        <f t="shared" si="145"/>
        <v>4.9556081821365385E-11</v>
      </c>
      <c r="BG145" s="22">
        <f t="shared" si="115"/>
        <v>9.5416168669760364E-11</v>
      </c>
      <c r="BH145" s="62">
        <f t="shared" si="116"/>
        <v>293.33333333342875</v>
      </c>
      <c r="BI145" s="62">
        <f ca="1">AVERAGE(OFFSET($BH$3,0,0,'Données projet'!$E$11+1,1))-AVERAGE(OFFSET($H$3,0,0,'Données projet'!$E$11+1,1))</f>
        <v>2843.5086223152098</v>
      </c>
      <c r="BJ145" s="62">
        <f t="shared" si="146"/>
        <v>324.81562437645522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1933.7721287258203</v>
      </c>
      <c r="BQ145" s="23">
        <f>EXP(-LN(2)/25)*BQ144+(1-EXP(-LN(2)/25))/(LN(2)/25)*Calculateur!BL145*Calculateur!BN145*VLOOKUP('Données projet'!$B$11,Paramètres!$A$1:$I$89,3,0)*0.475*44/12</f>
        <v>95.758740836801877</v>
      </c>
      <c r="BR145" s="23">
        <f>EXP(-LN(2)/2)*BR144+(1-EXP(-LN(2)/2))/(LN(2)/2)*BL145*BO145*VLOOKUP('Données projet'!$B$11,Paramètres!$A$1:$I$89,3,0)*0.475*44/12</f>
        <v>119.224866984511</v>
      </c>
      <c r="BS145" s="24">
        <f t="shared" si="117"/>
        <v>2148.7557365471334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5.0022208597511053E-12</v>
      </c>
      <c r="BZ145" s="14">
        <f>BY145*VLOOKUP('Données projet'!$B$12,Paramètres!$A$1:$I$89,3,0)*VLOOKUP('Données projet'!$B$12,Paramètres!$A$1:$I$89,5,0)</f>
        <v>4.9942173063755036E-12</v>
      </c>
      <c r="CA145" s="14">
        <f t="shared" si="147"/>
        <v>4.7590239529202817E-11</v>
      </c>
      <c r="CB145" s="22">
        <f t="shared" si="118"/>
        <v>9.1584595655298897E-11</v>
      </c>
      <c r="CC145" s="62">
        <f t="shared" si="119"/>
        <v>293.33333333342489</v>
      </c>
      <c r="CD145" s="62">
        <f ca="1">AVERAGE(OFFSET($CC$3,0,0,'Données projet'!$E$12+1,1))-AVERAGE(OFFSET($H$3,0,0,'Données projet'!$E$12+1,1))</f>
        <v>2719.939926994799</v>
      </c>
      <c r="CE145" s="62">
        <f t="shared" si="148"/>
        <v>312.21824046329749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1847.1853169918286</v>
      </c>
      <c r="CL145" s="23">
        <f>EXP(-LN(2)/25)*CL144+(1-EXP(-LN(2)/25))/(LN(2)/25)*Calculateur!CG145*Calculateur!CI145*VLOOKUP('Données projet'!$B$12,Paramètres!$A$1:$I$89,3,0)*0.475*44/12</f>
        <v>91.471036023213742</v>
      </c>
      <c r="CM145" s="23">
        <f>EXP(-LN(2)/2)*CM144+(1-EXP(-LN(2)/2))/(LN(2)/2)*CG145*CJ145*VLOOKUP('Données projet'!$B$12,Paramètres!$A$1:$I$89,3,0)*0.475*44/12</f>
        <v>113.88644010460752</v>
      </c>
      <c r="CN145" s="24">
        <f t="shared" si="120"/>
        <v>2052.54279311965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1.1368683772161603E-12</v>
      </c>
      <c r="CU145" s="18">
        <f>CT145*VLOOKUP('Données projet'!$B$13,Paramètres!$A$1:$I$89,3,0)*VLOOKUP('Données projet'!$B$13,Paramètres!$A$1:$I$89,5,0)</f>
        <v>9.9316821433603771E-13</v>
      </c>
      <c r="CV145" s="14">
        <f t="shared" si="149"/>
        <v>1.1421454694498936E-11</v>
      </c>
      <c r="CW145" s="22">
        <f t="shared" si="121"/>
        <v>2.1622134899554243E-11</v>
      </c>
      <c r="CX145" s="62">
        <f t="shared" si="122"/>
        <v>293.33333333335491</v>
      </c>
      <c r="CY145" s="62">
        <f ca="1">AVERAGE(OFFSET($CX$3,0,0,'Données projet'!$E$13+1,1))-AVERAGE(OFFSET($H$3,0,0,'Données projet'!$E$13+1,1))</f>
        <v>1036.0130072090849</v>
      </c>
      <c r="CZ145" s="62">
        <f t="shared" si="150"/>
        <v>346.56593355696174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196.16188486942315</v>
      </c>
      <c r="DG145" s="23">
        <f>EXP(-LN(2)/25)*DG144+(1-EXP(-LN(2)/25))/(LN(2)/25)*Calculateur!DB145*Calculateur!DD145*VLOOKUP('Données projet'!$B$13,Paramètres!$A$1:$I$89,3,0)*0.475*44/12</f>
        <v>7.5858936456979338</v>
      </c>
      <c r="DH145" s="23">
        <f>EXP(-LN(2)/2)*DH144+(1-EXP(-LN(2)/2))/(LN(2)/2)*DB145*DE145*VLOOKUP('Données projet'!$B$13,Paramètres!$A$1:$I$89,3,0)*0.475*44/12</f>
        <v>4.2084146104129249E-8</v>
      </c>
      <c r="DI145" s="24">
        <f t="shared" si="123"/>
        <v>203.74777855720521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6.8212102632969618E-13</v>
      </c>
      <c r="DP145" s="18">
        <f>DO145*VLOOKUP('Données projet'!$B$14,Paramètres!$A$1:$I$89,3,0)*VLOOKUP('Données projet'!$B$14,Paramètres!$A$1:$I$89,5,0)</f>
        <v>3.8130565371830017E-13</v>
      </c>
      <c r="DQ145" s="14">
        <f t="shared" si="151"/>
        <v>4.9019074112354236E-12</v>
      </c>
      <c r="DR145" s="22">
        <f t="shared" si="124"/>
        <v>9.2015960881277352E-12</v>
      </c>
      <c r="DS145" s="62">
        <f t="shared" si="125"/>
        <v>293.33333333334252</v>
      </c>
      <c r="DT145" s="62">
        <f ca="1">AVERAGE(OFFSET($DS$3,0,0,'Données projet'!$E$14+1,1))-AVERAGE(OFFSET($H$3,0,0,'Données projet'!$E$14+1,1))</f>
        <v>446.48069057792151</v>
      </c>
      <c r="DU145" s="62">
        <f t="shared" si="152"/>
        <v>561.75656782935948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36.400253957658514</v>
      </c>
      <c r="EB145" s="23">
        <f>EXP(-LN(2)/25)*EB144+(1-EXP(-LN(2)/25))/(LN(2)/25)*Calculateur!DW145*Calculateur!DY145*VLOOKUP('Données projet'!$B$14,Paramètres!$A$1:$I$89,3,0)*0.475*44/12</f>
        <v>8.3424223810619136</v>
      </c>
      <c r="EC145" s="23">
        <f>EXP(-LN(2)/2)*EC144+(1-EXP(-LN(2)/2))/(LN(2)/2)*DW145*DZ145*VLOOKUP('Données projet'!$B$14,Paramètres!$A$1:$I$89,3,0)*0.475*44/12</f>
        <v>6.1020351450786992E-11</v>
      </c>
      <c r="ED145" s="24">
        <f t="shared" si="126"/>
        <v>44.74267633878145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1.7053025658242404E-13</v>
      </c>
      <c r="EK145" s="18">
        <f>EJ145*VLOOKUP('Données projet'!$B$15,Paramètres!$A$1:$I$89,3,0)*VLOOKUP('Données projet'!$B$15,Paramètres!$A$1:$I$89,5,0)</f>
        <v>1.6493686416652052E-13</v>
      </c>
      <c r="EL145" s="14">
        <f t="shared" si="153"/>
        <v>2.3376205369651282E-12</v>
      </c>
      <c r="EM145" s="22">
        <f t="shared" si="127"/>
        <v>4.3586208069709543E-12</v>
      </c>
      <c r="EN145" s="62">
        <f t="shared" si="128"/>
        <v>293.33333333333769</v>
      </c>
      <c r="EO145" s="62">
        <f ca="1">AVERAGE(OFFSET($EN$3,0,0,'Données projet'!$E$15+1,1))-AVERAGE(OFFSET($H$3,0,0,'Données projet'!$E$15+1,1))</f>
        <v>301.18531163828169</v>
      </c>
      <c r="EP145" s="62">
        <f t="shared" si="154"/>
        <v>192.30530273268101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47.006754577894306</v>
      </c>
      <c r="EW145" s="23">
        <f>EXP(-LN(2)/25)*EW144+(1-EXP(-LN(2)/25))/(LN(2)/25)*Calculateur!ER145*Calculateur!ET145*VLOOKUP('Données projet'!$B$15,Paramètres!$A$1:$I$89,3,0)*0.475*44/12</f>
        <v>2.4278312554934112</v>
      </c>
      <c r="EX145" s="23">
        <f>EXP(-LN(2)/2)*EX144+(1-EXP(-LN(2)/2))/(LN(2)/2)*ER145*EU145*VLOOKUP('Données projet'!$B$15,Paramètres!$A$1:$I$89,3,0)*0.475*44/12</f>
        <v>2.8798736688042317E-11</v>
      </c>
      <c r="EY145" s="24">
        <f t="shared" si="129"/>
        <v>49.434585833416513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1.7053025658242404E-13</v>
      </c>
      <c r="FF145" s="18">
        <f>FE145*VLOOKUP('Données projet'!$B$16,Paramètres!$A$1:$I$89,3,0)*VLOOKUP('Données projet'!$B$16,Paramètres!$A$1:$I$89,5,0)</f>
        <v>1.3301360013429075E-13</v>
      </c>
      <c r="FG145" s="14">
        <f t="shared" si="155"/>
        <v>1.9329766731057041E-12</v>
      </c>
      <c r="FH145" s="22">
        <f t="shared" si="130"/>
        <v>3.5982663925596575E-12</v>
      </c>
      <c r="FI145" s="62">
        <f t="shared" si="131"/>
        <v>293.3333333333369</v>
      </c>
      <c r="FJ145" s="62">
        <f ca="1">AVERAGE(OFFSET($FI$3,0,0,'Données projet'!$E$16+1,1))-AVERAGE(OFFSET($H$3,0,0,'Données projet'!$E$16+1,1))</f>
        <v>249.2899297828755</v>
      </c>
      <c r="FK145" s="62">
        <f t="shared" si="156"/>
        <v>162.88011837476813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37.908673046688953</v>
      </c>
      <c r="FR145" s="23">
        <f>EXP(-LN(2)/25)*FR144+(1-EXP(-LN(2)/25))/(LN(2)/25)*Calculateur!FM145*Calculateur!FO145*VLOOKUP('Données projet'!$B$16,Paramètres!$A$1:$I$89,3,0)*0.475*44/12</f>
        <v>1.957928431849522</v>
      </c>
      <c r="FS145" s="23">
        <f>EXP(-LN(2)/2)*FS144+(1-EXP(-LN(2)/2))/(LN(2)/2)*FM145*FP145*VLOOKUP('Données projet'!$B$16,Paramètres!$A$1:$I$89,3,0)*0.475*44/12</f>
        <v>2.3224787651646889E-11</v>
      </c>
      <c r="FT145" s="24">
        <f t="shared" si="132"/>
        <v>39.866601478561705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1.7053025658242404E-13</v>
      </c>
      <c r="GA145" s="18">
        <f>FZ145*VLOOKUP('Données projet'!$B$17,Paramètres!$A$1:$I$89,3,0)*VLOOKUP('Données projet'!$B$17,Paramètres!$A$1:$I$89,5,0)</f>
        <v>1.1439169611549005E-13</v>
      </c>
      <c r="GB145" s="14">
        <f t="shared" si="157"/>
        <v>1.6918016515029816E-12</v>
      </c>
      <c r="GC145" s="22">
        <f t="shared" si="133"/>
        <v>3.1457867471021712E-12</v>
      </c>
      <c r="GD145" s="62">
        <f t="shared" si="134"/>
        <v>293.33333333333644</v>
      </c>
      <c r="GE145" s="62">
        <f ca="1">AVERAGE(OFFSET($GD$3,0,0,'Données projet'!$E$17+1,1))-AVERAGE(OFFSET($H$3,0,0,'Données projet'!$E$17+1,1))</f>
        <v>218.89895999738746</v>
      </c>
      <c r="GF145" s="62">
        <f t="shared" si="158"/>
        <v>145.64042897395763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40.18319342949026</v>
      </c>
      <c r="GM145" s="23">
        <f>EXP(-LN(2)/25)*GM144+(1-EXP(-LN(2)/25))/(LN(2)/25)*Calculateur!GH145*Calculateur!GJ145*VLOOKUP('Données projet'!$B$17,Paramètres!$A$1:$I$89,3,0)*0.475*44/12</f>
        <v>2.0754041377604953</v>
      </c>
      <c r="GN145" s="23">
        <f>EXP(-LN(2)/2)*GN144+(1-EXP(-LN(2)/2))/(LN(2)/2)*GH145*GK145*VLOOKUP('Données projet'!$B$17,Paramètres!$A$1:$I$89,3,0)*0.475*44/12</f>
        <v>1.9973317380416449E-11</v>
      </c>
      <c r="GO145" s="23">
        <f t="shared" si="135"/>
        <v>42.258597567270726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1.7053025658242404E-13</v>
      </c>
      <c r="GV145" s="18">
        <f>GU145*VLOOKUP('Données projet'!$B$18,Paramètres!$A$1:$I$89,3,0)*VLOOKUP('Données projet'!$B$18,Paramètres!$A$1:$I$89,5,0)</f>
        <v>1.8355876818532125E-13</v>
      </c>
      <c r="GW145" s="14">
        <f t="shared" si="159"/>
        <v>2.5693529898865504E-12</v>
      </c>
      <c r="GX145" s="22">
        <f t="shared" si="136"/>
        <v>4.7946546453085093E-12</v>
      </c>
      <c r="GY145" s="62">
        <f t="shared" si="137"/>
        <v>293.33333333333809</v>
      </c>
      <c r="GZ145" s="62">
        <f ca="1">AVERAGE(OFFSET($GY$3,0,0,'Données projet'!$E$18+1,1))-AVERAGE(OFFSET($H$3,0,0,'Données projet'!$E$18+1,1))</f>
        <v>331.3579800635751</v>
      </c>
      <c r="HA145" s="62">
        <f t="shared" si="160"/>
        <v>209.40702003535273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52.313968804430729</v>
      </c>
      <c r="HH145" s="23">
        <f>EXP(-LN(2)/25)*HH144+(1-EXP(-LN(2)/25))/(LN(2)/25)*Calculateur!HC145*Calculateur!HE145*VLOOKUP('Données projet'!$B$18,Paramètres!$A$1:$I$89,3,0)*0.475*44/12</f>
        <v>2.7019412359523445</v>
      </c>
      <c r="HI145" s="23">
        <f>EXP(-LN(2)/2)*HI144+(1-EXP(-LN(2)/2))/(LN(2)/2)*HC145*HF145*VLOOKUP('Données projet'!$B$18,Paramètres!$A$1:$I$89,3,0)*0.475*44/12</f>
        <v>3.2050206959272714E-11</v>
      </c>
      <c r="HJ145" s="24">
        <f t="shared" si="138"/>
        <v>55.015910040415129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5.0022208597511053E-12</v>
      </c>
      <c r="O146" s="14">
        <f>N146*VLOOKUP('Données projet'!$B$9,Paramètres!$A$1:$I$89,3,0)*VLOOKUP('Données projet'!$B$9,Paramètres!$A$1:$I$89,5,0)</f>
        <v>4.5260094339028E-12</v>
      </c>
      <c r="P146" s="14">
        <f t="shared" si="141"/>
        <v>4.3625683148570328E-11</v>
      </c>
      <c r="Q146" s="22">
        <f t="shared" si="108"/>
        <v>8.3864197914474037E-11</v>
      </c>
      <c r="R146" s="62">
        <f t="shared" si="109"/>
        <v>293.33333333341716</v>
      </c>
      <c r="S146" s="62">
        <f ca="1">AVERAGE(OFFSET($R$3,0,0,'Données projet'!$E$9+1,1))-AVERAGE(OFFSET($H$3,0,0,'Données projet'!$E$9+1,1))</f>
        <v>2472.5049373954762</v>
      </c>
      <c r="T146" s="62">
        <f t="shared" si="142"/>
        <v>286.98388307318311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1641.1853452601551</v>
      </c>
      <c r="AA146" s="23">
        <f>EXP(-LN(2)/25)*AA145+(1-EXP(-LN(2)/25))/(LN(2)/25)*Calculateur!V146*Calculateur!X146*VLOOKUP('Données projet'!$B$9,Paramètres!$A$1:$I$89,3,0)*0.475*44/12</f>
        <v>80.628841132946249</v>
      </c>
      <c r="AB146" s="23">
        <f>EXP(-LN(2)/2)*AB145+(1-EXP(-LN(2)/2))/(LN(2)/2)*V146*Y146*VLOOKUP('Données projet'!$B$9,Paramètres!$A$1:$I$89,3,0)*0.475*44/12</f>
        <v>72.980198387866992</v>
      </c>
      <c r="AC146" s="24">
        <f t="shared" si="111"/>
        <v>1794.7943847809684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5.0022208597511053E-12</v>
      </c>
      <c r="AJ146" s="14">
        <f>AI146*VLOOKUP('Données projet'!$B$10,Paramètres!$A$1:$I$89,3,0)*VLOOKUP('Données projet'!$B$10,Paramètres!$A$1:$I$89,5,0)</f>
        <v>5.0722519517876216E-12</v>
      </c>
      <c r="AK146" s="14">
        <f t="shared" si="143"/>
        <v>4.8246688221215311E-11</v>
      </c>
      <c r="AL146" s="22">
        <f t="shared" si="112"/>
        <v>9.2863820801313432E-11</v>
      </c>
      <c r="AM146" s="62">
        <f t="shared" si="113"/>
        <v>293.3333333334262</v>
      </c>
      <c r="AN146" s="62">
        <f ca="1">AVERAGE(OFFSET($AM$3,0,0,'Données projet'!$E$10+1,1))-AVERAGE(OFFSET($H$3,0,0,'Données projet'!$E$10+1,1))</f>
        <v>2761.1400657295467</v>
      </c>
      <c r="AO146" s="62">
        <f t="shared" si="144"/>
        <v>316.41877504316409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1839.2594386536221</v>
      </c>
      <c r="AV146" s="23">
        <f>EXP(-LN(2)/25)*AV145+(1-EXP(-LN(2)/25))/(LN(2)/25)*Calculateur!AQ146*Calculateur!AS146*VLOOKUP('Données projet'!$B$10,Paramètres!$A$1:$I$89,3,0)*0.475*44/12</f>
        <v>90.359908166232898</v>
      </c>
      <c r="AW146" s="23">
        <f>EXP(-LN(2)/2)*AW145+(1-EXP(-LN(2)/2))/(LN(2)/2)*AQ146*AT146*VLOOKUP('Données projet'!$B$10,Paramètres!$A$1:$I$89,3,0)*0.475*44/12</f>
        <v>81.788153365713015</v>
      </c>
      <c r="AX146" s="23">
        <f t="shared" si="114"/>
        <v>2011.4075001855679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5.0022208597511053E-12</v>
      </c>
      <c r="BE146" s="14">
        <f>BD146*VLOOKUP('Données projet'!$B$11,Paramètres!$A$1:$I$89,3,0)*VLOOKUP('Données projet'!$B$11,Paramètres!$A$1:$I$89,5,0)</f>
        <v>5.2283212426118558E-12</v>
      </c>
      <c r="BF146" s="14">
        <f t="shared" si="145"/>
        <v>4.9556081821365385E-11</v>
      </c>
      <c r="BG146" s="22">
        <f t="shared" si="115"/>
        <v>9.5416168669760364E-11</v>
      </c>
      <c r="BH146" s="62">
        <f t="shared" si="116"/>
        <v>293.33333333342875</v>
      </c>
      <c r="BI146" s="62">
        <f ca="1">AVERAGE(OFFSET($BH$3,0,0,'Données projet'!$E$11+1,1))-AVERAGE(OFFSET($H$3,0,0,'Données projet'!$E$11+1,1))</f>
        <v>2843.5086223152098</v>
      </c>
      <c r="BJ146" s="62">
        <f t="shared" si="146"/>
        <v>324.81562437645522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1895.852036766041</v>
      </c>
      <c r="BQ146" s="23">
        <f>EXP(-LN(2)/25)*BQ145+(1-EXP(-LN(2)/25))/(LN(2)/25)*Calculateur!BL146*Calculateur!BN146*VLOOKUP('Données projet'!$B$11,Paramètres!$A$1:$I$89,3,0)*0.475*44/12</f>
        <v>93.140213032886209</v>
      </c>
      <c r="BR146" s="23">
        <f>EXP(-LN(2)/2)*BR145+(1-EXP(-LN(2)/2))/(LN(2)/2)*BL146*BO146*VLOOKUP('Données projet'!$B$11,Paramètres!$A$1:$I$89,3,0)*0.475*44/12</f>
        <v>84.304711930811862</v>
      </c>
      <c r="BS146" s="24">
        <f t="shared" si="117"/>
        <v>2073.296961729739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5.0022208597511053E-12</v>
      </c>
      <c r="BZ146" s="14">
        <f>BY146*VLOOKUP('Données projet'!$B$12,Paramètres!$A$1:$I$89,3,0)*VLOOKUP('Données projet'!$B$12,Paramètres!$A$1:$I$89,5,0)</f>
        <v>4.9942173063755036E-12</v>
      </c>
      <c r="CA146" s="14">
        <f t="shared" si="147"/>
        <v>4.7590239529202817E-11</v>
      </c>
      <c r="CB146" s="22">
        <f t="shared" si="118"/>
        <v>9.1584595655298897E-11</v>
      </c>
      <c r="CC146" s="62">
        <f t="shared" si="119"/>
        <v>293.33333333342489</v>
      </c>
      <c r="CD146" s="62">
        <f ca="1">AVERAGE(OFFSET($CC$3,0,0,'Données projet'!$E$12+1,1))-AVERAGE(OFFSET($H$3,0,0,'Données projet'!$E$12+1,1))</f>
        <v>2719.939926994799</v>
      </c>
      <c r="CE146" s="62">
        <f t="shared" si="148"/>
        <v>312.21824046329749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1810.9631395974127</v>
      </c>
      <c r="CL146" s="23">
        <f>EXP(-LN(2)/25)*CL145+(1-EXP(-LN(2)/25))/(LN(2)/25)*Calculateur!CG146*Calculateur!CI146*VLOOKUP('Données projet'!$B$12,Paramètres!$A$1:$I$89,3,0)*0.475*44/12</f>
        <v>88.969755732906236</v>
      </c>
      <c r="CM146" s="23">
        <f>EXP(-LN(2)/2)*CM145+(1-EXP(-LN(2)/2))/(LN(2)/2)*CG146*CJ146*VLOOKUP('Données projet'!$B$12,Paramètres!$A$1:$I$89,3,0)*0.475*44/12</f>
        <v>80.529874083163563</v>
      </c>
      <c r="CN146" s="24">
        <f t="shared" si="120"/>
        <v>1980.4627694134824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1.1368683772161603E-12</v>
      </c>
      <c r="CU146" s="18">
        <f>CT146*VLOOKUP('Données projet'!$B$13,Paramètres!$A$1:$I$89,3,0)*VLOOKUP('Données projet'!$B$13,Paramètres!$A$1:$I$89,5,0)</f>
        <v>9.9316821433603771E-13</v>
      </c>
      <c r="CV146" s="14">
        <f t="shared" si="149"/>
        <v>1.1421454694498936E-11</v>
      </c>
      <c r="CW146" s="22">
        <f t="shared" si="121"/>
        <v>2.1622134899554243E-11</v>
      </c>
      <c r="CX146" s="62">
        <f t="shared" si="122"/>
        <v>293.33333333335491</v>
      </c>
      <c r="CY146" s="62">
        <f ca="1">AVERAGE(OFFSET($CX$3,0,0,'Données projet'!$E$13+1,1))-AVERAGE(OFFSET($H$3,0,0,'Données projet'!$E$13+1,1))</f>
        <v>1036.0130072090849</v>
      </c>
      <c r="CZ146" s="62">
        <f t="shared" si="150"/>
        <v>346.56593355696174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192.31526995406938</v>
      </c>
      <c r="DG146" s="23">
        <f>EXP(-LN(2)/25)*DG145+(1-EXP(-LN(2)/25))/(LN(2)/25)*Calculateur!DB146*Calculateur!DD146*VLOOKUP('Données projet'!$B$13,Paramètres!$A$1:$I$89,3,0)*0.475*44/12</f>
        <v>7.3784569850315149</v>
      </c>
      <c r="DH146" s="23">
        <f>EXP(-LN(2)/2)*DH145+(1-EXP(-LN(2)/2))/(LN(2)/2)*DB146*DE146*VLOOKUP('Données projet'!$B$13,Paramètres!$A$1:$I$89,3,0)*0.475*44/12</f>
        <v>2.975798509067522E-8</v>
      </c>
      <c r="DI146" s="24">
        <f t="shared" si="123"/>
        <v>199.69372696885887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6.8212102632969618E-13</v>
      </c>
      <c r="DP146" s="18">
        <f>DO146*VLOOKUP('Données projet'!$B$14,Paramètres!$A$1:$I$89,3,0)*VLOOKUP('Données projet'!$B$14,Paramètres!$A$1:$I$89,5,0)</f>
        <v>3.8130565371830017E-13</v>
      </c>
      <c r="DQ146" s="14">
        <f t="shared" si="151"/>
        <v>4.9019074112354236E-12</v>
      </c>
      <c r="DR146" s="22">
        <f t="shared" si="124"/>
        <v>9.2015960881277352E-12</v>
      </c>
      <c r="DS146" s="62">
        <f t="shared" si="125"/>
        <v>293.33333333334252</v>
      </c>
      <c r="DT146" s="62">
        <f ca="1">AVERAGE(OFFSET($DS$3,0,0,'Données projet'!$E$14+1,1))-AVERAGE(OFFSET($H$3,0,0,'Données projet'!$E$14+1,1))</f>
        <v>446.48069057792151</v>
      </c>
      <c r="DU146" s="62">
        <f t="shared" si="152"/>
        <v>561.75656782935948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35.686467179511482</v>
      </c>
      <c r="EB146" s="23">
        <f>EXP(-LN(2)/25)*EB145+(1-EXP(-LN(2)/25))/(LN(2)/25)*Calculateur!DW146*Calculateur!DY146*VLOOKUP('Données projet'!$B$14,Paramètres!$A$1:$I$89,3,0)*0.475*44/12</f>
        <v>8.1142984023428486</v>
      </c>
      <c r="EC146" s="23">
        <f>EXP(-LN(2)/2)*EC145+(1-EXP(-LN(2)/2))/(LN(2)/2)*DW146*DZ146*VLOOKUP('Données projet'!$B$14,Paramètres!$A$1:$I$89,3,0)*0.475*44/12</f>
        <v>4.3147904301237866E-11</v>
      </c>
      <c r="ED146" s="24">
        <f t="shared" si="126"/>
        <v>43.80076558189748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1.7053025658242404E-13</v>
      </c>
      <c r="EK146" s="18">
        <f>EJ146*VLOOKUP('Données projet'!$B$15,Paramètres!$A$1:$I$89,3,0)*VLOOKUP('Données projet'!$B$15,Paramètres!$A$1:$I$89,5,0)</f>
        <v>1.6493686416652052E-13</v>
      </c>
      <c r="EL146" s="14">
        <f t="shared" si="153"/>
        <v>2.3376205369651282E-12</v>
      </c>
      <c r="EM146" s="22">
        <f t="shared" si="127"/>
        <v>4.3586208069709543E-12</v>
      </c>
      <c r="EN146" s="62">
        <f t="shared" si="128"/>
        <v>293.33333333333769</v>
      </c>
      <c r="EO146" s="62">
        <f ca="1">AVERAGE(OFFSET($EN$3,0,0,'Données projet'!$E$15+1,1))-AVERAGE(OFFSET($H$3,0,0,'Données projet'!$E$15+1,1))</f>
        <v>301.18531163828169</v>
      </c>
      <c r="EP146" s="62">
        <f t="shared" si="154"/>
        <v>192.30530273268101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46.084980791911036</v>
      </c>
      <c r="EW146" s="23">
        <f>EXP(-LN(2)/25)*EW145+(1-EXP(-LN(2)/25))/(LN(2)/25)*Calculateur!ER146*Calculateur!ET146*VLOOKUP('Données projet'!$B$15,Paramètres!$A$1:$I$89,3,0)*0.475*44/12</f>
        <v>2.361442082137847</v>
      </c>
      <c r="EX146" s="23">
        <f>EXP(-LN(2)/2)*EX145+(1-EXP(-LN(2)/2))/(LN(2)/2)*ER146*EU146*VLOOKUP('Données projet'!$B$15,Paramètres!$A$1:$I$89,3,0)*0.475*44/12</f>
        <v>2.0363782001720539E-11</v>
      </c>
      <c r="EY146" s="24">
        <f t="shared" si="129"/>
        <v>48.446422874069249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1.7053025658242404E-13</v>
      </c>
      <c r="FF146" s="18">
        <f>FE146*VLOOKUP('Données projet'!$B$16,Paramètres!$A$1:$I$89,3,0)*VLOOKUP('Données projet'!$B$16,Paramètres!$A$1:$I$89,5,0)</f>
        <v>1.3301360013429075E-13</v>
      </c>
      <c r="FG146" s="14">
        <f t="shared" si="155"/>
        <v>1.9329766731057041E-12</v>
      </c>
      <c r="FH146" s="22">
        <f t="shared" si="130"/>
        <v>3.5982663925596575E-12</v>
      </c>
      <c r="FI146" s="62">
        <f t="shared" si="131"/>
        <v>293.3333333333369</v>
      </c>
      <c r="FJ146" s="62">
        <f ca="1">AVERAGE(OFFSET($FI$3,0,0,'Données projet'!$E$16+1,1))-AVERAGE(OFFSET($H$3,0,0,'Données projet'!$E$16+1,1))</f>
        <v>249.2899297828755</v>
      </c>
      <c r="FK146" s="62">
        <f t="shared" si="156"/>
        <v>162.88011837476813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37.165307090250835</v>
      </c>
      <c r="FR146" s="23">
        <f>EXP(-LN(2)/25)*FR145+(1-EXP(-LN(2)/25))/(LN(2)/25)*Calculateur!FM146*Calculateur!FO146*VLOOKUP('Données projet'!$B$16,Paramètres!$A$1:$I$89,3,0)*0.475*44/12</f>
        <v>1.9043887759176155</v>
      </c>
      <c r="FS146" s="23">
        <f>EXP(-LN(2)/2)*FS145+(1-EXP(-LN(2)/2))/(LN(2)/2)*FM146*FP146*VLOOKUP('Données projet'!$B$16,Paramètres!$A$1:$I$89,3,0)*0.475*44/12</f>
        <v>1.6422404840097107E-11</v>
      </c>
      <c r="FT146" s="24">
        <f t="shared" si="132"/>
        <v>39.069695866184873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1.7053025658242404E-13</v>
      </c>
      <c r="GA146" s="18">
        <f>FZ146*VLOOKUP('Données projet'!$B$17,Paramètres!$A$1:$I$89,3,0)*VLOOKUP('Données projet'!$B$17,Paramètres!$A$1:$I$89,5,0)</f>
        <v>1.1439169611549005E-13</v>
      </c>
      <c r="GB146" s="14">
        <f t="shared" si="157"/>
        <v>1.6918016515029816E-12</v>
      </c>
      <c r="GC146" s="22">
        <f t="shared" si="133"/>
        <v>3.1457867471021712E-12</v>
      </c>
      <c r="GD146" s="62">
        <f t="shared" si="134"/>
        <v>293.33333333333644</v>
      </c>
      <c r="GE146" s="62">
        <f ca="1">AVERAGE(OFFSET($GD$3,0,0,'Données projet'!$E$17+1,1))-AVERAGE(OFFSET($H$3,0,0,'Données projet'!$E$17+1,1))</f>
        <v>218.89895999738746</v>
      </c>
      <c r="GF146" s="62">
        <f t="shared" si="158"/>
        <v>145.64042897395763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39.39522551566585</v>
      </c>
      <c r="GM146" s="23">
        <f>EXP(-LN(2)/25)*GM145+(1-EXP(-LN(2)/25))/(LN(2)/25)*Calculateur!GH146*Calculateur!GJ146*VLOOKUP('Données projet'!$B$17,Paramètres!$A$1:$I$89,3,0)*0.475*44/12</f>
        <v>2.0186521024726742</v>
      </c>
      <c r="GN146" s="23">
        <f>EXP(-LN(2)/2)*GN145+(1-EXP(-LN(2)/2))/(LN(2)/2)*GH146*GK146*VLOOKUP('Données projet'!$B$17,Paramètres!$A$1:$I$89,3,0)*0.475*44/12</f>
        <v>1.4123268162483601E-11</v>
      </c>
      <c r="GO146" s="23">
        <f t="shared" si="135"/>
        <v>41.413877618152647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1.7053025658242404E-13</v>
      </c>
      <c r="GV146" s="18">
        <f>GU146*VLOOKUP('Données projet'!$B$18,Paramètres!$A$1:$I$89,3,0)*VLOOKUP('Données projet'!$B$18,Paramètres!$A$1:$I$89,5,0)</f>
        <v>1.8355876818532125E-13</v>
      </c>
      <c r="GW146" s="14">
        <f t="shared" si="159"/>
        <v>2.5693529898865504E-12</v>
      </c>
      <c r="GX146" s="22">
        <f t="shared" si="136"/>
        <v>4.7946546453085093E-12</v>
      </c>
      <c r="GY146" s="62">
        <f t="shared" si="137"/>
        <v>293.33333333333809</v>
      </c>
      <c r="GZ146" s="62">
        <f ca="1">AVERAGE(OFFSET($GY$3,0,0,'Données projet'!$E$18+1,1))-AVERAGE(OFFSET($H$3,0,0,'Données projet'!$E$18+1,1))</f>
        <v>331.3579800635751</v>
      </c>
      <c r="HA146" s="62">
        <f t="shared" si="160"/>
        <v>209.40702003535273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51.288123784546123</v>
      </c>
      <c r="HH146" s="23">
        <f>EXP(-LN(2)/25)*HH145+(1-EXP(-LN(2)/25))/(LN(2)/25)*Calculateur!HC146*Calculateur!HE146*VLOOKUP('Données projet'!$B$18,Paramètres!$A$1:$I$89,3,0)*0.475*44/12</f>
        <v>2.6280565107663132</v>
      </c>
      <c r="HI146" s="23">
        <f>EXP(-LN(2)/2)*HI145+(1-EXP(-LN(2)/2))/(LN(2)/2)*HC146*HF146*VLOOKUP('Données projet'!$B$18,Paramètres!$A$1:$I$89,3,0)*0.475*44/12</f>
        <v>2.2662918679334014E-11</v>
      </c>
      <c r="HJ146" s="24">
        <f t="shared" si="138"/>
        <v>53.916180295335103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5.0022208597511053E-12</v>
      </c>
      <c r="O147" s="14">
        <f>N147*VLOOKUP('Données projet'!$B$9,Paramètres!$A$1:$I$89,3,0)*VLOOKUP('Données projet'!$B$9,Paramètres!$A$1:$I$89,5,0)</f>
        <v>4.5260094339028E-12</v>
      </c>
      <c r="P147" s="14">
        <f t="shared" si="141"/>
        <v>4.3625683148570328E-11</v>
      </c>
      <c r="Q147" s="22">
        <f t="shared" si="108"/>
        <v>8.3864197914474037E-11</v>
      </c>
      <c r="R147" s="62">
        <f t="shared" si="109"/>
        <v>293.33333333341716</v>
      </c>
      <c r="S147" s="62">
        <f ca="1">AVERAGE(OFFSET($R$3,0,0,'Données projet'!$E$9+1,1))-AVERAGE(OFFSET($H$3,0,0,'Données projet'!$E$9+1,1))</f>
        <v>2472.5049373954762</v>
      </c>
      <c r="T147" s="62">
        <f t="shared" si="142"/>
        <v>286.98388307318311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1609.0027016638212</v>
      </c>
      <c r="AA147" s="23">
        <f>EXP(-LN(2)/25)*AA146+(1-EXP(-LN(2)/25))/(LN(2)/25)*Calculateur!V147*Calculateur!X147*VLOOKUP('Données projet'!$B$9,Paramètres!$A$1:$I$89,3,0)*0.475*44/12</f>
        <v>78.424041232079361</v>
      </c>
      <c r="AB147" s="23">
        <f>EXP(-LN(2)/2)*AB146+(1-EXP(-LN(2)/2))/(LN(2)/2)*V147*Y147*VLOOKUP('Données projet'!$B$9,Paramètres!$A$1:$I$89,3,0)*0.475*44/12</f>
        <v>51.604793172400299</v>
      </c>
      <c r="AC147" s="24">
        <f t="shared" si="111"/>
        <v>1739.031536068301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5.0022208597511053E-12</v>
      </c>
      <c r="AJ147" s="14">
        <f>AI147*VLOOKUP('Données projet'!$B$10,Paramètres!$A$1:$I$89,3,0)*VLOOKUP('Données projet'!$B$10,Paramètres!$A$1:$I$89,5,0)</f>
        <v>5.0722519517876216E-12</v>
      </c>
      <c r="AK147" s="14">
        <f t="shared" si="143"/>
        <v>4.8246688221215311E-11</v>
      </c>
      <c r="AL147" s="22">
        <f t="shared" si="112"/>
        <v>9.2863820801313432E-11</v>
      </c>
      <c r="AM147" s="62">
        <f t="shared" si="113"/>
        <v>293.3333333334262</v>
      </c>
      <c r="AN147" s="62">
        <f ca="1">AVERAGE(OFFSET($AM$3,0,0,'Données projet'!$E$10+1,1))-AVERAGE(OFFSET($H$3,0,0,'Données projet'!$E$10+1,1))</f>
        <v>2761.1400657295467</v>
      </c>
      <c r="AO147" s="62">
        <f t="shared" si="144"/>
        <v>316.41877504316409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1803.19268289911</v>
      </c>
      <c r="AV147" s="23">
        <f>EXP(-LN(2)/25)*AV146+(1-EXP(-LN(2)/25))/(LN(2)/25)*Calculateur!AQ147*Calculateur!AS147*VLOOKUP('Données projet'!$B$10,Paramètres!$A$1:$I$89,3,0)*0.475*44/12</f>
        <v>87.88901172560621</v>
      </c>
      <c r="AW147" s="23">
        <f>EXP(-LN(2)/2)*AW146+(1-EXP(-LN(2)/2))/(LN(2)/2)*AQ147*AT147*VLOOKUP('Données projet'!$B$10,Paramètres!$A$1:$I$89,3,0)*0.475*44/12</f>
        <v>57.832957865621026</v>
      </c>
      <c r="AX147" s="23">
        <f t="shared" si="114"/>
        <v>1948.9146524903372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5.0022208597511053E-12</v>
      </c>
      <c r="BE147" s="14">
        <f>BD147*VLOOKUP('Données projet'!$B$11,Paramètres!$A$1:$I$89,3,0)*VLOOKUP('Données projet'!$B$11,Paramètres!$A$1:$I$89,5,0)</f>
        <v>5.2283212426118558E-12</v>
      </c>
      <c r="BF147" s="14">
        <f t="shared" si="145"/>
        <v>4.9556081821365385E-11</v>
      </c>
      <c r="BG147" s="22">
        <f t="shared" si="115"/>
        <v>9.5416168669760364E-11</v>
      </c>
      <c r="BH147" s="62">
        <f t="shared" si="116"/>
        <v>293.33333333342875</v>
      </c>
      <c r="BI147" s="62">
        <f ca="1">AVERAGE(OFFSET($BH$3,0,0,'Données projet'!$E$11+1,1))-AVERAGE(OFFSET($H$3,0,0,'Données projet'!$E$11+1,1))</f>
        <v>2843.5086223152098</v>
      </c>
      <c r="BJ147" s="62">
        <f t="shared" si="146"/>
        <v>324.81562437645522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1858.6755346806208</v>
      </c>
      <c r="BQ147" s="23">
        <f>EXP(-LN(2)/25)*BQ146+(1-EXP(-LN(2)/25))/(LN(2)/25)*Calculateur!BL147*Calculateur!BN147*VLOOKUP('Données projet'!$B$11,Paramètres!$A$1:$I$89,3,0)*0.475*44/12</f>
        <v>90.593289009471007</v>
      </c>
      <c r="BR147" s="23">
        <f>EXP(-LN(2)/2)*BR146+(1-EXP(-LN(2)/2))/(LN(2)/2)*BL147*BO147*VLOOKUP('Données projet'!$B$11,Paramètres!$A$1:$I$89,3,0)*0.475*44/12</f>
        <v>59.612433492255512</v>
      </c>
      <c r="BS147" s="24">
        <f t="shared" si="117"/>
        <v>2008.8812571823473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5.0022208597511053E-12</v>
      </c>
      <c r="BZ147" s="14">
        <f>BY147*VLOOKUP('Données projet'!$B$12,Paramètres!$A$1:$I$89,3,0)*VLOOKUP('Données projet'!$B$12,Paramètres!$A$1:$I$89,5,0)</f>
        <v>4.9942173063755036E-12</v>
      </c>
      <c r="CA147" s="14">
        <f t="shared" si="147"/>
        <v>4.7590239529202817E-11</v>
      </c>
      <c r="CB147" s="22">
        <f t="shared" si="118"/>
        <v>9.1584595655298897E-11</v>
      </c>
      <c r="CC147" s="62">
        <f t="shared" si="119"/>
        <v>293.33333333342489</v>
      </c>
      <c r="CD147" s="62">
        <f ca="1">AVERAGE(OFFSET($CC$3,0,0,'Données projet'!$E$12+1,1))-AVERAGE(OFFSET($H$3,0,0,'Données projet'!$E$12+1,1))</f>
        <v>2719.939926994799</v>
      </c>
      <c r="CE147" s="62">
        <f t="shared" si="148"/>
        <v>312.21824046329749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1775.4512570083546</v>
      </c>
      <c r="CL147" s="23">
        <f>EXP(-LN(2)/25)*CL146+(1-EXP(-LN(2)/25))/(LN(2)/25)*Calculateur!CG147*Calculateur!CI147*VLOOKUP('Données projet'!$B$12,Paramètres!$A$1:$I$89,3,0)*0.475*44/12</f>
        <v>86.536873083673811</v>
      </c>
      <c r="CM147" s="23">
        <f>EXP(-LN(2)/2)*CM146+(1-EXP(-LN(2)/2))/(LN(2)/2)*CG147*CJ147*VLOOKUP('Données projet'!$B$12,Paramètres!$A$1:$I$89,3,0)*0.475*44/12</f>
        <v>56.943220052303765</v>
      </c>
      <c r="CN147" s="24">
        <f t="shared" si="120"/>
        <v>1918.9313501443321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1.1368683772161603E-12</v>
      </c>
      <c r="CU147" s="18">
        <f>CT147*VLOOKUP('Données projet'!$B$13,Paramètres!$A$1:$I$89,3,0)*VLOOKUP('Données projet'!$B$13,Paramètres!$A$1:$I$89,5,0)</f>
        <v>9.9316821433603771E-13</v>
      </c>
      <c r="CV147" s="14">
        <f t="shared" si="149"/>
        <v>1.1421454694498936E-11</v>
      </c>
      <c r="CW147" s="22">
        <f t="shared" si="121"/>
        <v>2.1622134899554243E-11</v>
      </c>
      <c r="CX147" s="62">
        <f t="shared" si="122"/>
        <v>293.33333333335491</v>
      </c>
      <c r="CY147" s="62">
        <f ca="1">AVERAGE(OFFSET($CX$3,0,0,'Données projet'!$E$13+1,1))-AVERAGE(OFFSET($H$3,0,0,'Données projet'!$E$13+1,1))</f>
        <v>1036.0130072090849</v>
      </c>
      <c r="CZ147" s="62">
        <f t="shared" si="150"/>
        <v>346.56593355696174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188.54408481100228</v>
      </c>
      <c r="DG147" s="23">
        <f>EXP(-LN(2)/25)*DG146+(1-EXP(-LN(2)/25))/(LN(2)/25)*Calculateur!DB147*Calculateur!DD147*VLOOKUP('Données projet'!$B$13,Paramètres!$A$1:$I$89,3,0)*0.475*44/12</f>
        <v>7.1766926907596389</v>
      </c>
      <c r="DH147" s="23">
        <f>EXP(-LN(2)/2)*DH146+(1-EXP(-LN(2)/2))/(LN(2)/2)*DB147*DE147*VLOOKUP('Données projet'!$B$13,Paramètres!$A$1:$I$89,3,0)*0.475*44/12</f>
        <v>2.1042073052064628E-8</v>
      </c>
      <c r="DI147" s="24">
        <f t="shared" si="123"/>
        <v>195.72077752280398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6.8212102632969618E-13</v>
      </c>
      <c r="DP147" s="18">
        <f>DO147*VLOOKUP('Données projet'!$B$14,Paramètres!$A$1:$I$89,3,0)*VLOOKUP('Données projet'!$B$14,Paramètres!$A$1:$I$89,5,0)</f>
        <v>3.8130565371830017E-13</v>
      </c>
      <c r="DQ147" s="14">
        <f t="shared" si="151"/>
        <v>4.9019074112354236E-12</v>
      </c>
      <c r="DR147" s="22">
        <f t="shared" si="124"/>
        <v>9.2015960881277352E-12</v>
      </c>
      <c r="DS147" s="62">
        <f t="shared" si="125"/>
        <v>293.33333333334252</v>
      </c>
      <c r="DT147" s="62">
        <f ca="1">AVERAGE(OFFSET($DS$3,0,0,'Données projet'!$E$14+1,1))-AVERAGE(OFFSET($H$3,0,0,'Données projet'!$E$14+1,1))</f>
        <v>446.48069057792151</v>
      </c>
      <c r="DU147" s="62">
        <f t="shared" si="152"/>
        <v>561.75656782935948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34.986677324716965</v>
      </c>
      <c r="EB147" s="23">
        <f>EXP(-LN(2)/25)*EB146+(1-EXP(-LN(2)/25))/(LN(2)/25)*Calculateur!DW147*Calculateur!DY147*VLOOKUP('Données projet'!$B$14,Paramètres!$A$1:$I$89,3,0)*0.475*44/12</f>
        <v>7.892412485818376</v>
      </c>
      <c r="EC147" s="23">
        <f>EXP(-LN(2)/2)*EC146+(1-EXP(-LN(2)/2))/(LN(2)/2)*DW147*DZ147*VLOOKUP('Données projet'!$B$14,Paramètres!$A$1:$I$89,3,0)*0.475*44/12</f>
        <v>3.0510175725393496E-11</v>
      </c>
      <c r="ED147" s="24">
        <f t="shared" si="126"/>
        <v>42.879089810565851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1.7053025658242404E-13</v>
      </c>
      <c r="EK147" s="18">
        <f>EJ147*VLOOKUP('Données projet'!$B$15,Paramètres!$A$1:$I$89,3,0)*VLOOKUP('Données projet'!$B$15,Paramètres!$A$1:$I$89,5,0)</f>
        <v>1.6493686416652052E-13</v>
      </c>
      <c r="EL147" s="14">
        <f t="shared" si="153"/>
        <v>2.3376205369651282E-12</v>
      </c>
      <c r="EM147" s="22">
        <f t="shared" si="127"/>
        <v>4.3586208069709543E-12</v>
      </c>
      <c r="EN147" s="62">
        <f t="shared" si="128"/>
        <v>293.33333333333769</v>
      </c>
      <c r="EO147" s="62">
        <f ca="1">AVERAGE(OFFSET($EN$3,0,0,'Données projet'!$E$15+1,1))-AVERAGE(OFFSET($H$3,0,0,'Données projet'!$E$15+1,1))</f>
        <v>301.18531163828169</v>
      </c>
      <c r="EP147" s="62">
        <f t="shared" si="154"/>
        <v>192.30530273268101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45.181282427644405</v>
      </c>
      <c r="EW147" s="23">
        <f>EXP(-LN(2)/25)*EW146+(1-EXP(-LN(2)/25))/(LN(2)/25)*Calculateur!ER147*Calculateur!ET147*VLOOKUP('Données projet'!$B$15,Paramètres!$A$1:$I$89,3,0)*0.475*44/12</f>
        <v>2.2968683242189458</v>
      </c>
      <c r="EX147" s="23">
        <f>EXP(-LN(2)/2)*EX146+(1-EXP(-LN(2)/2))/(LN(2)/2)*ER147*EU147*VLOOKUP('Données projet'!$B$15,Paramètres!$A$1:$I$89,3,0)*0.475*44/12</f>
        <v>1.4399368344021162E-11</v>
      </c>
      <c r="EY147" s="24">
        <f t="shared" si="129"/>
        <v>47.478150751877756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1.7053025658242404E-13</v>
      </c>
      <c r="FF147" s="18">
        <f>FE147*VLOOKUP('Données projet'!$B$16,Paramètres!$A$1:$I$89,3,0)*VLOOKUP('Données projet'!$B$16,Paramètres!$A$1:$I$89,5,0)</f>
        <v>1.3301360013429075E-13</v>
      </c>
      <c r="FG147" s="14">
        <f t="shared" si="155"/>
        <v>1.9329766731057041E-12</v>
      </c>
      <c r="FH147" s="22">
        <f t="shared" si="130"/>
        <v>3.5982663925596575E-12</v>
      </c>
      <c r="FI147" s="62">
        <f t="shared" si="131"/>
        <v>293.3333333333369</v>
      </c>
      <c r="FJ147" s="62">
        <f ca="1">AVERAGE(OFFSET($FI$3,0,0,'Données projet'!$E$16+1,1))-AVERAGE(OFFSET($H$3,0,0,'Données projet'!$E$16+1,1))</f>
        <v>249.2899297828755</v>
      </c>
      <c r="FK147" s="62">
        <f t="shared" si="156"/>
        <v>162.88011837476813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36.436518086810004</v>
      </c>
      <c r="FR147" s="23">
        <f>EXP(-LN(2)/25)*FR146+(1-EXP(-LN(2)/25))/(LN(2)/25)*Calculateur!FM147*Calculateur!FO147*VLOOKUP('Données projet'!$B$16,Paramètres!$A$1:$I$89,3,0)*0.475*44/12</f>
        <v>1.8523131646926951</v>
      </c>
      <c r="FS147" s="23">
        <f>EXP(-LN(2)/2)*FS146+(1-EXP(-LN(2)/2))/(LN(2)/2)*FM147*FP147*VLOOKUP('Données projet'!$B$16,Paramètres!$A$1:$I$89,3,0)*0.475*44/12</f>
        <v>1.1612393825823444E-11</v>
      </c>
      <c r="FT147" s="24">
        <f t="shared" si="132"/>
        <v>38.28883125151431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1.7053025658242404E-13</v>
      </c>
      <c r="GA147" s="18">
        <f>FZ147*VLOOKUP('Données projet'!$B$17,Paramètres!$A$1:$I$89,3,0)*VLOOKUP('Données projet'!$B$17,Paramètres!$A$1:$I$89,5,0)</f>
        <v>1.1439169611549005E-13</v>
      </c>
      <c r="GB147" s="14">
        <f t="shared" si="157"/>
        <v>1.6918016515029816E-12</v>
      </c>
      <c r="GC147" s="22">
        <f t="shared" si="133"/>
        <v>3.1457867471021712E-12</v>
      </c>
      <c r="GD147" s="62">
        <f t="shared" si="134"/>
        <v>293.33333333333644</v>
      </c>
      <c r="GE147" s="62">
        <f ca="1">AVERAGE(OFFSET($GD$3,0,0,'Données projet'!$E$17+1,1))-AVERAGE(OFFSET($H$3,0,0,'Données projet'!$E$17+1,1))</f>
        <v>218.89895999738746</v>
      </c>
      <c r="GF147" s="62">
        <f t="shared" si="158"/>
        <v>145.64042897395763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38.622709172018567</v>
      </c>
      <c r="GM147" s="23">
        <f>EXP(-LN(2)/25)*GM146+(1-EXP(-LN(2)/25))/(LN(2)/25)*Calculateur!GH147*Calculateur!GJ147*VLOOKUP('Données projet'!$B$17,Paramètres!$A$1:$I$89,3,0)*0.475*44/12</f>
        <v>1.9634519545742586</v>
      </c>
      <c r="GN147" s="23">
        <f>EXP(-LN(2)/2)*GN146+(1-EXP(-LN(2)/2))/(LN(2)/2)*GH147*GK147*VLOOKUP('Données projet'!$B$17,Paramètres!$A$1:$I$89,3,0)*0.475*44/12</f>
        <v>9.9866586902082263E-12</v>
      </c>
      <c r="GO147" s="23">
        <f t="shared" si="135"/>
        <v>40.586161126602811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1.7053025658242404E-13</v>
      </c>
      <c r="GV147" s="18">
        <f>GU147*VLOOKUP('Données projet'!$B$18,Paramètres!$A$1:$I$89,3,0)*VLOOKUP('Données projet'!$B$18,Paramètres!$A$1:$I$89,5,0)</f>
        <v>1.8355876818532125E-13</v>
      </c>
      <c r="GW147" s="14">
        <f t="shared" si="159"/>
        <v>2.5693529898865504E-12</v>
      </c>
      <c r="GX147" s="22">
        <f t="shared" si="136"/>
        <v>4.7946546453085093E-12</v>
      </c>
      <c r="GY147" s="62">
        <f t="shared" si="137"/>
        <v>293.33333333333809</v>
      </c>
      <c r="GZ147" s="62">
        <f ca="1">AVERAGE(OFFSET($GY$3,0,0,'Données projet'!$E$18+1,1))-AVERAGE(OFFSET($H$3,0,0,'Données projet'!$E$18+1,1))</f>
        <v>331.3579800635751</v>
      </c>
      <c r="HA147" s="62">
        <f t="shared" si="160"/>
        <v>209.40702003535273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50.282394959797777</v>
      </c>
      <c r="HH147" s="23">
        <f>EXP(-LN(2)/25)*HH146+(1-EXP(-LN(2)/25))/(LN(2)/25)*Calculateur!HC147*Calculateur!HE147*VLOOKUP('Données projet'!$B$18,Paramètres!$A$1:$I$89,3,0)*0.475*44/12</f>
        <v>2.5561921672759231</v>
      </c>
      <c r="HI147" s="23">
        <f>EXP(-LN(2)/2)*HI146+(1-EXP(-LN(2)/2))/(LN(2)/2)*HC147*HF147*VLOOKUP('Données projet'!$B$18,Paramètres!$A$1:$I$89,3,0)*0.475*44/12</f>
        <v>1.6025103479636357E-11</v>
      </c>
      <c r="HJ147" s="24">
        <f t="shared" si="138"/>
        <v>52.838587127089724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5.0022208597511053E-12</v>
      </c>
      <c r="O148" s="14">
        <f>N148*VLOOKUP('Données projet'!$B$9,Paramètres!$A$1:$I$89,3,0)*VLOOKUP('Données projet'!$B$9,Paramètres!$A$1:$I$89,5,0)</f>
        <v>4.5260094339028E-12</v>
      </c>
      <c r="P148" s="14">
        <f t="shared" si="141"/>
        <v>4.3625683148570328E-11</v>
      </c>
      <c r="Q148" s="22">
        <f t="shared" si="108"/>
        <v>8.3864197914474037E-11</v>
      </c>
      <c r="R148" s="62">
        <f t="shared" si="109"/>
        <v>293.33333333341716</v>
      </c>
      <c r="S148" s="62">
        <f ca="1">AVERAGE(OFFSET($R$3,0,0,'Données projet'!$E$9+1,1))-AVERAGE(OFFSET($H$3,0,0,'Données projet'!$E$9+1,1))</f>
        <v>2472.5049373954762</v>
      </c>
      <c r="T148" s="62">
        <f t="shared" si="142"/>
        <v>286.98388307318311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1577.451140078937</v>
      </c>
      <c r="AA148" s="23">
        <f>EXP(-LN(2)/25)*AA147+(1-EXP(-LN(2)/25))/(LN(2)/25)*Calculateur!V148*Calculateur!X148*VLOOKUP('Données projet'!$B$9,Paramètres!$A$1:$I$89,3,0)*0.475*44/12</f>
        <v>76.279531700447066</v>
      </c>
      <c r="AB148" s="23">
        <f>EXP(-LN(2)/2)*AB147+(1-EXP(-LN(2)/2))/(LN(2)/2)*V148*Y148*VLOOKUP('Données projet'!$B$9,Paramètres!$A$1:$I$89,3,0)*0.475*44/12</f>
        <v>36.490099193933503</v>
      </c>
      <c r="AC148" s="24">
        <f t="shared" si="111"/>
        <v>1690.2207709733175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5.0022208597511053E-12</v>
      </c>
      <c r="AJ148" s="14">
        <f>AI148*VLOOKUP('Données projet'!$B$10,Paramètres!$A$1:$I$89,3,0)*VLOOKUP('Données projet'!$B$10,Paramètres!$A$1:$I$89,5,0)</f>
        <v>5.0722519517876216E-12</v>
      </c>
      <c r="AK148" s="14">
        <f t="shared" si="143"/>
        <v>4.8246688221215311E-11</v>
      </c>
      <c r="AL148" s="22">
        <f t="shared" si="112"/>
        <v>9.2863820801313432E-11</v>
      </c>
      <c r="AM148" s="62">
        <f t="shared" si="113"/>
        <v>293.3333333334262</v>
      </c>
      <c r="AN148" s="62">
        <f ca="1">AVERAGE(OFFSET($AM$3,0,0,'Données projet'!$E$10+1,1))-AVERAGE(OFFSET($H$3,0,0,'Données projet'!$E$10+1,1))</f>
        <v>2761.1400657295467</v>
      </c>
      <c r="AO148" s="62">
        <f t="shared" si="144"/>
        <v>316.41877504316409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1767.8331742263949</v>
      </c>
      <c r="AV148" s="23">
        <f>EXP(-LN(2)/25)*AV147+(1-EXP(-LN(2)/25))/(LN(2)/25)*Calculateur!AQ148*Calculateur!AS148*VLOOKUP('Données projet'!$B$10,Paramètres!$A$1:$I$89,3,0)*0.475*44/12</f>
        <v>85.485682078087251</v>
      </c>
      <c r="AW148" s="23">
        <f>EXP(-LN(2)/2)*AW147+(1-EXP(-LN(2)/2))/(LN(2)/2)*AQ148*AT148*VLOOKUP('Données projet'!$B$10,Paramètres!$A$1:$I$89,3,0)*0.475*44/12</f>
        <v>40.894076682856515</v>
      </c>
      <c r="AX148" s="23">
        <f t="shared" si="114"/>
        <v>1894.2129329873387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5.0022208597511053E-12</v>
      </c>
      <c r="BE148" s="14">
        <f>BD148*VLOOKUP('Données projet'!$B$11,Paramètres!$A$1:$I$89,3,0)*VLOOKUP('Données projet'!$B$11,Paramètres!$A$1:$I$89,5,0)</f>
        <v>5.2283212426118558E-12</v>
      </c>
      <c r="BF148" s="14">
        <f t="shared" si="145"/>
        <v>4.9556081821365385E-11</v>
      </c>
      <c r="BG148" s="22">
        <f t="shared" si="115"/>
        <v>9.5416168669760364E-11</v>
      </c>
      <c r="BH148" s="62">
        <f t="shared" si="116"/>
        <v>293.33333333342875</v>
      </c>
      <c r="BI148" s="62">
        <f ca="1">AVERAGE(OFFSET($BH$3,0,0,'Données projet'!$E$11+1,1))-AVERAGE(OFFSET($H$3,0,0,'Données projet'!$E$11+1,1))</f>
        <v>2843.5086223152098</v>
      </c>
      <c r="BJ148" s="62">
        <f t="shared" si="146"/>
        <v>324.81562437645522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1822.2280411256684</v>
      </c>
      <c r="BQ148" s="23">
        <f>EXP(-LN(2)/25)*BQ147+(1-EXP(-LN(2)/25))/(LN(2)/25)*Calculateur!BL148*Calculateur!BN148*VLOOKUP('Données projet'!$B$11,Paramètres!$A$1:$I$89,3,0)*0.475*44/12</f>
        <v>88.116010757413008</v>
      </c>
      <c r="BR148" s="23">
        <f>EXP(-LN(2)/2)*BR147+(1-EXP(-LN(2)/2))/(LN(2)/2)*BL148*BO148*VLOOKUP('Données projet'!$B$11,Paramètres!$A$1:$I$89,3,0)*0.475*44/12</f>
        <v>42.152355965405938</v>
      </c>
      <c r="BS148" s="24">
        <f t="shared" si="117"/>
        <v>1952.4964078484873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5.0022208597511053E-12</v>
      </c>
      <c r="BZ148" s="14">
        <f>BY148*VLOOKUP('Données projet'!$B$12,Paramètres!$A$1:$I$89,3,0)*VLOOKUP('Données projet'!$B$12,Paramètres!$A$1:$I$89,5,0)</f>
        <v>4.9942173063755036E-12</v>
      </c>
      <c r="CA148" s="14">
        <f t="shared" si="147"/>
        <v>4.7590239529202817E-11</v>
      </c>
      <c r="CB148" s="22">
        <f t="shared" si="118"/>
        <v>9.1584595655298897E-11</v>
      </c>
      <c r="CC148" s="62">
        <f t="shared" si="119"/>
        <v>293.33333333342489</v>
      </c>
      <c r="CD148" s="62">
        <f ca="1">AVERAGE(OFFSET($CC$3,0,0,'Données projet'!$E$12+1,1))-AVERAGE(OFFSET($H$3,0,0,'Données projet'!$E$12+1,1))</f>
        <v>2719.939926994799</v>
      </c>
      <c r="CE148" s="62">
        <f t="shared" si="148"/>
        <v>312.21824046329749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1740.6357407767582</v>
      </c>
      <c r="CL148" s="23">
        <f>EXP(-LN(2)/25)*CL147+(1-EXP(-LN(2)/25))/(LN(2)/25)*Calculateur!CG148*Calculateur!CI148*VLOOKUP('Données projet'!$B$12,Paramètres!$A$1:$I$89,3,0)*0.475*44/12</f>
        <v>84.17051773842438</v>
      </c>
      <c r="CM148" s="23">
        <f>EXP(-LN(2)/2)*CM147+(1-EXP(-LN(2)/2))/(LN(2)/2)*CG148*CJ148*VLOOKUP('Données projet'!$B$12,Paramètres!$A$1:$I$89,3,0)*0.475*44/12</f>
        <v>40.264937041581788</v>
      </c>
      <c r="CN148" s="24">
        <f t="shared" si="120"/>
        <v>1865.0711955567645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1.1368683772161603E-12</v>
      </c>
      <c r="CU148" s="18">
        <f>CT148*VLOOKUP('Données projet'!$B$13,Paramètres!$A$1:$I$89,3,0)*VLOOKUP('Données projet'!$B$13,Paramètres!$A$1:$I$89,5,0)</f>
        <v>9.9316821433603771E-13</v>
      </c>
      <c r="CV148" s="14">
        <f t="shared" si="149"/>
        <v>1.1421454694498936E-11</v>
      </c>
      <c r="CW148" s="22">
        <f t="shared" si="121"/>
        <v>2.1622134899554243E-11</v>
      </c>
      <c r="CX148" s="62">
        <f t="shared" si="122"/>
        <v>293.33333333335491</v>
      </c>
      <c r="CY148" s="62">
        <f ca="1">AVERAGE(OFFSET($CX$3,0,0,'Données projet'!$E$13+1,1))-AVERAGE(OFFSET($H$3,0,0,'Données projet'!$E$13+1,1))</f>
        <v>1036.0130072090849</v>
      </c>
      <c r="CZ148" s="62">
        <f t="shared" si="150"/>
        <v>346.56593355696174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184.84685030839489</v>
      </c>
      <c r="DG148" s="23">
        <f>EXP(-LN(2)/25)*DG147+(1-EXP(-LN(2)/25))/(LN(2)/25)*Calculateur!DB148*Calculateur!DD148*VLOOKUP('Données projet'!$B$13,Paramètres!$A$1:$I$89,3,0)*0.475*44/12</f>
        <v>6.9804456517249509</v>
      </c>
      <c r="DH148" s="23">
        <f>EXP(-LN(2)/2)*DH147+(1-EXP(-LN(2)/2))/(LN(2)/2)*DB148*DE148*VLOOKUP('Données projet'!$B$13,Paramètres!$A$1:$I$89,3,0)*0.475*44/12</f>
        <v>1.4878992545337612E-8</v>
      </c>
      <c r="DI148" s="24">
        <f t="shared" si="123"/>
        <v>191.82729597499883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6.8212102632969618E-13</v>
      </c>
      <c r="DP148" s="18">
        <f>DO148*VLOOKUP('Données projet'!$B$14,Paramètres!$A$1:$I$89,3,0)*VLOOKUP('Données projet'!$B$14,Paramètres!$A$1:$I$89,5,0)</f>
        <v>3.8130565371830017E-13</v>
      </c>
      <c r="DQ148" s="14">
        <f t="shared" si="151"/>
        <v>4.9019074112354236E-12</v>
      </c>
      <c r="DR148" s="22">
        <f t="shared" si="124"/>
        <v>9.2015960881277352E-12</v>
      </c>
      <c r="DS148" s="62">
        <f t="shared" si="125"/>
        <v>293.33333333334252</v>
      </c>
      <c r="DT148" s="62">
        <f ca="1">AVERAGE(OFFSET($DS$3,0,0,'Données projet'!$E$14+1,1))-AVERAGE(OFFSET($H$3,0,0,'Données projet'!$E$14+1,1))</f>
        <v>446.48069057792151</v>
      </c>
      <c r="DU148" s="62">
        <f t="shared" si="152"/>
        <v>561.75656782935948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34.300609922145306</v>
      </c>
      <c r="EB148" s="23">
        <f>EXP(-LN(2)/25)*EB147+(1-EXP(-LN(2)/25))/(LN(2)/25)*Calculateur!DW148*Calculateur!DY148*VLOOKUP('Données projet'!$B$14,Paramètres!$A$1:$I$89,3,0)*0.475*44/12</f>
        <v>7.6765940513497384</v>
      </c>
      <c r="EC148" s="23">
        <f>EXP(-LN(2)/2)*EC147+(1-EXP(-LN(2)/2))/(LN(2)/2)*DW148*DZ148*VLOOKUP('Données projet'!$B$14,Paramètres!$A$1:$I$89,3,0)*0.475*44/12</f>
        <v>2.1573952150618933E-11</v>
      </c>
      <c r="ED148" s="24">
        <f t="shared" si="126"/>
        <v>41.977203973516616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1.7053025658242404E-13</v>
      </c>
      <c r="EK148" s="18">
        <f>EJ148*VLOOKUP('Données projet'!$B$15,Paramètres!$A$1:$I$89,3,0)*VLOOKUP('Données projet'!$B$15,Paramètres!$A$1:$I$89,5,0)</f>
        <v>1.6493686416652052E-13</v>
      </c>
      <c r="EL148" s="14">
        <f t="shared" si="153"/>
        <v>2.3376205369651282E-12</v>
      </c>
      <c r="EM148" s="22">
        <f t="shared" si="127"/>
        <v>4.3586208069709543E-12</v>
      </c>
      <c r="EN148" s="62">
        <f t="shared" si="128"/>
        <v>293.33333333333769</v>
      </c>
      <c r="EO148" s="62">
        <f ca="1">AVERAGE(OFFSET($EN$3,0,0,'Données projet'!$E$15+1,1))-AVERAGE(OFFSET($H$3,0,0,'Données projet'!$E$15+1,1))</f>
        <v>301.18531163828169</v>
      </c>
      <c r="EP148" s="62">
        <f t="shared" si="154"/>
        <v>192.30530273268101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44.295305037099467</v>
      </c>
      <c r="EW148" s="23">
        <f>EXP(-LN(2)/25)*EW147+(1-EXP(-LN(2)/25))/(LN(2)/25)*Calculateur!ER148*Calculateur!ET148*VLOOKUP('Données projet'!$B$15,Paramètres!$A$1:$I$89,3,0)*0.475*44/12</f>
        <v>2.2340603391061231</v>
      </c>
      <c r="EX148" s="23">
        <f>EXP(-LN(2)/2)*EX147+(1-EXP(-LN(2)/2))/(LN(2)/2)*ER148*EU148*VLOOKUP('Données projet'!$B$15,Paramètres!$A$1:$I$89,3,0)*0.475*44/12</f>
        <v>1.0181891000860271E-11</v>
      </c>
      <c r="EY148" s="24">
        <f t="shared" si="129"/>
        <v>46.529365376215772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1.7053025658242404E-13</v>
      </c>
      <c r="FF148" s="18">
        <f>FE148*VLOOKUP('Données projet'!$B$16,Paramètres!$A$1:$I$89,3,0)*VLOOKUP('Données projet'!$B$16,Paramètres!$A$1:$I$89,5,0)</f>
        <v>1.3301360013429075E-13</v>
      </c>
      <c r="FG148" s="14">
        <f t="shared" si="155"/>
        <v>1.9329766731057041E-12</v>
      </c>
      <c r="FH148" s="22">
        <f t="shared" si="130"/>
        <v>3.5982663925596575E-12</v>
      </c>
      <c r="FI148" s="62">
        <f t="shared" si="131"/>
        <v>293.3333333333369</v>
      </c>
      <c r="FJ148" s="62">
        <f ca="1">AVERAGE(OFFSET($FI$3,0,0,'Données projet'!$E$16+1,1))-AVERAGE(OFFSET($H$3,0,0,'Données projet'!$E$16+1,1))</f>
        <v>249.2899297828755</v>
      </c>
      <c r="FK148" s="62">
        <f t="shared" si="156"/>
        <v>162.88011837476813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35.722020191209246</v>
      </c>
      <c r="FR148" s="23">
        <f>EXP(-LN(2)/25)*FR147+(1-EXP(-LN(2)/25))/(LN(2)/25)*Calculateur!FM148*Calculateur!FO148*VLOOKUP('Données projet'!$B$16,Paramètres!$A$1:$I$89,3,0)*0.475*44/12</f>
        <v>1.8016615637952575</v>
      </c>
      <c r="FS148" s="23">
        <f>EXP(-LN(2)/2)*FS147+(1-EXP(-LN(2)/2))/(LN(2)/2)*FM148*FP148*VLOOKUP('Données projet'!$B$16,Paramètres!$A$1:$I$89,3,0)*0.475*44/12</f>
        <v>8.2112024200485536E-12</v>
      </c>
      <c r="FT148" s="24">
        <f t="shared" si="132"/>
        <v>37.523681755012717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1.7053025658242404E-13</v>
      </c>
      <c r="GA148" s="18">
        <f>FZ148*VLOOKUP('Données projet'!$B$17,Paramètres!$A$1:$I$89,3,0)*VLOOKUP('Données projet'!$B$17,Paramètres!$A$1:$I$89,5,0)</f>
        <v>1.1439169611549005E-13</v>
      </c>
      <c r="GB148" s="14">
        <f t="shared" si="157"/>
        <v>1.6918016515029816E-12</v>
      </c>
      <c r="GC148" s="22">
        <f t="shared" si="133"/>
        <v>3.1457867471021712E-12</v>
      </c>
      <c r="GD148" s="62">
        <f t="shared" si="134"/>
        <v>293.33333333333644</v>
      </c>
      <c r="GE148" s="62">
        <f ca="1">AVERAGE(OFFSET($GD$3,0,0,'Données projet'!$E$17+1,1))-AVERAGE(OFFSET($H$3,0,0,'Données projet'!$E$17+1,1))</f>
        <v>218.89895999738746</v>
      </c>
      <c r="GF148" s="62">
        <f t="shared" si="158"/>
        <v>145.64042897395763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37.865341402681764</v>
      </c>
      <c r="GM148" s="23">
        <f>EXP(-LN(2)/25)*GM147+(1-EXP(-LN(2)/25))/(LN(2)/25)*Calculateur!GH148*Calculateur!GJ148*VLOOKUP('Données projet'!$B$17,Paramètres!$A$1:$I$89,3,0)*0.475*44/12</f>
        <v>1.9097612576229748</v>
      </c>
      <c r="GN148" s="23">
        <f>EXP(-LN(2)/2)*GN147+(1-EXP(-LN(2)/2))/(LN(2)/2)*GH148*GK148*VLOOKUP('Données projet'!$B$17,Paramètres!$A$1:$I$89,3,0)*0.475*44/12</f>
        <v>7.0616340812418023E-12</v>
      </c>
      <c r="GO148" s="23">
        <f t="shared" si="135"/>
        <v>39.775102660311802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1.7053025658242404E-13</v>
      </c>
      <c r="GV148" s="18">
        <f>GU148*VLOOKUP('Données projet'!$B$18,Paramètres!$A$1:$I$89,3,0)*VLOOKUP('Données projet'!$B$18,Paramètres!$A$1:$I$89,5,0)</f>
        <v>1.8355876818532125E-13</v>
      </c>
      <c r="GW148" s="14">
        <f t="shared" si="159"/>
        <v>2.5693529898865504E-12</v>
      </c>
      <c r="GX148" s="22">
        <f t="shared" si="136"/>
        <v>4.7946546453085093E-12</v>
      </c>
      <c r="GY148" s="62">
        <f t="shared" si="137"/>
        <v>293.33333333333809</v>
      </c>
      <c r="GZ148" s="62">
        <f ca="1">AVERAGE(OFFSET($GY$3,0,0,'Données projet'!$E$18+1,1))-AVERAGE(OFFSET($H$3,0,0,'Données projet'!$E$18+1,1))</f>
        <v>331.3579800635751</v>
      </c>
      <c r="HA148" s="62">
        <f t="shared" si="160"/>
        <v>209.40702003535273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49.296387863868731</v>
      </c>
      <c r="HH148" s="23">
        <f>EXP(-LN(2)/25)*HH147+(1-EXP(-LN(2)/25))/(LN(2)/25)*Calculateur!HC148*Calculateur!HE148*VLOOKUP('Données projet'!$B$18,Paramètres!$A$1:$I$89,3,0)*0.475*44/12</f>
        <v>2.4862929580374593</v>
      </c>
      <c r="HI148" s="23">
        <f>EXP(-LN(2)/2)*HI147+(1-EXP(-LN(2)/2))/(LN(2)/2)*HC148*HF148*VLOOKUP('Données projet'!$B$18,Paramètres!$A$1:$I$89,3,0)*0.475*44/12</f>
        <v>1.1331459339667007E-11</v>
      </c>
      <c r="HJ148" s="24">
        <f t="shared" si="138"/>
        <v>51.782680821917523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5.0022208597511053E-12</v>
      </c>
      <c r="O149" s="14">
        <f>N149*VLOOKUP('Données projet'!$B$9,Paramètres!$A$1:$I$89,3,0)*VLOOKUP('Données projet'!$B$9,Paramètres!$A$1:$I$89,5,0)</f>
        <v>4.5260094339028E-12</v>
      </c>
      <c r="P149" s="14">
        <f t="shared" si="141"/>
        <v>4.3625683148570328E-11</v>
      </c>
      <c r="Q149" s="22">
        <f t="shared" si="108"/>
        <v>8.3864197914474037E-11</v>
      </c>
      <c r="R149" s="62">
        <f t="shared" si="109"/>
        <v>293.33333333341716</v>
      </c>
      <c r="S149" s="62">
        <f ca="1">AVERAGE(OFFSET($R$3,0,0,'Données projet'!$E$9+1,1))-AVERAGE(OFFSET($H$3,0,0,'Données projet'!$E$9+1,1))</f>
        <v>2472.5049373954762</v>
      </c>
      <c r="T149" s="62">
        <f t="shared" si="142"/>
        <v>286.98388307318311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1546.5182853721801</v>
      </c>
      <c r="AA149" s="23">
        <f>EXP(-LN(2)/25)*AA148+(1-EXP(-LN(2)/25))/(LN(2)/25)*Calculateur!V149*Calculateur!X149*VLOOKUP('Données projet'!$B$9,Paramètres!$A$1:$I$89,3,0)*0.475*44/12</f>
        <v>74.193663894732111</v>
      </c>
      <c r="AB149" s="23">
        <f>EXP(-LN(2)/2)*AB148+(1-EXP(-LN(2)/2))/(LN(2)/2)*V149*Y149*VLOOKUP('Données projet'!$B$9,Paramètres!$A$1:$I$89,3,0)*0.475*44/12</f>
        <v>25.802396586200153</v>
      </c>
      <c r="AC149" s="24">
        <f t="shared" si="111"/>
        <v>1646.5143458531122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5.0022208597511053E-12</v>
      </c>
      <c r="AJ149" s="14">
        <f>AI149*VLOOKUP('Données projet'!$B$10,Paramètres!$A$1:$I$89,3,0)*VLOOKUP('Données projet'!$B$10,Paramètres!$A$1:$I$89,5,0)</f>
        <v>5.0722519517876216E-12</v>
      </c>
      <c r="AK149" s="14">
        <f t="shared" si="143"/>
        <v>4.8246688221215311E-11</v>
      </c>
      <c r="AL149" s="22">
        <f t="shared" si="112"/>
        <v>9.2863820801313432E-11</v>
      </c>
      <c r="AM149" s="62">
        <f t="shared" si="113"/>
        <v>293.3333333334262</v>
      </c>
      <c r="AN149" s="62">
        <f ca="1">AVERAGE(OFFSET($AM$3,0,0,'Données projet'!$E$10+1,1))-AVERAGE(OFFSET($H$3,0,0,'Données projet'!$E$10+1,1))</f>
        <v>2761.1400657295467</v>
      </c>
      <c r="AO149" s="62">
        <f t="shared" si="144"/>
        <v>316.41877504316409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1733.167043951581</v>
      </c>
      <c r="AV149" s="23">
        <f>EXP(-LN(2)/25)*AV148+(1-EXP(-LN(2)/25))/(LN(2)/25)*Calculateur!AQ149*Calculateur!AS149*VLOOKUP('Données projet'!$B$10,Paramètres!$A$1:$I$89,3,0)*0.475*44/12</f>
        <v>83.148071606165317</v>
      </c>
      <c r="AW149" s="23">
        <f>EXP(-LN(2)/2)*AW148+(1-EXP(-LN(2)/2))/(LN(2)/2)*AQ149*AT149*VLOOKUP('Données projet'!$B$10,Paramètres!$A$1:$I$89,3,0)*0.475*44/12</f>
        <v>28.91647893281052</v>
      </c>
      <c r="AX149" s="23">
        <f t="shared" si="114"/>
        <v>1845.231594490557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5.0022208597511053E-12</v>
      </c>
      <c r="BE149" s="14">
        <f>BD149*VLOOKUP('Données projet'!$B$11,Paramètres!$A$1:$I$89,3,0)*VLOOKUP('Données projet'!$B$11,Paramètres!$A$1:$I$89,5,0)</f>
        <v>5.2283212426118558E-12</v>
      </c>
      <c r="BF149" s="14">
        <f t="shared" si="145"/>
        <v>4.9556081821365385E-11</v>
      </c>
      <c r="BG149" s="22">
        <f t="shared" si="115"/>
        <v>9.5416168669760364E-11</v>
      </c>
      <c r="BH149" s="62">
        <f t="shared" si="116"/>
        <v>293.33333333342875</v>
      </c>
      <c r="BI149" s="62">
        <f ca="1">AVERAGE(OFFSET($BH$3,0,0,'Données projet'!$E$11+1,1))-AVERAGE(OFFSET($H$3,0,0,'Données projet'!$E$11+1,1))</f>
        <v>2843.5086223152098</v>
      </c>
      <c r="BJ149" s="62">
        <f t="shared" si="146"/>
        <v>324.81562437645522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1786.4952606885527</v>
      </c>
      <c r="BQ149" s="23">
        <f>EXP(-LN(2)/25)*BQ148+(1-EXP(-LN(2)/25))/(LN(2)/25)*Calculateur!BL149*Calculateur!BN149*VLOOKUP('Données projet'!$B$11,Paramètres!$A$1:$I$89,3,0)*0.475*44/12</f>
        <v>85.706473809431941</v>
      </c>
      <c r="BR149" s="23">
        <f>EXP(-LN(2)/2)*BR148+(1-EXP(-LN(2)/2))/(LN(2)/2)*BL149*BO149*VLOOKUP('Données projet'!$B$11,Paramètres!$A$1:$I$89,3,0)*0.475*44/12</f>
        <v>29.80621674612776</v>
      </c>
      <c r="BS149" s="24">
        <f t="shared" si="117"/>
        <v>1902.0079512441123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5.0022208597511053E-12</v>
      </c>
      <c r="BZ149" s="14">
        <f>BY149*VLOOKUP('Données projet'!$B$12,Paramètres!$A$1:$I$89,3,0)*VLOOKUP('Données projet'!$B$12,Paramètres!$A$1:$I$89,5,0)</f>
        <v>4.9942173063755036E-12</v>
      </c>
      <c r="CA149" s="14">
        <f t="shared" si="147"/>
        <v>4.7590239529202817E-11</v>
      </c>
      <c r="CB149" s="22">
        <f t="shared" si="118"/>
        <v>9.1584595655298897E-11</v>
      </c>
      <c r="CC149" s="62">
        <f t="shared" si="119"/>
        <v>293.33333333342489</v>
      </c>
      <c r="CD149" s="62">
        <f ca="1">AVERAGE(OFFSET($CC$3,0,0,'Données projet'!$E$12+1,1))-AVERAGE(OFFSET($H$3,0,0,'Données projet'!$E$12+1,1))</f>
        <v>2719.939926994799</v>
      </c>
      <c r="CE149" s="62">
        <f t="shared" si="148"/>
        <v>312.21824046329749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1706.5029355830955</v>
      </c>
      <c r="CL149" s="23">
        <f>EXP(-LN(2)/25)*CL148+(1-EXP(-LN(2)/25))/(LN(2)/25)*Calculateur!CG149*Calculateur!CI149*VLOOKUP('Données projet'!$B$12,Paramètres!$A$1:$I$89,3,0)*0.475*44/12</f>
        <v>81.868870504532012</v>
      </c>
      <c r="CM149" s="23">
        <f>EXP(-LN(2)/2)*CM148+(1-EXP(-LN(2)/2))/(LN(2)/2)*CG149*CJ149*VLOOKUP('Données projet'!$B$12,Paramètres!$A$1:$I$89,3,0)*0.475*44/12</f>
        <v>28.471610026151886</v>
      </c>
      <c r="CN149" s="24">
        <f t="shared" si="120"/>
        <v>1816.8434161137793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1.1368683772161603E-12</v>
      </c>
      <c r="CU149" s="18">
        <f>CT149*VLOOKUP('Données projet'!$B$13,Paramètres!$A$1:$I$89,3,0)*VLOOKUP('Données projet'!$B$13,Paramètres!$A$1:$I$89,5,0)</f>
        <v>9.9316821433603771E-13</v>
      </c>
      <c r="CV149" s="14">
        <f t="shared" si="149"/>
        <v>1.1421454694498936E-11</v>
      </c>
      <c r="CW149" s="22">
        <f t="shared" si="121"/>
        <v>2.1622134899554243E-11</v>
      </c>
      <c r="CX149" s="62">
        <f t="shared" si="122"/>
        <v>293.33333333335491</v>
      </c>
      <c r="CY149" s="62">
        <f ca="1">AVERAGE(OFFSET($CX$3,0,0,'Données projet'!$E$13+1,1))-AVERAGE(OFFSET($H$3,0,0,'Données projet'!$E$13+1,1))</f>
        <v>1036.0130072090849</v>
      </c>
      <c r="CZ149" s="62">
        <f t="shared" si="150"/>
        <v>346.56593355696174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181.22211631929326</v>
      </c>
      <c r="DG149" s="23">
        <f>EXP(-LN(2)/25)*DG148+(1-EXP(-LN(2)/25))/(LN(2)/25)*Calculateur!DB149*Calculateur!DD149*VLOOKUP('Données projet'!$B$13,Paramètres!$A$1:$I$89,3,0)*0.475*44/12</f>
        <v>6.7895649982928497</v>
      </c>
      <c r="DH149" s="23">
        <f>EXP(-LN(2)/2)*DH148+(1-EXP(-LN(2)/2))/(LN(2)/2)*DB149*DE149*VLOOKUP('Données projet'!$B$13,Paramètres!$A$1:$I$89,3,0)*0.475*44/12</f>
        <v>1.0521036526032316E-8</v>
      </c>
      <c r="DI149" s="24">
        <f t="shared" si="123"/>
        <v>188.01168132810716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6.8212102632969618E-13</v>
      </c>
      <c r="DP149" s="18">
        <f>DO149*VLOOKUP('Données projet'!$B$14,Paramètres!$A$1:$I$89,3,0)*VLOOKUP('Données projet'!$B$14,Paramètres!$A$1:$I$89,5,0)</f>
        <v>3.8130565371830017E-13</v>
      </c>
      <c r="DQ149" s="14">
        <f t="shared" si="151"/>
        <v>4.9019074112354236E-12</v>
      </c>
      <c r="DR149" s="22">
        <f t="shared" si="124"/>
        <v>9.2015960881277352E-12</v>
      </c>
      <c r="DS149" s="62">
        <f t="shared" si="125"/>
        <v>293.33333333334252</v>
      </c>
      <c r="DT149" s="62">
        <f ca="1">AVERAGE(OFFSET($DS$3,0,0,'Données projet'!$E$14+1,1))-AVERAGE(OFFSET($H$3,0,0,'Données projet'!$E$14+1,1))</f>
        <v>446.48069057792151</v>
      </c>
      <c r="DU149" s="62">
        <f t="shared" si="152"/>
        <v>561.75656782935948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33.627995882878281</v>
      </c>
      <c r="EB149" s="23">
        <f>EXP(-LN(2)/25)*EB148+(1-EXP(-LN(2)/25))/(LN(2)/25)*Calculateur!DW149*Calculateur!DY149*VLOOKUP('Données projet'!$B$14,Paramètres!$A$1:$I$89,3,0)*0.475*44/12</f>
        <v>7.4666771833210435</v>
      </c>
      <c r="EC149" s="23">
        <f>EXP(-LN(2)/2)*EC148+(1-EXP(-LN(2)/2))/(LN(2)/2)*DW149*DZ149*VLOOKUP('Données projet'!$B$14,Paramètres!$A$1:$I$89,3,0)*0.475*44/12</f>
        <v>1.5255087862696748E-11</v>
      </c>
      <c r="ED149" s="24">
        <f t="shared" si="126"/>
        <v>41.094673066214582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1.7053025658242404E-13</v>
      </c>
      <c r="EK149" s="18">
        <f>EJ149*VLOOKUP('Données projet'!$B$15,Paramètres!$A$1:$I$89,3,0)*VLOOKUP('Données projet'!$B$15,Paramètres!$A$1:$I$89,5,0)</f>
        <v>1.6493686416652052E-13</v>
      </c>
      <c r="EL149" s="14">
        <f t="shared" si="153"/>
        <v>2.3376205369651282E-12</v>
      </c>
      <c r="EM149" s="22">
        <f t="shared" si="127"/>
        <v>4.3586208069709543E-12</v>
      </c>
      <c r="EN149" s="62">
        <f t="shared" si="128"/>
        <v>293.33333333333769</v>
      </c>
      <c r="EO149" s="62">
        <f ca="1">AVERAGE(OFFSET($EN$3,0,0,'Données projet'!$E$15+1,1))-AVERAGE(OFFSET($H$3,0,0,'Données projet'!$E$15+1,1))</f>
        <v>301.18531163828169</v>
      </c>
      <c r="EP149" s="62">
        <f t="shared" si="154"/>
        <v>192.30530273268101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43.426701122790263</v>
      </c>
      <c r="EW149" s="23">
        <f>EXP(-LN(2)/25)*EW148+(1-EXP(-LN(2)/25))/(LN(2)/25)*Calculateur!ER149*Calculateur!ET149*VLOOKUP('Données projet'!$B$15,Paramètres!$A$1:$I$89,3,0)*0.475*44/12</f>
        <v>2.172969841649139</v>
      </c>
      <c r="EX149" s="23">
        <f>EXP(-LN(2)/2)*EX148+(1-EXP(-LN(2)/2))/(LN(2)/2)*ER149*EU149*VLOOKUP('Données projet'!$B$15,Paramètres!$A$1:$I$89,3,0)*0.475*44/12</f>
        <v>7.1996841720105816E-12</v>
      </c>
      <c r="EY149" s="24">
        <f t="shared" si="129"/>
        <v>45.599670964446602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1.7053025658242404E-13</v>
      </c>
      <c r="FF149" s="18">
        <f>FE149*VLOOKUP('Données projet'!$B$16,Paramètres!$A$1:$I$89,3,0)*VLOOKUP('Données projet'!$B$16,Paramètres!$A$1:$I$89,5,0)</f>
        <v>1.3301360013429075E-13</v>
      </c>
      <c r="FG149" s="14">
        <f t="shared" si="155"/>
        <v>1.9329766731057041E-12</v>
      </c>
      <c r="FH149" s="22">
        <f t="shared" si="130"/>
        <v>3.5982663925596575E-12</v>
      </c>
      <c r="FI149" s="62">
        <f t="shared" si="131"/>
        <v>293.3333333333369</v>
      </c>
      <c r="FJ149" s="62">
        <f ca="1">AVERAGE(OFFSET($FI$3,0,0,'Données projet'!$E$16+1,1))-AVERAGE(OFFSET($H$3,0,0,'Données projet'!$E$16+1,1))</f>
        <v>249.2899297828755</v>
      </c>
      <c r="FK149" s="62">
        <f t="shared" si="156"/>
        <v>162.88011837476813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35.021533163540539</v>
      </c>
      <c r="FR149" s="23">
        <f>EXP(-LN(2)/25)*FR148+(1-EXP(-LN(2)/25))/(LN(2)/25)*Calculateur!FM149*Calculateur!FO149*VLOOKUP('Données projet'!$B$16,Paramètres!$A$1:$I$89,3,0)*0.475*44/12</f>
        <v>1.7523950335880123</v>
      </c>
      <c r="FS149" s="23">
        <f>EXP(-LN(2)/2)*FS148+(1-EXP(-LN(2)/2))/(LN(2)/2)*FM149*FP149*VLOOKUP('Données projet'!$B$16,Paramètres!$A$1:$I$89,3,0)*0.475*44/12</f>
        <v>5.8061969129117222E-12</v>
      </c>
      <c r="FT149" s="24">
        <f t="shared" si="132"/>
        <v>36.77392819713436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1.7053025658242404E-13</v>
      </c>
      <c r="GA149" s="18">
        <f>FZ149*VLOOKUP('Données projet'!$B$17,Paramètres!$A$1:$I$89,3,0)*VLOOKUP('Données projet'!$B$17,Paramètres!$A$1:$I$89,5,0)</f>
        <v>1.1439169611549005E-13</v>
      </c>
      <c r="GB149" s="14">
        <f t="shared" si="157"/>
        <v>1.6918016515029816E-12</v>
      </c>
      <c r="GC149" s="22">
        <f t="shared" si="133"/>
        <v>3.1457867471021712E-12</v>
      </c>
      <c r="GD149" s="62">
        <f t="shared" si="134"/>
        <v>293.33333333333644</v>
      </c>
      <c r="GE149" s="62">
        <f ca="1">AVERAGE(OFFSET($GD$3,0,0,'Données projet'!$E$17+1,1))-AVERAGE(OFFSET($H$3,0,0,'Données projet'!$E$17+1,1))</f>
        <v>218.89895999738746</v>
      </c>
      <c r="GF149" s="62">
        <f t="shared" si="158"/>
        <v>145.64042897395763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37.122825153352935</v>
      </c>
      <c r="GM149" s="23">
        <f>EXP(-LN(2)/25)*GM148+(1-EXP(-LN(2)/25))/(LN(2)/25)*Calculateur!GH149*Calculateur!GJ149*VLOOKUP('Données projet'!$B$17,Paramètres!$A$1:$I$89,3,0)*0.475*44/12</f>
        <v>1.8575387356032949</v>
      </c>
      <c r="GN149" s="23">
        <f>EXP(-LN(2)/2)*GN148+(1-EXP(-LN(2)/2))/(LN(2)/2)*GH149*GK149*VLOOKUP('Données projet'!$B$17,Paramètres!$A$1:$I$89,3,0)*0.475*44/12</f>
        <v>4.993329345104114E-12</v>
      </c>
      <c r="GO149" s="23">
        <f t="shared" si="135"/>
        <v>38.980363888961222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1.7053025658242404E-13</v>
      </c>
      <c r="GV149" s="18">
        <f>GU149*VLOOKUP('Données projet'!$B$18,Paramètres!$A$1:$I$89,3,0)*VLOOKUP('Données projet'!$B$18,Paramètres!$A$1:$I$89,5,0)</f>
        <v>1.8355876818532125E-13</v>
      </c>
      <c r="GW149" s="14">
        <f t="shared" si="159"/>
        <v>2.5693529898865504E-12</v>
      </c>
      <c r="GX149" s="22">
        <f t="shared" si="136"/>
        <v>4.7946546453085093E-12</v>
      </c>
      <c r="GY149" s="62">
        <f t="shared" si="137"/>
        <v>293.33333333333809</v>
      </c>
      <c r="GZ149" s="62">
        <f ca="1">AVERAGE(OFFSET($GY$3,0,0,'Données projet'!$E$18+1,1))-AVERAGE(OFFSET($H$3,0,0,'Données projet'!$E$18+1,1))</f>
        <v>331.3579800635751</v>
      </c>
      <c r="HA149" s="62">
        <f t="shared" si="160"/>
        <v>209.40702003535273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48.329715765685911</v>
      </c>
      <c r="HH149" s="23">
        <f>EXP(-LN(2)/25)*HH148+(1-EXP(-LN(2)/25))/(LN(2)/25)*Calculateur!HC149*Calculateur!HE149*VLOOKUP('Données projet'!$B$18,Paramètres!$A$1:$I$89,3,0)*0.475*44/12</f>
        <v>2.4183051463514609</v>
      </c>
      <c r="HI149" s="23">
        <f>EXP(-LN(2)/2)*HI148+(1-EXP(-LN(2)/2))/(LN(2)/2)*HC149*HF149*VLOOKUP('Données projet'!$B$18,Paramètres!$A$1:$I$89,3,0)*0.475*44/12</f>
        <v>8.0125517398181785E-12</v>
      </c>
      <c r="HJ149" s="24">
        <f t="shared" si="138"/>
        <v>50.748020912045391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5.0022208597511053E-12</v>
      </c>
      <c r="O150" s="14">
        <f>N150*VLOOKUP('Données projet'!$B$9,Paramètres!$A$1:$I$89,3,0)*VLOOKUP('Données projet'!$B$9,Paramètres!$A$1:$I$89,5,0)</f>
        <v>4.5260094339028E-12</v>
      </c>
      <c r="P150" s="14">
        <f t="shared" si="141"/>
        <v>4.3625683148570328E-11</v>
      </c>
      <c r="Q150" s="22">
        <f t="shared" si="108"/>
        <v>8.3864197914474037E-11</v>
      </c>
      <c r="R150" s="62">
        <f t="shared" si="109"/>
        <v>293.33333333341716</v>
      </c>
      <c r="S150" s="62">
        <f ca="1">AVERAGE(OFFSET($R$3,0,0,'Données projet'!$E$9+1,1))-AVERAGE(OFFSET($H$3,0,0,'Données projet'!$E$9+1,1))</f>
        <v>2472.5049373954762</v>
      </c>
      <c r="T150" s="62">
        <f t="shared" si="142"/>
        <v>286.98388307318311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1516.1920050790443</v>
      </c>
      <c r="AA150" s="23">
        <f>EXP(-LN(2)/25)*AA149+(1-EXP(-LN(2)/25))/(LN(2)/25)*Calculateur!V150*Calculateur!X150*VLOOKUP('Données projet'!$B$9,Paramètres!$A$1:$I$89,3,0)*0.475*44/12</f>
        <v>72.164834253855446</v>
      </c>
      <c r="AB150" s="23">
        <f>EXP(-LN(2)/2)*AB149+(1-EXP(-LN(2)/2))/(LN(2)/2)*V150*Y150*VLOOKUP('Données projet'!$B$9,Paramètres!$A$1:$I$89,3,0)*0.475*44/12</f>
        <v>18.245049596966755</v>
      </c>
      <c r="AC150" s="24">
        <f t="shared" si="111"/>
        <v>1606.6018889298664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5.0022208597511053E-12</v>
      </c>
      <c r="AJ150" s="14">
        <f>AI150*VLOOKUP('Données projet'!$B$10,Paramètres!$A$1:$I$89,3,0)*VLOOKUP('Données projet'!$B$10,Paramètres!$A$1:$I$89,5,0)</f>
        <v>5.0722519517876216E-12</v>
      </c>
      <c r="AK150" s="14">
        <f t="shared" si="143"/>
        <v>4.8246688221215311E-11</v>
      </c>
      <c r="AL150" s="22">
        <f t="shared" si="112"/>
        <v>9.2863820801313432E-11</v>
      </c>
      <c r="AM150" s="62">
        <f t="shared" si="113"/>
        <v>293.3333333334262</v>
      </c>
      <c r="AN150" s="62">
        <f ca="1">AVERAGE(OFFSET($AM$3,0,0,'Données projet'!$E$10+1,1))-AVERAGE(OFFSET($H$3,0,0,'Données projet'!$E$10+1,1))</f>
        <v>2761.1400657295467</v>
      </c>
      <c r="AO150" s="62">
        <f t="shared" si="144"/>
        <v>316.41877504316409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1699.1806953472046</v>
      </c>
      <c r="AV150" s="23">
        <f>EXP(-LN(2)/25)*AV149+(1-EXP(-LN(2)/25))/(LN(2)/25)*Calculateur!AQ150*Calculateur!AS150*VLOOKUP('Données projet'!$B$10,Paramètres!$A$1:$I$89,3,0)*0.475*44/12</f>
        <v>80.874383215527672</v>
      </c>
      <c r="AW150" s="23">
        <f>EXP(-LN(2)/2)*AW149+(1-EXP(-LN(2)/2))/(LN(2)/2)*AQ150*AT150*VLOOKUP('Données projet'!$B$10,Paramètres!$A$1:$I$89,3,0)*0.475*44/12</f>
        <v>20.447038341428261</v>
      </c>
      <c r="AX150" s="23">
        <f t="shared" si="114"/>
        <v>1800.5021169041604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5.0022208597511053E-12</v>
      </c>
      <c r="BE150" s="14">
        <f>BD150*VLOOKUP('Données projet'!$B$11,Paramètres!$A$1:$I$89,3,0)*VLOOKUP('Données projet'!$B$11,Paramètres!$A$1:$I$89,5,0)</f>
        <v>5.2283212426118558E-12</v>
      </c>
      <c r="BF150" s="14">
        <f t="shared" si="145"/>
        <v>4.9556081821365385E-11</v>
      </c>
      <c r="BG150" s="22">
        <f t="shared" si="115"/>
        <v>9.5416168669760364E-11</v>
      </c>
      <c r="BH150" s="62">
        <f t="shared" si="116"/>
        <v>293.33333333342875</v>
      </c>
      <c r="BI150" s="62">
        <f ca="1">AVERAGE(OFFSET($BH$3,0,0,'Données projet'!$E$11+1,1))-AVERAGE(OFFSET($H$3,0,0,'Données projet'!$E$11+1,1))</f>
        <v>2843.5086223152098</v>
      </c>
      <c r="BJ150" s="62">
        <f t="shared" si="146"/>
        <v>324.81562437645522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1751.4631782809647</v>
      </c>
      <c r="BQ150" s="23">
        <f>EXP(-LN(2)/25)*BQ149+(1-EXP(-LN(2)/25))/(LN(2)/25)*Calculateur!BL150*Calculateur!BN150*VLOOKUP('Données projet'!$B$11,Paramètres!$A$1:$I$89,3,0)*0.475*44/12</f>
        <v>83.362825776005451</v>
      </c>
      <c r="BR150" s="23">
        <f>EXP(-LN(2)/2)*BR149+(1-EXP(-LN(2)/2))/(LN(2)/2)*BL150*BO150*VLOOKUP('Données projet'!$B$11,Paramètres!$A$1:$I$89,3,0)*0.475*44/12</f>
        <v>21.076177982702973</v>
      </c>
      <c r="BS150" s="24">
        <f t="shared" si="117"/>
        <v>1855.9021820396731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5.0022208597511053E-12</v>
      </c>
      <c r="BZ150" s="14">
        <f>BY150*VLOOKUP('Données projet'!$B$12,Paramètres!$A$1:$I$89,3,0)*VLOOKUP('Données projet'!$B$12,Paramètres!$A$1:$I$89,5,0)</f>
        <v>4.9942173063755036E-12</v>
      </c>
      <c r="CA150" s="14">
        <f t="shared" si="147"/>
        <v>4.7590239529202817E-11</v>
      </c>
      <c r="CB150" s="22">
        <f t="shared" si="118"/>
        <v>9.1584595655298897E-11</v>
      </c>
      <c r="CC150" s="62">
        <f t="shared" si="119"/>
        <v>293.33333333342489</v>
      </c>
      <c r="CD150" s="62">
        <f ca="1">AVERAGE(OFFSET($CC$3,0,0,'Données projet'!$E$12+1,1))-AVERAGE(OFFSET($H$3,0,0,'Données projet'!$E$12+1,1))</f>
        <v>2719.939926994799</v>
      </c>
      <c r="CE150" s="62">
        <f t="shared" si="148"/>
        <v>312.21824046329749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1673.0394538803248</v>
      </c>
      <c r="CL150" s="23">
        <f>EXP(-LN(2)/25)*CL149+(1-EXP(-LN(2)/25))/(LN(2)/25)*Calculateur!CG150*Calculateur!CI150*VLOOKUP('Données projet'!$B$12,Paramètres!$A$1:$I$89,3,0)*0.475*44/12</f>
        <v>79.630161935288797</v>
      </c>
      <c r="CM150" s="23">
        <f>EXP(-LN(2)/2)*CM149+(1-EXP(-LN(2)/2))/(LN(2)/2)*CG150*CJ150*VLOOKUP('Données projet'!$B$12,Paramètres!$A$1:$I$89,3,0)*0.475*44/12</f>
        <v>20.132468520790894</v>
      </c>
      <c r="CN150" s="24">
        <f t="shared" si="120"/>
        <v>1772.8020843364043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1.1368683772161603E-12</v>
      </c>
      <c r="CU150" s="18">
        <f>CT150*VLOOKUP('Données projet'!$B$13,Paramètres!$A$1:$I$89,3,0)*VLOOKUP('Données projet'!$B$13,Paramètres!$A$1:$I$89,5,0)</f>
        <v>9.9316821433603771E-13</v>
      </c>
      <c r="CV150" s="14">
        <f t="shared" si="149"/>
        <v>1.1421454694498936E-11</v>
      </c>
      <c r="CW150" s="22">
        <f t="shared" si="121"/>
        <v>2.1622134899554243E-11</v>
      </c>
      <c r="CX150" s="62">
        <f t="shared" si="122"/>
        <v>293.33333333335491</v>
      </c>
      <c r="CY150" s="62">
        <f ca="1">AVERAGE(OFFSET($CX$3,0,0,'Données projet'!$E$13+1,1))-AVERAGE(OFFSET($H$3,0,0,'Données projet'!$E$13+1,1))</f>
        <v>1036.0130072090849</v>
      </c>
      <c r="CZ150" s="62">
        <f t="shared" si="150"/>
        <v>346.56593355696174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177.66846115284849</v>
      </c>
      <c r="DG150" s="23">
        <f>EXP(-LN(2)/25)*DG149+(1-EXP(-LN(2)/25))/(LN(2)/25)*Calculateur!DB150*Calculateur!DD150*VLOOKUP('Données projet'!$B$13,Paramètres!$A$1:$I$89,3,0)*0.475*44/12</f>
        <v>6.6039039863668263</v>
      </c>
      <c r="DH150" s="23">
        <f>EXP(-LN(2)/2)*DH149+(1-EXP(-LN(2)/2))/(LN(2)/2)*DB150*DE150*VLOOKUP('Données projet'!$B$13,Paramètres!$A$1:$I$89,3,0)*0.475*44/12</f>
        <v>7.4394962726688076E-9</v>
      </c>
      <c r="DI150" s="24">
        <f t="shared" si="123"/>
        <v>184.27236514665481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6.8212102632969618E-13</v>
      </c>
      <c r="DP150" s="18">
        <f>DO150*VLOOKUP('Données projet'!$B$14,Paramètres!$A$1:$I$89,3,0)*VLOOKUP('Données projet'!$B$14,Paramètres!$A$1:$I$89,5,0)</f>
        <v>3.8130565371830017E-13</v>
      </c>
      <c r="DQ150" s="14">
        <f t="shared" si="151"/>
        <v>4.9019074112354236E-12</v>
      </c>
      <c r="DR150" s="22">
        <f t="shared" si="124"/>
        <v>9.2015960881277352E-12</v>
      </c>
      <c r="DS150" s="62">
        <f t="shared" si="125"/>
        <v>293.33333333334252</v>
      </c>
      <c r="DT150" s="62">
        <f ca="1">AVERAGE(OFFSET($DS$3,0,0,'Données projet'!$E$14+1,1))-AVERAGE(OFFSET($H$3,0,0,'Données projet'!$E$14+1,1))</f>
        <v>446.48069057792151</v>
      </c>
      <c r="DU150" s="62">
        <f t="shared" si="152"/>
        <v>561.75656782935948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32.968571394667229</v>
      </c>
      <c r="EB150" s="23">
        <f>EXP(-LN(2)/25)*EB149+(1-EXP(-LN(2)/25))/(LN(2)/25)*Calculateur!DW150*Calculateur!DY150*VLOOKUP('Données projet'!$B$14,Paramètres!$A$1:$I$89,3,0)*0.475*44/12</f>
        <v>7.2625005030876419</v>
      </c>
      <c r="EC150" s="23">
        <f>EXP(-LN(2)/2)*EC149+(1-EXP(-LN(2)/2))/(LN(2)/2)*DW150*DZ150*VLOOKUP('Données projet'!$B$14,Paramètres!$A$1:$I$89,3,0)*0.475*44/12</f>
        <v>1.0786976075309466E-11</v>
      </c>
      <c r="ED150" s="24">
        <f t="shared" si="126"/>
        <v>40.231071897765659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1.7053025658242404E-13</v>
      </c>
      <c r="EK150" s="18">
        <f>EJ150*VLOOKUP('Données projet'!$B$15,Paramètres!$A$1:$I$89,3,0)*VLOOKUP('Données projet'!$B$15,Paramètres!$A$1:$I$89,5,0)</f>
        <v>1.6493686416652052E-13</v>
      </c>
      <c r="EL150" s="14">
        <f t="shared" si="153"/>
        <v>2.3376205369651282E-12</v>
      </c>
      <c r="EM150" s="22">
        <f t="shared" si="127"/>
        <v>4.3586208069709543E-12</v>
      </c>
      <c r="EN150" s="62">
        <f t="shared" si="128"/>
        <v>293.33333333333769</v>
      </c>
      <c r="EO150" s="62">
        <f ca="1">AVERAGE(OFFSET($EN$3,0,0,'Données projet'!$E$15+1,1))-AVERAGE(OFFSET($H$3,0,0,'Données projet'!$E$15+1,1))</f>
        <v>301.18531163828169</v>
      </c>
      <c r="EP150" s="62">
        <f t="shared" si="154"/>
        <v>192.30530273268101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42.575130001444592</v>
      </c>
      <c r="EW150" s="23">
        <f>EXP(-LN(2)/25)*EW149+(1-EXP(-LN(2)/25))/(LN(2)/25)*Calculateur!ER150*Calculateur!ET150*VLOOKUP('Données projet'!$B$15,Paramètres!$A$1:$I$89,3,0)*0.475*44/12</f>
        <v>2.1135498670577255</v>
      </c>
      <c r="EX150" s="23">
        <f>EXP(-LN(2)/2)*EX149+(1-EXP(-LN(2)/2))/(LN(2)/2)*ER150*EU150*VLOOKUP('Données projet'!$B$15,Paramètres!$A$1:$I$89,3,0)*0.475*44/12</f>
        <v>5.0909455004301364E-12</v>
      </c>
      <c r="EY150" s="24">
        <f t="shared" si="129"/>
        <v>44.688679868507407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1.7053025658242404E-13</v>
      </c>
      <c r="FF150" s="18">
        <f>FE150*VLOOKUP('Données projet'!$B$16,Paramètres!$A$1:$I$89,3,0)*VLOOKUP('Données projet'!$B$16,Paramètres!$A$1:$I$89,5,0)</f>
        <v>1.3301360013429075E-13</v>
      </c>
      <c r="FG150" s="14">
        <f t="shared" si="155"/>
        <v>1.9329766731057041E-12</v>
      </c>
      <c r="FH150" s="22">
        <f t="shared" si="130"/>
        <v>3.5982663925596575E-12</v>
      </c>
      <c r="FI150" s="62">
        <f t="shared" si="131"/>
        <v>293.3333333333369</v>
      </c>
      <c r="FJ150" s="62">
        <f ca="1">AVERAGE(OFFSET($FI$3,0,0,'Données projet'!$E$16+1,1))-AVERAGE(OFFSET($H$3,0,0,'Données projet'!$E$16+1,1))</f>
        <v>249.2899297828755</v>
      </c>
      <c r="FK150" s="62">
        <f t="shared" si="156"/>
        <v>162.88011837476813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34.334782259229513</v>
      </c>
      <c r="FR150" s="23">
        <f>EXP(-LN(2)/25)*FR149+(1-EXP(-LN(2)/25))/(LN(2)/25)*Calculateur!FM150*Calculateur!FO150*VLOOKUP('Données projet'!$B$16,Paramètres!$A$1:$I$89,3,0)*0.475*44/12</f>
        <v>1.7044756992400985</v>
      </c>
      <c r="FS150" s="23">
        <f>EXP(-LN(2)/2)*FS149+(1-EXP(-LN(2)/2))/(LN(2)/2)*FM150*FP150*VLOOKUP('Données projet'!$B$16,Paramètres!$A$1:$I$89,3,0)*0.475*44/12</f>
        <v>4.1056012100242768E-12</v>
      </c>
      <c r="FT150" s="24">
        <f t="shared" si="132"/>
        <v>36.039257958473719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1.7053025658242404E-13</v>
      </c>
      <c r="GA150" s="18">
        <f>FZ150*VLOOKUP('Données projet'!$B$17,Paramètres!$A$1:$I$89,3,0)*VLOOKUP('Données projet'!$B$17,Paramètres!$A$1:$I$89,5,0)</f>
        <v>1.1439169611549005E-13</v>
      </c>
      <c r="GB150" s="14">
        <f t="shared" si="157"/>
        <v>1.6918016515029816E-12</v>
      </c>
      <c r="GC150" s="22">
        <f t="shared" si="133"/>
        <v>3.1457867471021712E-12</v>
      </c>
      <c r="GD150" s="62">
        <f t="shared" si="134"/>
        <v>293.33333333333644</v>
      </c>
      <c r="GE150" s="62">
        <f ca="1">AVERAGE(OFFSET($GD$3,0,0,'Données projet'!$E$17+1,1))-AVERAGE(OFFSET($H$3,0,0,'Données projet'!$E$17+1,1))</f>
        <v>218.89895999738746</v>
      </c>
      <c r="GF150" s="62">
        <f t="shared" si="158"/>
        <v>145.64042897395763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36.394869194783247</v>
      </c>
      <c r="GM150" s="23">
        <f>EXP(-LN(2)/25)*GM149+(1-EXP(-LN(2)/25))/(LN(2)/25)*Calculateur!GH150*Calculateur!GJ150*VLOOKUP('Données projet'!$B$17,Paramètres!$A$1:$I$89,3,0)*0.475*44/12</f>
        <v>1.8067442411945061</v>
      </c>
      <c r="GN150" s="23">
        <f>EXP(-LN(2)/2)*GN149+(1-EXP(-LN(2)/2))/(LN(2)/2)*GH150*GK150*VLOOKUP('Données projet'!$B$17,Paramètres!$A$1:$I$89,3,0)*0.475*44/12</f>
        <v>3.5308170406209016E-12</v>
      </c>
      <c r="GO150" s="23">
        <f t="shared" si="135"/>
        <v>38.201613435981287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1.7053025658242404E-13</v>
      </c>
      <c r="GV150" s="18">
        <f>GU150*VLOOKUP('Données projet'!$B$18,Paramètres!$A$1:$I$89,3,0)*VLOOKUP('Données projet'!$B$18,Paramètres!$A$1:$I$89,5,0)</f>
        <v>1.8355876818532125E-13</v>
      </c>
      <c r="GW150" s="14">
        <f t="shared" si="159"/>
        <v>2.5693529898865504E-12</v>
      </c>
      <c r="GX150" s="22">
        <f t="shared" si="136"/>
        <v>4.7946546453085093E-12</v>
      </c>
      <c r="GY150" s="62">
        <f t="shared" si="137"/>
        <v>293.33333333333809</v>
      </c>
      <c r="GZ150" s="62">
        <f ca="1">AVERAGE(OFFSET($GY$3,0,0,'Données projet'!$E$18+1,1))-AVERAGE(OFFSET($H$3,0,0,'Données projet'!$E$18+1,1))</f>
        <v>331.3579800635751</v>
      </c>
      <c r="HA150" s="62">
        <f t="shared" si="160"/>
        <v>209.40702003535273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47.381999517736695</v>
      </c>
      <c r="HH150" s="23">
        <f>EXP(-LN(2)/25)*HH149+(1-EXP(-LN(2)/25))/(LN(2)/25)*Calculateur!HC150*Calculateur!HE150*VLOOKUP('Données projet'!$B$18,Paramètres!$A$1:$I$89,3,0)*0.475*44/12</f>
        <v>2.3521764649513397</v>
      </c>
      <c r="HI150" s="23">
        <f>EXP(-LN(2)/2)*HI149+(1-EXP(-LN(2)/2))/(LN(2)/2)*HC150*HF150*VLOOKUP('Données projet'!$B$18,Paramètres!$A$1:$I$89,3,0)*0.475*44/12</f>
        <v>5.6657296698335036E-12</v>
      </c>
      <c r="HJ150" s="24">
        <f t="shared" si="138"/>
        <v>49.734175982693699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5.0022208597511053E-12</v>
      </c>
      <c r="O151" s="14">
        <f>N151*VLOOKUP('Données projet'!$B$9,Paramètres!$A$1:$I$89,3,0)*VLOOKUP('Données projet'!$B$9,Paramètres!$A$1:$I$89,5,0)</f>
        <v>4.5260094339028E-12</v>
      </c>
      <c r="P151" s="14">
        <f t="shared" si="141"/>
        <v>4.3625683148570328E-11</v>
      </c>
      <c r="Q151" s="22">
        <f t="shared" si="108"/>
        <v>8.3864197914474037E-11</v>
      </c>
      <c r="R151" s="62">
        <f t="shared" si="109"/>
        <v>293.33333333341716</v>
      </c>
      <c r="S151" s="62">
        <f ca="1">AVERAGE(OFFSET($R$3,0,0,'Données projet'!$E$9+1,1))-AVERAGE(OFFSET($H$3,0,0,'Données projet'!$E$9+1,1))</f>
        <v>2472.5049373954762</v>
      </c>
      <c r="T151" s="62">
        <f t="shared" si="142"/>
        <v>286.98388307318311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1486.4604046452523</v>
      </c>
      <c r="AA151" s="23">
        <f>EXP(-LN(2)/25)*AA150+(1-EXP(-LN(2)/25))/(LN(2)/25)*Calculateur!V151*Calculateur!X151*VLOOKUP('Données projet'!$B$9,Paramètres!$A$1:$I$89,3,0)*0.475*44/12</f>
        <v>70.191483066200064</v>
      </c>
      <c r="AB151" s="23">
        <f>EXP(-LN(2)/2)*AB150+(1-EXP(-LN(2)/2))/(LN(2)/2)*V151*Y151*VLOOKUP('Données projet'!$B$9,Paramètres!$A$1:$I$89,3,0)*0.475*44/12</f>
        <v>12.901198293100078</v>
      </c>
      <c r="AC151" s="24">
        <f t="shared" si="111"/>
        <v>1569.5530860045526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5.0022208597511053E-12</v>
      </c>
      <c r="AJ151" s="14">
        <f>AI151*VLOOKUP('Données projet'!$B$10,Paramètres!$A$1:$I$89,3,0)*VLOOKUP('Données projet'!$B$10,Paramètres!$A$1:$I$89,5,0)</f>
        <v>5.0722519517876216E-12</v>
      </c>
      <c r="AK151" s="14">
        <f t="shared" si="143"/>
        <v>4.8246688221215311E-11</v>
      </c>
      <c r="AL151" s="22">
        <f t="shared" si="112"/>
        <v>9.2863820801313432E-11</v>
      </c>
      <c r="AM151" s="62">
        <f t="shared" si="113"/>
        <v>293.3333333334262</v>
      </c>
      <c r="AN151" s="62">
        <f ca="1">AVERAGE(OFFSET($AM$3,0,0,'Données projet'!$E$10+1,1))-AVERAGE(OFFSET($H$3,0,0,'Données projet'!$E$10+1,1))</f>
        <v>2761.1400657295467</v>
      </c>
      <c r="AO151" s="62">
        <f t="shared" si="144"/>
        <v>316.41877504316409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1665.8607983093343</v>
      </c>
      <c r="AV151" s="23">
        <f>EXP(-LN(2)/25)*AV150+(1-EXP(-LN(2)/25))/(LN(2)/25)*Calculateur!AQ151*Calculateur!AS151*VLOOKUP('Données projet'!$B$10,Paramètres!$A$1:$I$89,3,0)*0.475*44/12</f>
        <v>78.662868953500094</v>
      </c>
      <c r="AW151" s="23">
        <f>EXP(-LN(2)/2)*AW150+(1-EXP(-LN(2)/2))/(LN(2)/2)*AQ151*AT151*VLOOKUP('Données projet'!$B$10,Paramètres!$A$1:$I$89,3,0)*0.475*44/12</f>
        <v>14.458239466405262</v>
      </c>
      <c r="AX151" s="23">
        <f t="shared" si="114"/>
        <v>1758.9819067292397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5.0022208597511053E-12</v>
      </c>
      <c r="BE151" s="14">
        <f>BD151*VLOOKUP('Données projet'!$B$11,Paramètres!$A$1:$I$89,3,0)*VLOOKUP('Données projet'!$B$11,Paramètres!$A$1:$I$89,5,0)</f>
        <v>5.2283212426118558E-12</v>
      </c>
      <c r="BF151" s="14">
        <f t="shared" si="145"/>
        <v>4.9556081821365385E-11</v>
      </c>
      <c r="BG151" s="22">
        <f t="shared" si="115"/>
        <v>9.5416168669760364E-11</v>
      </c>
      <c r="BH151" s="62">
        <f t="shared" si="116"/>
        <v>293.33333333342875</v>
      </c>
      <c r="BI151" s="62">
        <f ca="1">AVERAGE(OFFSET($BH$3,0,0,'Données projet'!$E$11+1,1))-AVERAGE(OFFSET($H$3,0,0,'Données projet'!$E$11+1,1))</f>
        <v>2843.5086223152098</v>
      </c>
      <c r="BJ151" s="62">
        <f t="shared" si="146"/>
        <v>324.81562437645522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1717.1180536419292</v>
      </c>
      <c r="BQ151" s="23">
        <f>EXP(-LN(2)/25)*BQ150+(1-EXP(-LN(2)/25))/(LN(2)/25)*Calculateur!BL151*Calculateur!BN151*VLOOKUP('Données projet'!$B$11,Paramètres!$A$1:$I$89,3,0)*0.475*44/12</f>
        <v>81.083264921300099</v>
      </c>
      <c r="BR151" s="23">
        <f>EXP(-LN(2)/2)*BR150+(1-EXP(-LN(2)/2))/(LN(2)/2)*BL151*BO151*VLOOKUP('Données projet'!$B$11,Paramètres!$A$1:$I$89,3,0)*0.475*44/12</f>
        <v>14.903108373063883</v>
      </c>
      <c r="BS151" s="24">
        <f t="shared" si="117"/>
        <v>1813.1044269362931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5.0022208597511053E-12</v>
      </c>
      <c r="BZ151" s="14">
        <f>BY151*VLOOKUP('Données projet'!$B$12,Paramètres!$A$1:$I$89,3,0)*VLOOKUP('Données projet'!$B$12,Paramètres!$A$1:$I$89,5,0)</f>
        <v>4.9942173063755036E-12</v>
      </c>
      <c r="CA151" s="14">
        <f t="shared" si="147"/>
        <v>4.7590239529202817E-11</v>
      </c>
      <c r="CB151" s="22">
        <f t="shared" si="118"/>
        <v>9.1584595655298897E-11</v>
      </c>
      <c r="CC151" s="62">
        <f t="shared" si="119"/>
        <v>293.33333333342489</v>
      </c>
      <c r="CD151" s="62">
        <f ca="1">AVERAGE(OFFSET($CC$3,0,0,'Données projet'!$E$12+1,1))-AVERAGE(OFFSET($H$3,0,0,'Données projet'!$E$12+1,1))</f>
        <v>2719.939926994799</v>
      </c>
      <c r="CE151" s="62">
        <f t="shared" si="148"/>
        <v>312.21824046329749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1640.2321706430371</v>
      </c>
      <c r="CL151" s="23">
        <f>EXP(-LN(2)/25)*CL150+(1-EXP(-LN(2)/25))/(LN(2)/25)*Calculateur!CG151*Calculateur!CI151*VLOOKUP('Données projet'!$B$12,Paramètres!$A$1:$I$89,3,0)*0.475*44/12</f>
        <v>77.452670969600106</v>
      </c>
      <c r="CM151" s="23">
        <f>EXP(-LN(2)/2)*CM150+(1-EXP(-LN(2)/2))/(LN(2)/2)*CG151*CJ151*VLOOKUP('Données projet'!$B$12,Paramètres!$A$1:$I$89,3,0)*0.475*44/12</f>
        <v>14.235805013075943</v>
      </c>
      <c r="CN151" s="24">
        <f t="shared" si="120"/>
        <v>1731.9206466257131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1.1368683772161603E-12</v>
      </c>
      <c r="CU151" s="18">
        <f>CT151*VLOOKUP('Données projet'!$B$13,Paramètres!$A$1:$I$89,3,0)*VLOOKUP('Données projet'!$B$13,Paramètres!$A$1:$I$89,5,0)</f>
        <v>9.9316821433603771E-13</v>
      </c>
      <c r="CV151" s="14">
        <f t="shared" si="149"/>
        <v>1.1421454694498936E-11</v>
      </c>
      <c r="CW151" s="22">
        <f t="shared" si="121"/>
        <v>2.1622134899554243E-11</v>
      </c>
      <c r="CX151" s="62">
        <f t="shared" si="122"/>
        <v>293.33333333335491</v>
      </c>
      <c r="CY151" s="62">
        <f ca="1">AVERAGE(OFFSET($CX$3,0,0,'Données projet'!$E$13+1,1))-AVERAGE(OFFSET($H$3,0,0,'Données projet'!$E$13+1,1))</f>
        <v>1036.0130072090849</v>
      </c>
      <c r="CZ151" s="62">
        <f t="shared" si="150"/>
        <v>346.56593355696174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174.18449099670207</v>
      </c>
      <c r="DG151" s="23">
        <f>EXP(-LN(2)/25)*DG150+(1-EXP(-LN(2)/25))/(LN(2)/25)*Calculateur!DB151*Calculateur!DD151*VLOOKUP('Données projet'!$B$13,Paramètres!$A$1:$I$89,3,0)*0.475*44/12</f>
        <v>6.4233198845754078</v>
      </c>
      <c r="DH151" s="23">
        <f>EXP(-LN(2)/2)*DH150+(1-EXP(-LN(2)/2))/(LN(2)/2)*DB151*DE151*VLOOKUP('Données projet'!$B$13,Paramètres!$A$1:$I$89,3,0)*0.475*44/12</f>
        <v>5.2605182630161586E-9</v>
      </c>
      <c r="DI151" s="24">
        <f t="shared" si="123"/>
        <v>180.607810886538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6.8212102632969618E-13</v>
      </c>
      <c r="DP151" s="18">
        <f>DO151*VLOOKUP('Données projet'!$B$14,Paramètres!$A$1:$I$89,3,0)*VLOOKUP('Données projet'!$B$14,Paramètres!$A$1:$I$89,5,0)</f>
        <v>3.8130565371830017E-13</v>
      </c>
      <c r="DQ151" s="14">
        <f t="shared" si="151"/>
        <v>4.9019074112354236E-12</v>
      </c>
      <c r="DR151" s="22">
        <f t="shared" si="124"/>
        <v>9.2015960881277352E-12</v>
      </c>
      <c r="DS151" s="62">
        <f t="shared" si="125"/>
        <v>293.33333333334252</v>
      </c>
      <c r="DT151" s="62">
        <f ca="1">AVERAGE(OFFSET($DS$3,0,0,'Données projet'!$E$14+1,1))-AVERAGE(OFFSET($H$3,0,0,'Données projet'!$E$14+1,1))</f>
        <v>446.48069057792151</v>
      </c>
      <c r="DU151" s="62">
        <f t="shared" si="152"/>
        <v>561.75656782935948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32.32207781846077</v>
      </c>
      <c r="EB151" s="23">
        <f>EXP(-LN(2)/25)*EB150+(1-EXP(-LN(2)/25))/(LN(2)/25)*Calculateur!DW151*Calculateur!DY151*VLOOKUP('Données projet'!$B$14,Paramètres!$A$1:$I$89,3,0)*0.475*44/12</f>
        <v>7.0639070449124075</v>
      </c>
      <c r="EC151" s="23">
        <f>EXP(-LN(2)/2)*EC150+(1-EXP(-LN(2)/2))/(LN(2)/2)*DW151*DZ151*VLOOKUP('Données projet'!$B$14,Paramètres!$A$1:$I$89,3,0)*0.475*44/12</f>
        <v>7.627543931348374E-12</v>
      </c>
      <c r="ED151" s="24">
        <f t="shared" si="126"/>
        <v>39.385984863380799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1.7053025658242404E-13</v>
      </c>
      <c r="EK151" s="18">
        <f>EJ151*VLOOKUP('Données projet'!$B$15,Paramètres!$A$1:$I$89,3,0)*VLOOKUP('Données projet'!$B$15,Paramètres!$A$1:$I$89,5,0)</f>
        <v>1.6493686416652052E-13</v>
      </c>
      <c r="EL151" s="14">
        <f t="shared" si="153"/>
        <v>2.3376205369651282E-12</v>
      </c>
      <c r="EM151" s="22">
        <f t="shared" si="127"/>
        <v>4.3586208069709543E-12</v>
      </c>
      <c r="EN151" s="62">
        <f t="shared" si="128"/>
        <v>293.33333333333769</v>
      </c>
      <c r="EO151" s="62">
        <f ca="1">AVERAGE(OFFSET($EN$3,0,0,'Données projet'!$E$15+1,1))-AVERAGE(OFFSET($H$3,0,0,'Données projet'!$E$15+1,1))</f>
        <v>301.18531163828169</v>
      </c>
      <c r="EP151" s="62">
        <f t="shared" si="154"/>
        <v>192.30530273268101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41.740257670381411</v>
      </c>
      <c r="EW151" s="23">
        <f>EXP(-LN(2)/25)*EW150+(1-EXP(-LN(2)/25))/(LN(2)/25)*Calculateur!ER151*Calculateur!ET151*VLOOKUP('Données projet'!$B$15,Paramètres!$A$1:$I$89,3,0)*0.475*44/12</f>
        <v>2.0557547347962752</v>
      </c>
      <c r="EX151" s="23">
        <f>EXP(-LN(2)/2)*EX150+(1-EXP(-LN(2)/2))/(LN(2)/2)*ER151*EU151*VLOOKUP('Données projet'!$B$15,Paramètres!$A$1:$I$89,3,0)*0.475*44/12</f>
        <v>3.5998420860052912E-12</v>
      </c>
      <c r="EY151" s="24">
        <f t="shared" si="129"/>
        <v>43.796012405181287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1.7053025658242404E-13</v>
      </c>
      <c r="FF151" s="18">
        <f>FE151*VLOOKUP('Données projet'!$B$16,Paramètres!$A$1:$I$89,3,0)*VLOOKUP('Données projet'!$B$16,Paramètres!$A$1:$I$89,5,0)</f>
        <v>1.3301360013429075E-13</v>
      </c>
      <c r="FG151" s="14">
        <f t="shared" si="155"/>
        <v>1.9329766731057041E-12</v>
      </c>
      <c r="FH151" s="22">
        <f t="shared" si="130"/>
        <v>3.5982663925596575E-12</v>
      </c>
      <c r="FI151" s="62">
        <f t="shared" si="131"/>
        <v>293.3333333333369</v>
      </c>
      <c r="FJ151" s="62">
        <f ca="1">AVERAGE(OFFSET($FI$3,0,0,'Données projet'!$E$16+1,1))-AVERAGE(OFFSET($H$3,0,0,'Données projet'!$E$16+1,1))</f>
        <v>249.2899297828755</v>
      </c>
      <c r="FK151" s="62">
        <f t="shared" si="156"/>
        <v>162.88011837476813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33.661498121275336</v>
      </c>
      <c r="FR151" s="23">
        <f>EXP(-LN(2)/25)*FR150+(1-EXP(-LN(2)/25))/(LN(2)/25)*Calculateur!FM151*Calculateur!FO151*VLOOKUP('Données projet'!$B$16,Paramètres!$A$1:$I$89,3,0)*0.475*44/12</f>
        <v>1.6578667216098966</v>
      </c>
      <c r="FS151" s="23">
        <f>EXP(-LN(2)/2)*FS150+(1-EXP(-LN(2)/2))/(LN(2)/2)*FM151*FP151*VLOOKUP('Données projet'!$B$16,Paramètres!$A$1:$I$89,3,0)*0.475*44/12</f>
        <v>2.9030984564558611E-12</v>
      </c>
      <c r="FT151" s="24">
        <f t="shared" si="132"/>
        <v>35.319364842888142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1.7053025658242404E-13</v>
      </c>
      <c r="GA151" s="18">
        <f>FZ151*VLOOKUP('Données projet'!$B$17,Paramètres!$A$1:$I$89,3,0)*VLOOKUP('Données projet'!$B$17,Paramètres!$A$1:$I$89,5,0)</f>
        <v>1.1439169611549005E-13</v>
      </c>
      <c r="GB151" s="14">
        <f t="shared" si="157"/>
        <v>1.6918016515029816E-12</v>
      </c>
      <c r="GC151" s="22">
        <f t="shared" si="133"/>
        <v>3.1457867471021712E-12</v>
      </c>
      <c r="GD151" s="62">
        <f t="shared" si="134"/>
        <v>293.33333333333644</v>
      </c>
      <c r="GE151" s="62">
        <f ca="1">AVERAGE(OFFSET($GD$3,0,0,'Données projet'!$E$17+1,1))-AVERAGE(OFFSET($H$3,0,0,'Données projet'!$E$17+1,1))</f>
        <v>218.89895999738746</v>
      </c>
      <c r="GF151" s="62">
        <f t="shared" si="158"/>
        <v>145.64042897395763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35.681188008551821</v>
      </c>
      <c r="GM151" s="23">
        <f>EXP(-LN(2)/25)*GM150+(1-EXP(-LN(2)/25))/(LN(2)/25)*Calculateur!GH151*Calculateur!GJ151*VLOOKUP('Données projet'!$B$17,Paramètres!$A$1:$I$89,3,0)*0.475*44/12</f>
        <v>1.757338724906492</v>
      </c>
      <c r="GN151" s="23">
        <f>EXP(-LN(2)/2)*GN150+(1-EXP(-LN(2)/2))/(LN(2)/2)*GH151*GK151*VLOOKUP('Données projet'!$B$17,Paramètres!$A$1:$I$89,3,0)*0.475*44/12</f>
        <v>2.4966646725520574E-12</v>
      </c>
      <c r="GO151" s="23">
        <f t="shared" si="135"/>
        <v>37.438526733460805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1.7053025658242404E-13</v>
      </c>
      <c r="GV151" s="18">
        <f>GU151*VLOOKUP('Données projet'!$B$18,Paramètres!$A$1:$I$89,3,0)*VLOOKUP('Données projet'!$B$18,Paramètres!$A$1:$I$89,5,0)</f>
        <v>1.8355876818532125E-13</v>
      </c>
      <c r="GW151" s="14">
        <f t="shared" si="159"/>
        <v>2.5693529898865504E-12</v>
      </c>
      <c r="GX151" s="22">
        <f t="shared" si="136"/>
        <v>4.7946546453085093E-12</v>
      </c>
      <c r="GY151" s="62">
        <f t="shared" si="137"/>
        <v>293.33333333333809</v>
      </c>
      <c r="GZ151" s="62">
        <f ca="1">AVERAGE(OFFSET($GY$3,0,0,'Données projet'!$E$18+1,1))-AVERAGE(OFFSET($H$3,0,0,'Données projet'!$E$18+1,1))</f>
        <v>331.3579800635751</v>
      </c>
      <c r="HA151" s="62">
        <f t="shared" si="160"/>
        <v>209.40702003535273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46.452867407359932</v>
      </c>
      <c r="HH151" s="23">
        <f>EXP(-LN(2)/25)*HH150+(1-EXP(-LN(2)/25))/(LN(2)/25)*Calculateur!HC151*Calculateur!HE151*VLOOKUP('Données projet'!$B$18,Paramètres!$A$1:$I$89,3,0)*0.475*44/12</f>
        <v>2.2878560758216611</v>
      </c>
      <c r="HI151" s="23">
        <f>EXP(-LN(2)/2)*HI150+(1-EXP(-LN(2)/2))/(LN(2)/2)*HC151*HF151*VLOOKUP('Données projet'!$B$18,Paramètres!$A$1:$I$89,3,0)*0.475*44/12</f>
        <v>4.0062758699090893E-12</v>
      </c>
      <c r="HJ151" s="24">
        <f t="shared" si="138"/>
        <v>48.740723483185597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5.0022208597511053E-12</v>
      </c>
      <c r="O152" s="14">
        <f>N152*VLOOKUP('Données projet'!$B$9,Paramètres!$A$1:$I$89,3,0)*VLOOKUP('Données projet'!$B$9,Paramètres!$A$1:$I$89,5,0)</f>
        <v>4.5260094339028E-12</v>
      </c>
      <c r="P152" s="14">
        <f t="shared" si="141"/>
        <v>4.3625683148570328E-11</v>
      </c>
      <c r="Q152" s="22">
        <f t="shared" si="108"/>
        <v>8.3864197914474037E-11</v>
      </c>
      <c r="R152" s="62">
        <f t="shared" si="109"/>
        <v>293.33333333341716</v>
      </c>
      <c r="S152" s="62">
        <f ca="1">AVERAGE(OFFSET($R$3,0,0,'Données projet'!$E$9+1,1))-AVERAGE(OFFSET($H$3,0,0,'Données projet'!$E$9+1,1))</f>
        <v>2472.5049373954762</v>
      </c>
      <c r="T152" s="62">
        <f t="shared" si="142"/>
        <v>286.98388307318311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1457.3118227614814</v>
      </c>
      <c r="AA152" s="23">
        <f>EXP(-LN(2)/25)*AA151+(1-EXP(-LN(2)/25))/(LN(2)/25)*Calculateur!V152*Calculateur!X152*VLOOKUP('Données projet'!$B$9,Paramètres!$A$1:$I$89,3,0)*0.475*44/12</f>
        <v>68.272093270545156</v>
      </c>
      <c r="AB152" s="23">
        <f>EXP(-LN(2)/2)*AB151+(1-EXP(-LN(2)/2))/(LN(2)/2)*V152*Y152*VLOOKUP('Données projet'!$B$9,Paramètres!$A$1:$I$89,3,0)*0.475*44/12</f>
        <v>9.1225247984833775</v>
      </c>
      <c r="AC152" s="24">
        <f t="shared" si="111"/>
        <v>1534.70644083051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5.0022208597511053E-12</v>
      </c>
      <c r="AJ152" s="14">
        <f>AI152*VLOOKUP('Données projet'!$B$10,Paramètres!$A$1:$I$89,3,0)*VLOOKUP('Données projet'!$B$10,Paramètres!$A$1:$I$89,5,0)</f>
        <v>5.0722519517876216E-12</v>
      </c>
      <c r="AK152" s="14">
        <f t="shared" si="143"/>
        <v>4.8246688221215311E-11</v>
      </c>
      <c r="AL152" s="22">
        <f t="shared" si="112"/>
        <v>9.2863820801313432E-11</v>
      </c>
      <c r="AM152" s="62">
        <f t="shared" si="113"/>
        <v>293.3333333334262</v>
      </c>
      <c r="AN152" s="62">
        <f ca="1">AVERAGE(OFFSET($AM$3,0,0,'Données projet'!$E$10+1,1))-AVERAGE(OFFSET($H$3,0,0,'Données projet'!$E$10+1,1))</f>
        <v>2761.1400657295467</v>
      </c>
      <c r="AO152" s="62">
        <f t="shared" si="144"/>
        <v>316.41877504316409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1633.1942841292462</v>
      </c>
      <c r="AV152" s="23">
        <f>EXP(-LN(2)/25)*AV151+(1-EXP(-LN(2)/25))/(LN(2)/25)*Calculateur!AQ152*Calculateur!AS152*VLOOKUP('Données projet'!$B$10,Paramètres!$A$1:$I$89,3,0)*0.475*44/12</f>
        <v>76.511828665266137</v>
      </c>
      <c r="AW152" s="23">
        <f>EXP(-LN(2)/2)*AW151+(1-EXP(-LN(2)/2))/(LN(2)/2)*AQ152*AT152*VLOOKUP('Données projet'!$B$10,Paramètres!$A$1:$I$89,3,0)*0.475*44/12</f>
        <v>10.223519170714132</v>
      </c>
      <c r="AX152" s="23">
        <f t="shared" si="114"/>
        <v>1719.9296319652265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5.0022208597511053E-12</v>
      </c>
      <c r="BE152" s="14">
        <f>BD152*VLOOKUP('Données projet'!$B$11,Paramètres!$A$1:$I$89,3,0)*VLOOKUP('Données projet'!$B$11,Paramètres!$A$1:$I$89,5,0)</f>
        <v>5.2283212426118558E-12</v>
      </c>
      <c r="BF152" s="14">
        <f t="shared" si="145"/>
        <v>4.9556081821365385E-11</v>
      </c>
      <c r="BG152" s="22">
        <f t="shared" si="115"/>
        <v>9.5416168669760364E-11</v>
      </c>
      <c r="BH152" s="62">
        <f t="shared" si="116"/>
        <v>293.33333333342875</v>
      </c>
      <c r="BI152" s="62">
        <f ca="1">AVERAGE(OFFSET($BH$3,0,0,'Données projet'!$E$11+1,1))-AVERAGE(OFFSET($H$3,0,0,'Données projet'!$E$11+1,1))</f>
        <v>2843.5086223152098</v>
      </c>
      <c r="BJ152" s="62">
        <f t="shared" si="146"/>
        <v>324.81562437645522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1683.4464159486076</v>
      </c>
      <c r="BQ152" s="23">
        <f>EXP(-LN(2)/25)*BQ151+(1-EXP(-LN(2)/25))/(LN(2)/25)*Calculateur!BL152*Calculateur!BN152*VLOOKUP('Données projet'!$B$11,Paramètres!$A$1:$I$89,3,0)*0.475*44/12</f>
        <v>78.86603877804356</v>
      </c>
      <c r="BR152" s="23">
        <f>EXP(-LN(2)/2)*BR151+(1-EXP(-LN(2)/2))/(LN(2)/2)*BL152*BO152*VLOOKUP('Données projet'!$B$11,Paramètres!$A$1:$I$89,3,0)*0.475*44/12</f>
        <v>10.538088991351488</v>
      </c>
      <c r="BS152" s="24">
        <f t="shared" si="117"/>
        <v>1772.8505437180027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5.0022208597511053E-12</v>
      </c>
      <c r="BZ152" s="14">
        <f>BY152*VLOOKUP('Données projet'!$B$12,Paramètres!$A$1:$I$89,3,0)*VLOOKUP('Données projet'!$B$12,Paramètres!$A$1:$I$89,5,0)</f>
        <v>4.9942173063755036E-12</v>
      </c>
      <c r="CA152" s="14">
        <f t="shared" si="147"/>
        <v>4.7590239529202817E-11</v>
      </c>
      <c r="CB152" s="22">
        <f t="shared" si="118"/>
        <v>9.1584595655298897E-11</v>
      </c>
      <c r="CC152" s="62">
        <f t="shared" si="119"/>
        <v>293.33333333342489</v>
      </c>
      <c r="CD152" s="62">
        <f ca="1">AVERAGE(OFFSET($CC$3,0,0,'Données projet'!$E$12+1,1))-AVERAGE(OFFSET($H$3,0,0,'Données projet'!$E$12+1,1))</f>
        <v>2719.939926994799</v>
      </c>
      <c r="CE152" s="62">
        <f t="shared" si="148"/>
        <v>312.21824046329749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1608.0682182195658</v>
      </c>
      <c r="CL152" s="23">
        <f>EXP(-LN(2)/25)*CL151+(1-EXP(-LN(2)/25))/(LN(2)/25)*Calculateur!CG152*Calculateur!CI152*VLOOKUP('Données projet'!$B$12,Paramètres!$A$1:$I$89,3,0)*0.475*44/12</f>
        <v>75.334723608877439</v>
      </c>
      <c r="CM152" s="23">
        <f>EXP(-LN(2)/2)*CM151+(1-EXP(-LN(2)/2))/(LN(2)/2)*CG152*CJ152*VLOOKUP('Données projet'!$B$12,Paramètres!$A$1:$I$89,3,0)*0.475*44/12</f>
        <v>10.066234260395447</v>
      </c>
      <c r="CN152" s="24">
        <f t="shared" si="120"/>
        <v>1693.4691760888388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1.1368683772161603E-12</v>
      </c>
      <c r="CU152" s="18">
        <f>CT152*VLOOKUP('Données projet'!$B$13,Paramètres!$A$1:$I$89,3,0)*VLOOKUP('Données projet'!$B$13,Paramètres!$A$1:$I$89,5,0)</f>
        <v>9.9316821433603771E-13</v>
      </c>
      <c r="CV152" s="14">
        <f t="shared" si="149"/>
        <v>1.1421454694498936E-11</v>
      </c>
      <c r="CW152" s="22">
        <f t="shared" si="121"/>
        <v>2.1622134899554243E-11</v>
      </c>
      <c r="CX152" s="62">
        <f t="shared" si="122"/>
        <v>293.33333333335491</v>
      </c>
      <c r="CY152" s="62">
        <f ca="1">AVERAGE(OFFSET($CX$3,0,0,'Données projet'!$E$13+1,1))-AVERAGE(OFFSET($H$3,0,0,'Données projet'!$E$13+1,1))</f>
        <v>1036.0130072090849</v>
      </c>
      <c r="CZ152" s="62">
        <f t="shared" si="150"/>
        <v>346.56593355696174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170.76883937030573</v>
      </c>
      <c r="DG152" s="23">
        <f>EXP(-LN(2)/25)*DG151+(1-EXP(-LN(2)/25))/(LN(2)/25)*Calculateur!DB152*Calculateur!DD152*VLOOKUP('Données projet'!$B$13,Paramètres!$A$1:$I$89,3,0)*0.475*44/12</f>
        <v>6.2476738645439811</v>
      </c>
      <c r="DH152" s="23">
        <f>EXP(-LN(2)/2)*DH151+(1-EXP(-LN(2)/2))/(LN(2)/2)*DB152*DE152*VLOOKUP('Données projet'!$B$13,Paramètres!$A$1:$I$89,3,0)*0.475*44/12</f>
        <v>3.7197481363344042E-9</v>
      </c>
      <c r="DI152" s="24">
        <f t="shared" si="123"/>
        <v>177.01651323856944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6.8212102632969618E-13</v>
      </c>
      <c r="DP152" s="18">
        <f>DO152*VLOOKUP('Données projet'!$B$14,Paramètres!$A$1:$I$89,3,0)*VLOOKUP('Données projet'!$B$14,Paramètres!$A$1:$I$89,5,0)</f>
        <v>3.8130565371830017E-13</v>
      </c>
      <c r="DQ152" s="14">
        <f t="shared" si="151"/>
        <v>4.9019074112354236E-12</v>
      </c>
      <c r="DR152" s="22">
        <f t="shared" si="124"/>
        <v>9.2015960881277352E-12</v>
      </c>
      <c r="DS152" s="62">
        <f t="shared" si="125"/>
        <v>293.33333333334252</v>
      </c>
      <c r="DT152" s="62">
        <f ca="1">AVERAGE(OFFSET($DS$3,0,0,'Données projet'!$E$14+1,1))-AVERAGE(OFFSET($H$3,0,0,'Données projet'!$E$14+1,1))</f>
        <v>446.48069057792151</v>
      </c>
      <c r="DU152" s="62">
        <f t="shared" si="152"/>
        <v>561.75656782935948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31.688261586961577</v>
      </c>
      <c r="EB152" s="23">
        <f>EXP(-LN(2)/25)*EB151+(1-EXP(-LN(2)/25))/(LN(2)/25)*Calculateur!DW152*Calculateur!DY152*VLOOKUP('Données projet'!$B$14,Paramètres!$A$1:$I$89,3,0)*0.475*44/12</f>
        <v>6.8707441352945509</v>
      </c>
      <c r="EC152" s="23">
        <f>EXP(-LN(2)/2)*EC151+(1-EXP(-LN(2)/2))/(LN(2)/2)*DW152*DZ152*VLOOKUP('Données projet'!$B$14,Paramètres!$A$1:$I$89,3,0)*0.475*44/12</f>
        <v>5.3934880376547332E-12</v>
      </c>
      <c r="ED152" s="24">
        <f t="shared" si="126"/>
        <v>38.559005722261524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1.7053025658242404E-13</v>
      </c>
      <c r="EK152" s="18">
        <f>EJ152*VLOOKUP('Données projet'!$B$15,Paramètres!$A$1:$I$89,3,0)*VLOOKUP('Données projet'!$B$15,Paramètres!$A$1:$I$89,5,0)</f>
        <v>1.6493686416652052E-13</v>
      </c>
      <c r="EL152" s="14">
        <f t="shared" si="153"/>
        <v>2.3376205369651282E-12</v>
      </c>
      <c r="EM152" s="22">
        <f t="shared" si="127"/>
        <v>4.3586208069709543E-12</v>
      </c>
      <c r="EN152" s="62">
        <f t="shared" si="128"/>
        <v>293.33333333333769</v>
      </c>
      <c r="EO152" s="62">
        <f ca="1">AVERAGE(OFFSET($EN$3,0,0,'Données projet'!$E$15+1,1))-AVERAGE(OFFSET($H$3,0,0,'Données projet'!$E$15+1,1))</f>
        <v>301.18531163828169</v>
      </c>
      <c r="EP152" s="62">
        <f t="shared" si="154"/>
        <v>192.30530273268101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40.921756676508537</v>
      </c>
      <c r="EW152" s="23">
        <f>EXP(-LN(2)/25)*EW151+(1-EXP(-LN(2)/25))/(LN(2)/25)*Calculateur!ER152*Calculateur!ET152*VLOOKUP('Données projet'!$B$15,Paramètres!$A$1:$I$89,3,0)*0.475*44/12</f>
        <v>1.9995400134658281</v>
      </c>
      <c r="EX152" s="23">
        <f>EXP(-LN(2)/2)*EX151+(1-EXP(-LN(2)/2))/(LN(2)/2)*ER152*EU152*VLOOKUP('Données projet'!$B$15,Paramètres!$A$1:$I$89,3,0)*0.475*44/12</f>
        <v>2.5454727502150686E-12</v>
      </c>
      <c r="EY152" s="24">
        <f t="shared" si="129"/>
        <v>42.921296689976906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1.7053025658242404E-13</v>
      </c>
      <c r="FF152" s="18">
        <f>FE152*VLOOKUP('Données projet'!$B$16,Paramètres!$A$1:$I$89,3,0)*VLOOKUP('Données projet'!$B$16,Paramètres!$A$1:$I$89,5,0)</f>
        <v>1.3301360013429075E-13</v>
      </c>
      <c r="FG152" s="14">
        <f t="shared" si="155"/>
        <v>1.9329766731057041E-12</v>
      </c>
      <c r="FH152" s="22">
        <f t="shared" si="130"/>
        <v>3.5982663925596575E-12</v>
      </c>
      <c r="FI152" s="62">
        <f t="shared" si="131"/>
        <v>293.3333333333369</v>
      </c>
      <c r="FJ152" s="62">
        <f ca="1">AVERAGE(OFFSET($FI$3,0,0,'Données projet'!$E$16+1,1))-AVERAGE(OFFSET($H$3,0,0,'Données projet'!$E$16+1,1))</f>
        <v>249.2899297828755</v>
      </c>
      <c r="FK152" s="62">
        <f t="shared" si="156"/>
        <v>162.88011837476813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33.001416674603668</v>
      </c>
      <c r="FR152" s="23">
        <f>EXP(-LN(2)/25)*FR151+(1-EXP(-LN(2)/25))/(LN(2)/25)*Calculateur!FM152*Calculateur!FO152*VLOOKUP('Données projet'!$B$16,Paramètres!$A$1:$I$89,3,0)*0.475*44/12</f>
        <v>1.6125322689240522</v>
      </c>
      <c r="FS152" s="23">
        <f>EXP(-LN(2)/2)*FS151+(1-EXP(-LN(2)/2))/(LN(2)/2)*FM152*FP152*VLOOKUP('Données projet'!$B$16,Paramètres!$A$1:$I$89,3,0)*0.475*44/12</f>
        <v>2.0528006050121384E-12</v>
      </c>
      <c r="FT152" s="24">
        <f t="shared" si="132"/>
        <v>34.61394894352977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1.7053025658242404E-13</v>
      </c>
      <c r="GA152" s="18">
        <f>FZ152*VLOOKUP('Données projet'!$B$17,Paramètres!$A$1:$I$89,3,0)*VLOOKUP('Données projet'!$B$17,Paramètres!$A$1:$I$89,5,0)</f>
        <v>1.1439169611549005E-13</v>
      </c>
      <c r="GB152" s="14">
        <f t="shared" si="157"/>
        <v>1.6918016515029816E-12</v>
      </c>
      <c r="GC152" s="22">
        <f t="shared" si="133"/>
        <v>3.1457867471021712E-12</v>
      </c>
      <c r="GD152" s="62">
        <f t="shared" si="134"/>
        <v>293.33333333333644</v>
      </c>
      <c r="GE152" s="62">
        <f ca="1">AVERAGE(OFFSET($GD$3,0,0,'Données projet'!$E$17+1,1))-AVERAGE(OFFSET($H$3,0,0,'Données projet'!$E$17+1,1))</f>
        <v>218.89895999738746</v>
      </c>
      <c r="GF152" s="62">
        <f t="shared" si="158"/>
        <v>145.64042897395763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34.981501675079848</v>
      </c>
      <c r="GM152" s="23">
        <f>EXP(-LN(2)/25)*GM151+(1-EXP(-LN(2)/25))/(LN(2)/25)*Calculateur!GH152*Calculateur!GJ152*VLOOKUP('Données projet'!$B$17,Paramètres!$A$1:$I$89,3,0)*0.475*44/12</f>
        <v>1.709284205059497</v>
      </c>
      <c r="GN152" s="23">
        <f>EXP(-LN(2)/2)*GN151+(1-EXP(-LN(2)/2))/(LN(2)/2)*GH152*GK152*VLOOKUP('Données projet'!$B$17,Paramètres!$A$1:$I$89,3,0)*0.475*44/12</f>
        <v>1.7654085203104512E-12</v>
      </c>
      <c r="GO152" s="23">
        <f t="shared" si="135"/>
        <v>36.690785880141107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1.7053025658242404E-13</v>
      </c>
      <c r="GV152" s="18">
        <f>GU152*VLOOKUP('Données projet'!$B$18,Paramètres!$A$1:$I$89,3,0)*VLOOKUP('Données projet'!$B$18,Paramètres!$A$1:$I$89,5,0)</f>
        <v>1.8355876818532125E-13</v>
      </c>
      <c r="GW152" s="14">
        <f t="shared" si="159"/>
        <v>2.5693529898865504E-12</v>
      </c>
      <c r="GX152" s="22">
        <f t="shared" si="136"/>
        <v>4.7946546453085093E-12</v>
      </c>
      <c r="GY152" s="62">
        <f t="shared" si="137"/>
        <v>293.33333333333809</v>
      </c>
      <c r="GZ152" s="62">
        <f ca="1">AVERAGE(OFFSET($GY$3,0,0,'Données projet'!$E$18+1,1))-AVERAGE(OFFSET($H$3,0,0,'Données projet'!$E$18+1,1))</f>
        <v>331.3579800635751</v>
      </c>
      <c r="HA152" s="62">
        <f t="shared" si="160"/>
        <v>209.40702003535273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45.541955010953025</v>
      </c>
      <c r="HH152" s="23">
        <f>EXP(-LN(2)/25)*HH151+(1-EXP(-LN(2)/25))/(LN(2)/25)*Calculateur!HC152*Calculateur!HE152*VLOOKUP('Données projet'!$B$18,Paramètres!$A$1:$I$89,3,0)*0.475*44/12</f>
        <v>2.2252945311151957</v>
      </c>
      <c r="HI152" s="23">
        <f>EXP(-LN(2)/2)*HI151+(1-EXP(-LN(2)/2))/(LN(2)/2)*HC152*HF152*VLOOKUP('Données projet'!$B$18,Paramètres!$A$1:$I$89,3,0)*0.475*44/12</f>
        <v>2.8328648349167518E-12</v>
      </c>
      <c r="HJ152" s="24">
        <f t="shared" si="138"/>
        <v>47.767249542071056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5.0022208597511053E-12</v>
      </c>
      <c r="O153" s="14">
        <f>N153*VLOOKUP('Données projet'!$B$9,Paramètres!$A$1:$I$89,3,0)*VLOOKUP('Données projet'!$B$9,Paramètres!$A$1:$I$89,5,0)</f>
        <v>4.5260094339028E-12</v>
      </c>
      <c r="P153" s="14">
        <f t="shared" si="141"/>
        <v>4.3625683148570328E-11</v>
      </c>
      <c r="Q153" s="22">
        <f t="shared" si="108"/>
        <v>8.3864197914474037E-11</v>
      </c>
      <c r="R153" s="62">
        <f t="shared" si="109"/>
        <v>293.33333333341716</v>
      </c>
      <c r="S153" s="62">
        <f ca="1">AVERAGE(OFFSET($R$3,0,0,'Données projet'!$E$9+1,1))-AVERAGE(OFFSET($H$3,0,0,'Données projet'!$E$9+1,1))</f>
        <v>2472.5049373954762</v>
      </c>
      <c r="T153" s="62">
        <f t="shared" si="142"/>
        <v>286.98388307318311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1428.7348267895718</v>
      </c>
      <c r="AA153" s="23">
        <f>EXP(-LN(2)/25)*AA152+(1-EXP(-LN(2)/25))/(LN(2)/25)*Calculateur!V153*Calculateur!X153*VLOOKUP('Données projet'!$B$9,Paramètres!$A$1:$I$89,3,0)*0.475*44/12</f>
        <v>66.405189289788751</v>
      </c>
      <c r="AB153" s="23">
        <f>EXP(-LN(2)/2)*AB152+(1-EXP(-LN(2)/2))/(LN(2)/2)*V153*Y153*VLOOKUP('Données projet'!$B$9,Paramètres!$A$1:$I$89,3,0)*0.475*44/12</f>
        <v>6.4505991465500392</v>
      </c>
      <c r="AC153" s="24">
        <f t="shared" si="111"/>
        <v>1501.5906152259106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5.0022208597511053E-12</v>
      </c>
      <c r="AJ153" s="14">
        <f>AI153*VLOOKUP('Données projet'!$B$10,Paramètres!$A$1:$I$89,3,0)*VLOOKUP('Données projet'!$B$10,Paramètres!$A$1:$I$89,5,0)</f>
        <v>5.0722519517876216E-12</v>
      </c>
      <c r="AK153" s="14">
        <f t="shared" si="143"/>
        <v>4.8246688221215311E-11</v>
      </c>
      <c r="AL153" s="22">
        <f t="shared" si="112"/>
        <v>9.2863820801313432E-11</v>
      </c>
      <c r="AM153" s="62">
        <f t="shared" si="113"/>
        <v>293.3333333334262</v>
      </c>
      <c r="AN153" s="62">
        <f ca="1">AVERAGE(OFFSET($AM$3,0,0,'Données projet'!$E$10+1,1))-AVERAGE(OFFSET($H$3,0,0,'Données projet'!$E$10+1,1))</f>
        <v>2761.1400657295467</v>
      </c>
      <c r="AO153" s="62">
        <f t="shared" si="144"/>
        <v>316.41877504316409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1601.1683403676234</v>
      </c>
      <c r="AV153" s="23">
        <f>EXP(-LN(2)/25)*AV152+(1-EXP(-LN(2)/25))/(LN(2)/25)*Calculateur!AQ153*Calculateur!AS153*VLOOKUP('Données projet'!$B$10,Paramètres!$A$1:$I$89,3,0)*0.475*44/12</f>
        <v>74.419608686832234</v>
      </c>
      <c r="AW153" s="23">
        <f>EXP(-LN(2)/2)*AW152+(1-EXP(-LN(2)/2))/(LN(2)/2)*AQ153*AT153*VLOOKUP('Données projet'!$B$10,Paramètres!$A$1:$I$89,3,0)*0.475*44/12</f>
        <v>7.2291197332026318</v>
      </c>
      <c r="AX153" s="23">
        <f t="shared" si="114"/>
        <v>1682.8170687876582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5.0022208597511053E-12</v>
      </c>
      <c r="BE153" s="14">
        <f>BD153*VLOOKUP('Données projet'!$B$11,Paramètres!$A$1:$I$89,3,0)*VLOOKUP('Données projet'!$B$11,Paramètres!$A$1:$I$89,5,0)</f>
        <v>5.2283212426118558E-12</v>
      </c>
      <c r="BF153" s="14">
        <f t="shared" si="145"/>
        <v>4.9556081821365385E-11</v>
      </c>
      <c r="BG153" s="22">
        <f t="shared" si="115"/>
        <v>9.5416168669760364E-11</v>
      </c>
      <c r="BH153" s="62">
        <f t="shared" si="116"/>
        <v>293.33333333342875</v>
      </c>
      <c r="BI153" s="62">
        <f ca="1">AVERAGE(OFFSET($BH$3,0,0,'Données projet'!$E$11+1,1))-AVERAGE(OFFSET($H$3,0,0,'Données projet'!$E$11+1,1))</f>
        <v>2843.5086223152098</v>
      </c>
      <c r="BJ153" s="62">
        <f t="shared" si="146"/>
        <v>324.81562437645522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1650.4350585327811</v>
      </c>
      <c r="BQ153" s="23">
        <f>EXP(-LN(2)/25)*BQ152+(1-EXP(-LN(2)/25))/(LN(2)/25)*Calculateur!BL153*Calculateur!BN153*VLOOKUP('Données projet'!$B$11,Paramètres!$A$1:$I$89,3,0)*0.475*44/12</f>
        <v>76.709442800273237</v>
      </c>
      <c r="BR153" s="23">
        <f>EXP(-LN(2)/2)*BR152+(1-EXP(-LN(2)/2))/(LN(2)/2)*BL153*BO153*VLOOKUP('Données projet'!$B$11,Paramètres!$A$1:$I$89,3,0)*0.475*44/12</f>
        <v>7.4515541865319426</v>
      </c>
      <c r="BS153" s="24">
        <f t="shared" si="117"/>
        <v>1734.5960555195863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5.0022208597511053E-12</v>
      </c>
      <c r="BZ153" s="14">
        <f>BY153*VLOOKUP('Données projet'!$B$12,Paramètres!$A$1:$I$89,3,0)*VLOOKUP('Données projet'!$B$12,Paramètres!$A$1:$I$89,5,0)</f>
        <v>4.9942173063755036E-12</v>
      </c>
      <c r="CA153" s="14">
        <f t="shared" si="147"/>
        <v>4.7590239529202817E-11</v>
      </c>
      <c r="CB153" s="22">
        <f t="shared" si="118"/>
        <v>9.1584595655298897E-11</v>
      </c>
      <c r="CC153" s="62">
        <f t="shared" si="119"/>
        <v>293.33333333342489</v>
      </c>
      <c r="CD153" s="62">
        <f ca="1">AVERAGE(OFFSET($CC$3,0,0,'Données projet'!$E$12+1,1))-AVERAGE(OFFSET($H$3,0,0,'Données projet'!$E$12+1,1))</f>
        <v>2719.939926994799</v>
      </c>
      <c r="CE153" s="62">
        <f t="shared" si="148"/>
        <v>312.21824046329749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1576.5349812850448</v>
      </c>
      <c r="CL153" s="23">
        <f>EXP(-LN(2)/25)*CL152+(1-EXP(-LN(2)/25))/(LN(2)/25)*Calculateur!CG153*Calculateur!CI153*VLOOKUP('Données projet'!$B$12,Paramètres!$A$1:$I$89,3,0)*0.475*44/12</f>
        <v>73.274691630111747</v>
      </c>
      <c r="CM153" s="23">
        <f>EXP(-LN(2)/2)*CM152+(1-EXP(-LN(2)/2))/(LN(2)/2)*CG153*CJ153*VLOOKUP('Données projet'!$B$12,Paramètres!$A$1:$I$89,3,0)*0.475*44/12</f>
        <v>7.1179025065379715</v>
      </c>
      <c r="CN153" s="24">
        <f t="shared" si="120"/>
        <v>1656.9275754216944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1.1368683772161603E-12</v>
      </c>
      <c r="CU153" s="18">
        <f>CT153*VLOOKUP('Données projet'!$B$13,Paramètres!$A$1:$I$89,3,0)*VLOOKUP('Données projet'!$B$13,Paramètres!$A$1:$I$89,5,0)</f>
        <v>9.9316821433603771E-13</v>
      </c>
      <c r="CV153" s="14">
        <f t="shared" si="149"/>
        <v>1.1421454694498936E-11</v>
      </c>
      <c r="CW153" s="22">
        <f t="shared" si="121"/>
        <v>2.1622134899554243E-11</v>
      </c>
      <c r="CX153" s="62">
        <f t="shared" si="122"/>
        <v>293.33333333335491</v>
      </c>
      <c r="CY153" s="62">
        <f ca="1">AVERAGE(OFFSET($CX$3,0,0,'Données projet'!$E$13+1,1))-AVERAGE(OFFSET($H$3,0,0,'Données projet'!$E$13+1,1))</f>
        <v>1036.0130072090849</v>
      </c>
      <c r="CZ153" s="62">
        <f t="shared" si="150"/>
        <v>346.56593355696174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167.42016658896122</v>
      </c>
      <c r="DG153" s="23">
        <f>EXP(-LN(2)/25)*DG152+(1-EXP(-LN(2)/25))/(LN(2)/25)*Calculateur!DB153*Calculateur!DD153*VLOOKUP('Données projet'!$B$13,Paramètres!$A$1:$I$89,3,0)*0.475*44/12</f>
        <v>6.076830894167137</v>
      </c>
      <c r="DH153" s="23">
        <f>EXP(-LN(2)/2)*DH152+(1-EXP(-LN(2)/2))/(LN(2)/2)*DB153*DE153*VLOOKUP('Données projet'!$B$13,Paramètres!$A$1:$I$89,3,0)*0.475*44/12</f>
        <v>2.6302591315080797E-9</v>
      </c>
      <c r="DI153" s="24">
        <f t="shared" si="123"/>
        <v>173.49699748575861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6.8212102632969618E-13</v>
      </c>
      <c r="DP153" s="18">
        <f>DO153*VLOOKUP('Données projet'!$B$14,Paramètres!$A$1:$I$89,3,0)*VLOOKUP('Données projet'!$B$14,Paramètres!$A$1:$I$89,5,0)</f>
        <v>3.8130565371830017E-13</v>
      </c>
      <c r="DQ153" s="14">
        <f t="shared" si="151"/>
        <v>4.9019074112354236E-12</v>
      </c>
      <c r="DR153" s="22">
        <f t="shared" si="124"/>
        <v>9.2015960881277352E-12</v>
      </c>
      <c r="DS153" s="62">
        <f t="shared" si="125"/>
        <v>293.33333333334252</v>
      </c>
      <c r="DT153" s="62">
        <f ca="1">AVERAGE(OFFSET($DS$3,0,0,'Données projet'!$E$14+1,1))-AVERAGE(OFFSET($H$3,0,0,'Données projet'!$E$14+1,1))</f>
        <v>446.48069057792151</v>
      </c>
      <c r="DU153" s="62">
        <f t="shared" si="152"/>
        <v>561.75656782935948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31.066874105172353</v>
      </c>
      <c r="EB153" s="23">
        <f>EXP(-LN(2)/25)*EB152+(1-EXP(-LN(2)/25))/(LN(2)/25)*Calculateur!DW153*Calculateur!DY153*VLOOKUP('Données projet'!$B$14,Paramètres!$A$1:$I$89,3,0)*0.475*44/12</f>
        <v>6.6828632755981907</v>
      </c>
      <c r="EC153" s="23">
        <f>EXP(-LN(2)/2)*EC152+(1-EXP(-LN(2)/2))/(LN(2)/2)*DW153*DZ153*VLOOKUP('Données projet'!$B$14,Paramètres!$A$1:$I$89,3,0)*0.475*44/12</f>
        <v>3.813771965674187E-12</v>
      </c>
      <c r="ED153" s="24">
        <f t="shared" si="126"/>
        <v>37.749737380774356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1.7053025658242404E-13</v>
      </c>
      <c r="EK153" s="18">
        <f>EJ153*VLOOKUP('Données projet'!$B$15,Paramètres!$A$1:$I$89,3,0)*VLOOKUP('Données projet'!$B$15,Paramètres!$A$1:$I$89,5,0)</f>
        <v>1.6493686416652052E-13</v>
      </c>
      <c r="EL153" s="14">
        <f t="shared" si="153"/>
        <v>2.3376205369651282E-12</v>
      </c>
      <c r="EM153" s="22">
        <f t="shared" si="127"/>
        <v>4.3586208069709543E-12</v>
      </c>
      <c r="EN153" s="62">
        <f t="shared" si="128"/>
        <v>293.33333333333769</v>
      </c>
      <c r="EO153" s="62">
        <f ca="1">AVERAGE(OFFSET($EN$3,0,0,'Données projet'!$E$15+1,1))-AVERAGE(OFFSET($H$3,0,0,'Données projet'!$E$15+1,1))</f>
        <v>301.18531163828169</v>
      </c>
      <c r="EP153" s="62">
        <f t="shared" si="154"/>
        <v>192.30530273268101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40.119305987889199</v>
      </c>
      <c r="EW153" s="23">
        <f>EXP(-LN(2)/25)*EW152+(1-EXP(-LN(2)/25))/(LN(2)/25)*Calculateur!ER153*Calculateur!ET153*VLOOKUP('Données projet'!$B$15,Paramètres!$A$1:$I$89,3,0)*0.475*44/12</f>
        <v>1.9448624866463657</v>
      </c>
      <c r="EX153" s="23">
        <f>EXP(-LN(2)/2)*EX152+(1-EXP(-LN(2)/2))/(LN(2)/2)*ER153*EU153*VLOOKUP('Données projet'!$B$15,Paramètres!$A$1:$I$89,3,0)*0.475*44/12</f>
        <v>1.799921043002646E-12</v>
      </c>
      <c r="EY153" s="24">
        <f t="shared" si="129"/>
        <v>42.064168474537361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1.7053025658242404E-13</v>
      </c>
      <c r="FF153" s="18">
        <f>FE153*VLOOKUP('Données projet'!$B$16,Paramètres!$A$1:$I$89,3,0)*VLOOKUP('Données projet'!$B$16,Paramètres!$A$1:$I$89,5,0)</f>
        <v>1.3301360013429075E-13</v>
      </c>
      <c r="FG153" s="14">
        <f t="shared" si="155"/>
        <v>1.9329766731057041E-12</v>
      </c>
      <c r="FH153" s="22">
        <f t="shared" si="130"/>
        <v>3.5982663925596575E-12</v>
      </c>
      <c r="FI153" s="62">
        <f t="shared" si="131"/>
        <v>293.3333333333369</v>
      </c>
      <c r="FJ153" s="62">
        <f ca="1">AVERAGE(OFFSET($FI$3,0,0,'Données projet'!$E$16+1,1))-AVERAGE(OFFSET($H$3,0,0,'Données projet'!$E$16+1,1))</f>
        <v>249.2899297828755</v>
      </c>
      <c r="FK153" s="62">
        <f t="shared" si="156"/>
        <v>162.88011837476813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32.354279022491298</v>
      </c>
      <c r="FR153" s="23">
        <f>EXP(-LN(2)/25)*FR152+(1-EXP(-LN(2)/25))/(LN(2)/25)*Calculateur!FM153*Calculateur!FO153*VLOOKUP('Données projet'!$B$16,Paramètres!$A$1:$I$89,3,0)*0.475*44/12</f>
        <v>1.5684374892309374</v>
      </c>
      <c r="FS153" s="23">
        <f>EXP(-LN(2)/2)*FS152+(1-EXP(-LN(2)/2))/(LN(2)/2)*FM153*FP153*VLOOKUP('Données projet'!$B$16,Paramètres!$A$1:$I$89,3,0)*0.475*44/12</f>
        <v>1.4515492282279305E-12</v>
      </c>
      <c r="FT153" s="24">
        <f t="shared" si="132"/>
        <v>33.922716511723685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1.7053025658242404E-13</v>
      </c>
      <c r="GA153" s="18">
        <f>FZ153*VLOOKUP('Données projet'!$B$17,Paramètres!$A$1:$I$89,3,0)*VLOOKUP('Données projet'!$B$17,Paramètres!$A$1:$I$89,5,0)</f>
        <v>1.1439169611549005E-13</v>
      </c>
      <c r="GB153" s="14">
        <f t="shared" si="157"/>
        <v>1.6918016515029816E-12</v>
      </c>
      <c r="GC153" s="22">
        <f t="shared" si="133"/>
        <v>3.1457867471021712E-12</v>
      </c>
      <c r="GD153" s="62">
        <f t="shared" si="134"/>
        <v>293.33333333333644</v>
      </c>
      <c r="GE153" s="62">
        <f ca="1">AVERAGE(OFFSET($GD$3,0,0,'Données projet'!$E$17+1,1))-AVERAGE(OFFSET($H$3,0,0,'Données projet'!$E$17+1,1))</f>
        <v>218.89895999738746</v>
      </c>
      <c r="GF153" s="62">
        <f t="shared" si="158"/>
        <v>145.64042897395763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34.295535763840739</v>
      </c>
      <c r="GM153" s="23">
        <f>EXP(-LN(2)/25)*GM152+(1-EXP(-LN(2)/25))/(LN(2)/25)*Calculateur!GH153*Calculateur!GJ153*VLOOKUP('Données projet'!$B$17,Paramètres!$A$1:$I$89,3,0)*0.475*44/12</f>
        <v>1.6625437385847952</v>
      </c>
      <c r="GN153" s="23">
        <f>EXP(-LN(2)/2)*GN152+(1-EXP(-LN(2)/2))/(LN(2)/2)*GH153*GK153*VLOOKUP('Données projet'!$B$17,Paramètres!$A$1:$I$89,3,0)*0.475*44/12</f>
        <v>1.2483323362760289E-12</v>
      </c>
      <c r="GO153" s="23">
        <f t="shared" si="135"/>
        <v>35.958079502426784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1.7053025658242404E-13</v>
      </c>
      <c r="GV153" s="18">
        <f>GU153*VLOOKUP('Données projet'!$B$18,Paramètres!$A$1:$I$89,3,0)*VLOOKUP('Données projet'!$B$18,Paramètres!$A$1:$I$89,5,0)</f>
        <v>1.8355876818532125E-13</v>
      </c>
      <c r="GW153" s="14">
        <f t="shared" si="159"/>
        <v>2.5693529898865504E-12</v>
      </c>
      <c r="GX153" s="22">
        <f t="shared" si="136"/>
        <v>4.7946546453085093E-12</v>
      </c>
      <c r="GY153" s="62">
        <f t="shared" si="137"/>
        <v>293.33333333333809</v>
      </c>
      <c r="GZ153" s="62">
        <f ca="1">AVERAGE(OFFSET($GY$3,0,0,'Données projet'!$E$18+1,1))-AVERAGE(OFFSET($H$3,0,0,'Données projet'!$E$18+1,1))</f>
        <v>331.3579800635751</v>
      </c>
      <c r="HA153" s="62">
        <f t="shared" si="160"/>
        <v>209.40702003535273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44.648905051037957</v>
      </c>
      <c r="HH153" s="23">
        <f>EXP(-LN(2)/25)*HH152+(1-EXP(-LN(2)/25))/(LN(2)/25)*Calculateur!HC153*Calculateur!HE153*VLOOKUP('Données projet'!$B$18,Paramètres!$A$1:$I$89,3,0)*0.475*44/12</f>
        <v>2.1644437351386974</v>
      </c>
      <c r="HI153" s="23">
        <f>EXP(-LN(2)/2)*HI152+(1-EXP(-LN(2)/2))/(LN(2)/2)*HC153*HF153*VLOOKUP('Données projet'!$B$18,Paramètres!$A$1:$I$89,3,0)*0.475*44/12</f>
        <v>2.0031379349545446E-12</v>
      </c>
      <c r="HJ153" s="24">
        <f t="shared" si="138"/>
        <v>46.813348786178658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5.0022208597511053E-12</v>
      </c>
      <c r="O154" s="14">
        <f>N154*VLOOKUP('Données projet'!$B$9,Paramètres!$A$1:$I$89,3,0)*VLOOKUP('Données projet'!$B$9,Paramètres!$A$1:$I$89,5,0)</f>
        <v>4.5260094339028E-12</v>
      </c>
      <c r="P154" s="14">
        <f t="shared" si="141"/>
        <v>4.3625683148570328E-11</v>
      </c>
      <c r="Q154" s="22">
        <f t="shared" ref="Q154:Q203" si="162">(O154+P154)*0.475*44/12</f>
        <v>8.3864197914474037E-11</v>
      </c>
      <c r="R154" s="62">
        <f t="shared" si="109"/>
        <v>293.33333333341716</v>
      </c>
      <c r="S154" s="62">
        <f ca="1">AVERAGE(OFFSET($R$3,0,0,'Données projet'!$E$9+1,1))-AVERAGE(OFFSET($H$3,0,0,'Données projet'!$E$9+1,1))</f>
        <v>2472.5049373954762</v>
      </c>
      <c r="T154" s="62">
        <f t="shared" si="142"/>
        <v>286.98388307318311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1400.7182082784248</v>
      </c>
      <c r="AA154" s="23">
        <f>EXP(-LN(2)/25)*AA153+(1-EXP(-LN(2)/25))/(LN(2)/25)*Calculateur!V154*Calculateur!X154*VLOOKUP('Données projet'!$B$9,Paramètres!$A$1:$I$89,3,0)*0.475*44/12</f>
        <v>64.589335896562346</v>
      </c>
      <c r="AB154" s="23">
        <f>EXP(-LN(2)/2)*AB153+(1-EXP(-LN(2)/2))/(LN(2)/2)*V154*Y154*VLOOKUP('Données projet'!$B$9,Paramètres!$A$1:$I$89,3,0)*0.475*44/12</f>
        <v>4.5612623992416887</v>
      </c>
      <c r="AC154" s="24">
        <f t="shared" ref="AC154:AC203" si="163">SUM(Z154:AB154)</f>
        <v>1469.8688065742288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5.0022208597511053E-12</v>
      </c>
      <c r="AJ154" s="14">
        <f>AI154*VLOOKUP('Données projet'!$B$10,Paramètres!$A$1:$I$89,3,0)*VLOOKUP('Données projet'!$B$10,Paramètres!$A$1:$I$89,5,0)</f>
        <v>5.0722519517876216E-12</v>
      </c>
      <c r="AK154" s="14">
        <f t="shared" ref="AK154:AK203" si="164">EXP(-1.0587+0.8836*LN(AJ154)+0.284)</f>
        <v>4.8246688221215311E-11</v>
      </c>
      <c r="AL154" s="22">
        <f t="shared" ref="AL154:AL203" si="165">(AJ154+AK154)*0.475*44/12</f>
        <v>9.2863820801313432E-11</v>
      </c>
      <c r="AM154" s="62">
        <f t="shared" si="113"/>
        <v>293.3333333334262</v>
      </c>
      <c r="AN154" s="62">
        <f ca="1">AVERAGE(OFFSET($AM$3,0,0,'Données projet'!$E$10+1,1))-AVERAGE(OFFSET($H$3,0,0,'Données projet'!$E$10+1,1))</f>
        <v>2761.1400657295467</v>
      </c>
      <c r="AO154" s="62">
        <f t="shared" si="144"/>
        <v>316.41877504316409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1569.7704058292691</v>
      </c>
      <c r="AV154" s="23">
        <f>EXP(-LN(2)/25)*AV153+(1-EXP(-LN(2)/25))/(LN(2)/25)*Calculateur!AQ154*Calculateur!AS154*VLOOKUP('Données projet'!$B$10,Paramètres!$A$1:$I$89,3,0)*0.475*44/12</f>
        <v>72.384600573733678</v>
      </c>
      <c r="AW154" s="23">
        <f>EXP(-LN(2)/2)*AW153+(1-EXP(-LN(2)/2))/(LN(2)/2)*AQ154*AT154*VLOOKUP('Données projet'!$B$10,Paramètres!$A$1:$I$89,3,0)*0.475*44/12</f>
        <v>5.1117595853570661</v>
      </c>
      <c r="AX154" s="23">
        <f t="shared" ref="AX154:AX203" si="166">SUM(AU154:AW154)</f>
        <v>1647.2667659883598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5.0022208597511053E-12</v>
      </c>
      <c r="BE154" s="14">
        <f>BD154*VLOOKUP('Données projet'!$B$11,Paramètres!$A$1:$I$89,3,0)*VLOOKUP('Données projet'!$B$11,Paramètres!$A$1:$I$89,5,0)</f>
        <v>5.2283212426118558E-12</v>
      </c>
      <c r="BF154" s="14">
        <f t="shared" ref="BF154:BF203" si="167">EXP(-1.0587+0.8836*LN(BE154)+0.284)</f>
        <v>4.9556081821365385E-11</v>
      </c>
      <c r="BG154" s="22">
        <f t="shared" ref="BG154:BG203" si="168">(BE154+BF154)*0.475*44/12</f>
        <v>9.5416168669760364E-11</v>
      </c>
      <c r="BH154" s="62">
        <f t="shared" si="116"/>
        <v>293.33333333342875</v>
      </c>
      <c r="BI154" s="62">
        <f ca="1">AVERAGE(OFFSET($BH$3,0,0,'Données projet'!$E$11+1,1))-AVERAGE(OFFSET($H$3,0,0,'Données projet'!$E$11+1,1))</f>
        <v>2843.5086223152098</v>
      </c>
      <c r="BJ154" s="62">
        <f t="shared" si="146"/>
        <v>324.81562437645522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1618.0710337009389</v>
      </c>
      <c r="BQ154" s="23">
        <f>EXP(-LN(2)/25)*BQ153+(1-EXP(-LN(2)/25))/(LN(2)/25)*Calculateur!BL154*Calculateur!BN154*VLOOKUP('Données projet'!$B$11,Paramètres!$A$1:$I$89,3,0)*0.475*44/12</f>
        <v>74.611819052925497</v>
      </c>
      <c r="BR154" s="23">
        <f>EXP(-LN(2)/2)*BR153+(1-EXP(-LN(2)/2))/(LN(2)/2)*BL154*BO154*VLOOKUP('Données projet'!$B$11,Paramètres!$A$1:$I$89,3,0)*0.475*44/12</f>
        <v>5.269044495675745</v>
      </c>
      <c r="BS154" s="24">
        <f t="shared" ref="BS154:BS203" si="169">SUM(BP154:BR154)</f>
        <v>1697.95189724954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5.0022208597511053E-12</v>
      </c>
      <c r="BZ154" s="14">
        <f>BY154*VLOOKUP('Données projet'!$B$12,Paramètres!$A$1:$I$89,3,0)*VLOOKUP('Données projet'!$B$12,Paramètres!$A$1:$I$89,5,0)</f>
        <v>4.9942173063755036E-12</v>
      </c>
      <c r="CA154" s="14">
        <f t="shared" ref="CA154:CA203" si="170">EXP(-1.0587+0.8836*LN(BZ154)+0.284)</f>
        <v>4.7590239529202817E-11</v>
      </c>
      <c r="CB154" s="22">
        <f t="shared" ref="CB154:CB203" si="171">(BZ154+CA154)*0.475*44/12</f>
        <v>9.1584595655298897E-11</v>
      </c>
      <c r="CC154" s="62">
        <f t="shared" si="119"/>
        <v>293.33333333342489</v>
      </c>
      <c r="CD154" s="62">
        <f ca="1">AVERAGE(OFFSET($CC$3,0,0,'Données projet'!$E$12+1,1))-AVERAGE(OFFSET($H$3,0,0,'Données projet'!$E$12+1,1))</f>
        <v>2719.939926994799</v>
      </c>
      <c r="CE154" s="62">
        <f t="shared" si="148"/>
        <v>312.21824046329749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1545.6200918934344</v>
      </c>
      <c r="CL154" s="23">
        <f>EXP(-LN(2)/25)*CL153+(1-EXP(-LN(2)/25))/(LN(2)/25)*Calculateur!CG154*Calculateur!CI154*VLOOKUP('Données projet'!$B$12,Paramètres!$A$1:$I$89,3,0)*0.475*44/12</f>
        <v>71.270991334137776</v>
      </c>
      <c r="CM154" s="23">
        <f>EXP(-LN(2)/2)*CM153+(1-EXP(-LN(2)/2))/(LN(2)/2)*CG154*CJ154*VLOOKUP('Données projet'!$B$12,Paramètres!$A$1:$I$89,3,0)*0.475*44/12</f>
        <v>5.0331171301977236</v>
      </c>
      <c r="CN154" s="24">
        <f t="shared" ref="CN154:CN203" si="172">SUM(CK154:CM154)</f>
        <v>1621.9242003577699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1.1368683772161603E-12</v>
      </c>
      <c r="CU154" s="18">
        <f>CT154*VLOOKUP('Données projet'!$B$13,Paramètres!$A$1:$I$89,3,0)*VLOOKUP('Données projet'!$B$13,Paramètres!$A$1:$I$89,5,0)</f>
        <v>9.9316821433603771E-13</v>
      </c>
      <c r="CV154" s="14">
        <f t="shared" ref="CV154:CV203" si="173">EXP(-1.0587+0.8836*LN(CU154)+0.284)</f>
        <v>1.1421454694498936E-11</v>
      </c>
      <c r="CW154" s="22">
        <f t="shared" ref="CW154:CW203" si="174">(CU154+CV154)*0.475*44/12</f>
        <v>2.1622134899554243E-11</v>
      </c>
      <c r="CX154" s="62">
        <f t="shared" si="122"/>
        <v>293.33333333335491</v>
      </c>
      <c r="CY154" s="62">
        <f ca="1">AVERAGE(OFFSET($CX$3,0,0,'Données projet'!$E$13+1,1))-AVERAGE(OFFSET($H$3,0,0,'Données projet'!$E$13+1,1))</f>
        <v>1036.0130072090849</v>
      </c>
      <c r="CZ154" s="62">
        <f t="shared" si="150"/>
        <v>346.56593355696174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164.13715923837017</v>
      </c>
      <c r="DG154" s="23">
        <f>EXP(-LN(2)/25)*DG153+(1-EXP(-LN(2)/25))/(LN(2)/25)*Calculateur!DB154*Calculateur!DD154*VLOOKUP('Données projet'!$B$13,Paramètres!$A$1:$I$89,3,0)*0.475*44/12</f>
        <v>5.9106596337994883</v>
      </c>
      <c r="DH154" s="23">
        <f>EXP(-LN(2)/2)*DH153+(1-EXP(-LN(2)/2))/(LN(2)/2)*DB154*DE154*VLOOKUP('Données projet'!$B$13,Paramètres!$A$1:$I$89,3,0)*0.475*44/12</f>
        <v>1.8598740681672023E-9</v>
      </c>
      <c r="DI154" s="24">
        <f t="shared" ref="DI154:DI203" si="175">SUM(DF154:DH154)</f>
        <v>170.04781887402956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6.8212102632969618E-13</v>
      </c>
      <c r="DP154" s="18">
        <f>DO154*VLOOKUP('Données projet'!$B$14,Paramètres!$A$1:$I$89,3,0)*VLOOKUP('Données projet'!$B$14,Paramètres!$A$1:$I$89,5,0)</f>
        <v>3.8130565371830017E-13</v>
      </c>
      <c r="DQ154" s="14">
        <f t="shared" ref="DQ154:DQ203" si="176">EXP(-1.0587+0.8836*LN(DP154)+0.284)</f>
        <v>4.9019074112354236E-12</v>
      </c>
      <c r="DR154" s="22">
        <f t="shared" ref="DR154:DR203" si="177">(DP154+DQ154)*0.475*44/12</f>
        <v>9.2015960881277352E-12</v>
      </c>
      <c r="DS154" s="62">
        <f t="shared" si="125"/>
        <v>293.33333333334252</v>
      </c>
      <c r="DT154" s="62">
        <f ca="1">AVERAGE(OFFSET($DS$3,0,0,'Données projet'!$E$14+1,1))-AVERAGE(OFFSET($H$3,0,0,'Données projet'!$E$14+1,1))</f>
        <v>446.48069057792151</v>
      </c>
      <c r="DU154" s="62">
        <f t="shared" si="152"/>
        <v>561.75656782935948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30.457671652892078</v>
      </c>
      <c r="EB154" s="23">
        <f>EXP(-LN(2)/25)*EB153+(1-EXP(-LN(2)/25))/(LN(2)/25)*Calculateur!DW154*Calculateur!DY154*VLOOKUP('Données projet'!$B$14,Paramètres!$A$1:$I$89,3,0)*0.475*44/12</f>
        <v>6.5001200278904525</v>
      </c>
      <c r="EC154" s="23">
        <f>EXP(-LN(2)/2)*EC153+(1-EXP(-LN(2)/2))/(LN(2)/2)*DW154*DZ154*VLOOKUP('Données projet'!$B$14,Paramètres!$A$1:$I$89,3,0)*0.475*44/12</f>
        <v>2.6967440188273666E-12</v>
      </c>
      <c r="ED154" s="24">
        <f t="shared" ref="ED154:ED203" si="178">SUM(EA154:EC154)</f>
        <v>36.957791680785228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1.7053025658242404E-13</v>
      </c>
      <c r="EK154" s="18">
        <f>EJ154*VLOOKUP('Données projet'!$B$15,Paramètres!$A$1:$I$89,3,0)*VLOOKUP('Données projet'!$B$15,Paramètres!$A$1:$I$89,5,0)</f>
        <v>1.6493686416652052E-13</v>
      </c>
      <c r="EL154" s="14">
        <f t="shared" ref="EL154:EL203" si="179">EXP(-1.0587+0.8836*LN(EK154)+0.284)</f>
        <v>2.3376205369651282E-12</v>
      </c>
      <c r="EM154" s="22">
        <f t="shared" ref="EM154:EM203" si="180">(EK154+EL154)*0.475*44/12</f>
        <v>4.3586208069709543E-12</v>
      </c>
      <c r="EN154" s="62">
        <f t="shared" si="128"/>
        <v>293.33333333333769</v>
      </c>
      <c r="EO154" s="62">
        <f ca="1">AVERAGE(OFFSET($EN$3,0,0,'Données projet'!$E$15+1,1))-AVERAGE(OFFSET($H$3,0,0,'Données projet'!$E$15+1,1))</f>
        <v>301.18531163828169</v>
      </c>
      <c r="EP154" s="62">
        <f t="shared" si="154"/>
        <v>192.30530273268101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39.332590867827093</v>
      </c>
      <c r="EW154" s="23">
        <f>EXP(-LN(2)/25)*EW153+(1-EXP(-LN(2)/25))/(LN(2)/25)*Calculateur!ER154*Calculateur!ET154*VLOOKUP('Données projet'!$B$15,Paramètres!$A$1:$I$89,3,0)*0.475*44/12</f>
        <v>1.8916801196731476</v>
      </c>
      <c r="EX154" s="23">
        <f>EXP(-LN(2)/2)*EX153+(1-EXP(-LN(2)/2))/(LN(2)/2)*ER154*EU154*VLOOKUP('Données projet'!$B$15,Paramètres!$A$1:$I$89,3,0)*0.475*44/12</f>
        <v>1.2727363751075345E-12</v>
      </c>
      <c r="EY154" s="24">
        <f t="shared" ref="EY154:EY203" si="181">SUM(EV154:EX154)</f>
        <v>41.224270987501512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1.7053025658242404E-13</v>
      </c>
      <c r="FF154" s="18">
        <f>FE154*VLOOKUP('Données projet'!$B$16,Paramètres!$A$1:$I$89,3,0)*VLOOKUP('Données projet'!$B$16,Paramètres!$A$1:$I$89,5,0)</f>
        <v>1.3301360013429075E-13</v>
      </c>
      <c r="FG154" s="14">
        <f t="shared" ref="FG154:FG203" si="182">EXP(-1.0587+0.8836*LN(FF154)+0.284)</f>
        <v>1.9329766731057041E-12</v>
      </c>
      <c r="FH154" s="22">
        <f t="shared" ref="FH154:FH203" si="183">(FF154+FG154)*0.475*44/12</f>
        <v>3.5982663925596575E-12</v>
      </c>
      <c r="FI154" s="62">
        <f t="shared" si="131"/>
        <v>293.3333333333369</v>
      </c>
      <c r="FJ154" s="62">
        <f ca="1">AVERAGE(OFFSET($FI$3,0,0,'Données projet'!$E$16+1,1))-AVERAGE(OFFSET($H$3,0,0,'Données projet'!$E$16+1,1))</f>
        <v>249.2899297828755</v>
      </c>
      <c r="FK154" s="62">
        <f t="shared" si="156"/>
        <v>162.88011837476813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31.719831345021859</v>
      </c>
      <c r="FR154" s="23">
        <f>EXP(-LN(2)/25)*FR153+(1-EXP(-LN(2)/25))/(LN(2)/25)*Calculateur!FM154*Calculateur!FO154*VLOOKUP('Données projet'!$B$16,Paramètres!$A$1:$I$89,3,0)*0.475*44/12</f>
        <v>1.5255484836073745</v>
      </c>
      <c r="FS154" s="23">
        <f>EXP(-LN(2)/2)*FS153+(1-EXP(-LN(2)/2))/(LN(2)/2)*FM154*FP154*VLOOKUP('Données projet'!$B$16,Paramètres!$A$1:$I$89,3,0)*0.475*44/12</f>
        <v>1.0264003025060692E-12</v>
      </c>
      <c r="FT154" s="24">
        <f t="shared" ref="FT154:FT203" si="184">SUM(FQ154:FS154)</f>
        <v>33.245379828630256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1.7053025658242404E-13</v>
      </c>
      <c r="GA154" s="18">
        <f>FZ154*VLOOKUP('Données projet'!$B$17,Paramètres!$A$1:$I$89,3,0)*VLOOKUP('Données projet'!$B$17,Paramètres!$A$1:$I$89,5,0)</f>
        <v>1.1439169611549005E-13</v>
      </c>
      <c r="GB154" s="14">
        <f t="shared" ref="GB154:GB203" si="185">EXP(-1.0587+0.8836*LN(GA154)+0.284)</f>
        <v>1.6918016515029816E-12</v>
      </c>
      <c r="GC154" s="22">
        <f t="shared" ref="GC154:GC203" si="186">(GA154+GB154)*0.475*44/12</f>
        <v>3.1457867471021712E-12</v>
      </c>
      <c r="GD154" s="62">
        <f t="shared" si="134"/>
        <v>293.33333333333644</v>
      </c>
      <c r="GE154" s="62">
        <f ca="1">AVERAGE(OFFSET($GD$3,0,0,'Données projet'!$E$17+1,1))-AVERAGE(OFFSET($H$3,0,0,'Données projet'!$E$17+1,1))</f>
        <v>218.89895999738746</v>
      </c>
      <c r="GF154" s="62">
        <f t="shared" si="158"/>
        <v>145.64042897395763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33.623021225723136</v>
      </c>
      <c r="GM154" s="23">
        <f>EXP(-LN(2)/25)*GM153+(1-EXP(-LN(2)/25))/(LN(2)/25)*Calculateur!GH154*Calculateur!GJ154*VLOOKUP('Données projet'!$B$17,Paramètres!$A$1:$I$89,3,0)*0.475*44/12</f>
        <v>1.6170813926238186</v>
      </c>
      <c r="GN154" s="23">
        <f>EXP(-LN(2)/2)*GN153+(1-EXP(-LN(2)/2))/(LN(2)/2)*GH154*GK154*VLOOKUP('Données projet'!$B$17,Paramètres!$A$1:$I$89,3,0)*0.475*44/12</f>
        <v>8.8270426015522569E-13</v>
      </c>
      <c r="GO154" s="23">
        <f t="shared" ref="GO154:GO203" si="187">SUM(GL154:GN154)</f>
        <v>35.240102618347834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1.7053025658242404E-13</v>
      </c>
      <c r="GV154" s="18">
        <f>GU154*VLOOKUP('Données projet'!$B$18,Paramètres!$A$1:$I$89,3,0)*VLOOKUP('Données projet'!$B$18,Paramètres!$A$1:$I$89,5,0)</f>
        <v>1.8355876818532125E-13</v>
      </c>
      <c r="GW154" s="14">
        <f t="shared" ref="GW154:GW203" si="188">EXP(-1.0587+0.8836*LN(GV154)+0.284)</f>
        <v>2.5693529898865504E-12</v>
      </c>
      <c r="GX154" s="22">
        <f t="shared" ref="GX154:GX203" si="189">(GV154+GW154)*0.475*44/12</f>
        <v>4.7946546453085093E-12</v>
      </c>
      <c r="GY154" s="62">
        <f t="shared" si="137"/>
        <v>293.33333333333809</v>
      </c>
      <c r="GZ154" s="62">
        <f ca="1">AVERAGE(OFFSET($GY$3,0,0,'Données projet'!$E$18+1,1))-AVERAGE(OFFSET($H$3,0,0,'Données projet'!$E$18+1,1))</f>
        <v>331.3579800635751</v>
      </c>
      <c r="HA154" s="62">
        <f t="shared" si="160"/>
        <v>209.40702003535273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43.773367256130136</v>
      </c>
      <c r="HH154" s="23">
        <f>EXP(-LN(2)/25)*HH153+(1-EXP(-LN(2)/25))/(LN(2)/25)*Calculateur!HC154*Calculateur!HE154*VLOOKUP('Données projet'!$B$18,Paramètres!$A$1:$I$89,3,0)*0.475*44/12</f>
        <v>2.1052569073781804</v>
      </c>
      <c r="HI154" s="23">
        <f>EXP(-LN(2)/2)*HI153+(1-EXP(-LN(2)/2))/(LN(2)/2)*HC154*HF154*VLOOKUP('Données projet'!$B$18,Paramètres!$A$1:$I$89,3,0)*0.475*44/12</f>
        <v>1.4164324174583759E-12</v>
      </c>
      <c r="HJ154" s="24">
        <f t="shared" ref="HJ154:HJ203" si="190">SUM(HG154:HI154)</f>
        <v>45.878624163509734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5.0022208597511053E-12</v>
      </c>
      <c r="O155" s="14">
        <f>N155*VLOOKUP('Données projet'!$B$9,Paramètres!$A$1:$I$89,3,0)*VLOOKUP('Données projet'!$B$9,Paramètres!$A$1:$I$89,5,0)</f>
        <v>4.5260094339028E-12</v>
      </c>
      <c r="P155" s="14">
        <f t="shared" si="141"/>
        <v>4.3625683148570328E-11</v>
      </c>
      <c r="Q155" s="22">
        <f t="shared" si="162"/>
        <v>8.3864197914474037E-11</v>
      </c>
      <c r="R155" s="62">
        <f t="shared" si="109"/>
        <v>293.33333333341716</v>
      </c>
      <c r="S155" s="62">
        <f ca="1">AVERAGE(OFFSET($R$3,0,0,'Données projet'!$E$9+1,1))-AVERAGE(OFFSET($H$3,0,0,'Données projet'!$E$9+1,1))</f>
        <v>2472.5049373954762</v>
      </c>
      <c r="T155" s="62">
        <f t="shared" si="142"/>
        <v>286.98388307318311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1373.2509785678315</v>
      </c>
      <c r="AA155" s="23">
        <f>EXP(-LN(2)/25)*AA154+(1-EXP(-LN(2)/25))/(LN(2)/25)*Calculateur!V155*Calculateur!X155*VLOOKUP('Données projet'!$B$9,Paramètres!$A$1:$I$89,3,0)*0.475*44/12</f>
        <v>62.823137109865293</v>
      </c>
      <c r="AB155" s="23">
        <f>EXP(-LN(2)/2)*AB154+(1-EXP(-LN(2)/2))/(LN(2)/2)*V155*Y155*VLOOKUP('Données projet'!$B$9,Paramètres!$A$1:$I$89,3,0)*0.475*44/12</f>
        <v>3.2252995732750196</v>
      </c>
      <c r="AC155" s="24">
        <f t="shared" si="163"/>
        <v>1439.2994152509716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5.0022208597511053E-12</v>
      </c>
      <c r="AJ155" s="14">
        <f>AI155*VLOOKUP('Données projet'!$B$10,Paramètres!$A$1:$I$89,3,0)*VLOOKUP('Données projet'!$B$10,Paramètres!$A$1:$I$89,5,0)</f>
        <v>5.0722519517876216E-12</v>
      </c>
      <c r="AK155" s="14">
        <f t="shared" si="164"/>
        <v>4.8246688221215311E-11</v>
      </c>
      <c r="AL155" s="22">
        <f t="shared" si="165"/>
        <v>9.2863820801313432E-11</v>
      </c>
      <c r="AM155" s="62">
        <f t="shared" si="113"/>
        <v>293.3333333334262</v>
      </c>
      <c r="AN155" s="62">
        <f ca="1">AVERAGE(OFFSET($AM$3,0,0,'Données projet'!$E$10+1,1))-AVERAGE(OFFSET($H$3,0,0,'Données projet'!$E$10+1,1))</f>
        <v>2761.1400657295467</v>
      </c>
      <c r="AO155" s="62">
        <f t="shared" si="144"/>
        <v>316.41877504316409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1538.9881656363627</v>
      </c>
      <c r="AV155" s="23">
        <f>EXP(-LN(2)/25)*AV154+(1-EXP(-LN(2)/25))/(LN(2)/25)*Calculateur!AQ155*Calculateur!AS155*VLOOKUP('Données projet'!$B$10,Paramètres!$A$1:$I$89,3,0)*0.475*44/12</f>
        <v>70.405239864504225</v>
      </c>
      <c r="AW155" s="23">
        <f>EXP(-LN(2)/2)*AW154+(1-EXP(-LN(2)/2))/(LN(2)/2)*AQ155*AT155*VLOOKUP('Données projet'!$B$10,Paramètres!$A$1:$I$89,3,0)*0.475*44/12</f>
        <v>3.6145598666013159</v>
      </c>
      <c r="AX155" s="23">
        <f t="shared" si="166"/>
        <v>1613.0079653674682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5.0022208597511053E-12</v>
      </c>
      <c r="BE155" s="14">
        <f>BD155*VLOOKUP('Données projet'!$B$11,Paramètres!$A$1:$I$89,3,0)*VLOOKUP('Données projet'!$B$11,Paramètres!$A$1:$I$89,5,0)</f>
        <v>5.2283212426118558E-12</v>
      </c>
      <c r="BF155" s="14">
        <f t="shared" si="167"/>
        <v>4.9556081821365385E-11</v>
      </c>
      <c r="BG155" s="22">
        <f t="shared" si="168"/>
        <v>9.5416168669760364E-11</v>
      </c>
      <c r="BH155" s="62">
        <f t="shared" si="116"/>
        <v>293.33333333342875</v>
      </c>
      <c r="BI155" s="62">
        <f ca="1">AVERAGE(OFFSET($BH$3,0,0,'Données projet'!$E$11+1,1))-AVERAGE(OFFSET($H$3,0,0,'Données projet'!$E$11+1,1))</f>
        <v>2843.5086223152098</v>
      </c>
      <c r="BJ155" s="62">
        <f t="shared" si="146"/>
        <v>324.81562437645522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1586.3416476559432</v>
      </c>
      <c r="BQ155" s="23">
        <f>EXP(-LN(2)/25)*BQ154+(1-EXP(-LN(2)/25))/(LN(2)/25)*Calculateur!BL155*Calculateur!BN155*VLOOKUP('Données projet'!$B$11,Paramètres!$A$1:$I$89,3,0)*0.475*44/12</f>
        <v>72.571554937258213</v>
      </c>
      <c r="BR155" s="23">
        <f>EXP(-LN(2)/2)*BR154+(1-EXP(-LN(2)/2))/(LN(2)/2)*BL155*BO155*VLOOKUP('Données projet'!$B$11,Paramètres!$A$1:$I$89,3,0)*0.475*44/12</f>
        <v>3.7257770932659717</v>
      </c>
      <c r="BS155" s="24">
        <f t="shared" si="169"/>
        <v>1662.6389796864676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5.0022208597511053E-12</v>
      </c>
      <c r="BZ155" s="14">
        <f>BY155*VLOOKUP('Données projet'!$B$12,Paramètres!$A$1:$I$89,3,0)*VLOOKUP('Données projet'!$B$12,Paramètres!$A$1:$I$89,5,0)</f>
        <v>4.9942173063755036E-12</v>
      </c>
      <c r="CA155" s="14">
        <f t="shared" si="170"/>
        <v>4.7590239529202817E-11</v>
      </c>
      <c r="CB155" s="22">
        <f t="shared" si="171"/>
        <v>9.1584595655298897E-11</v>
      </c>
      <c r="CC155" s="62">
        <f t="shared" si="119"/>
        <v>293.33333333342489</v>
      </c>
      <c r="CD155" s="62">
        <f ca="1">AVERAGE(OFFSET($CC$3,0,0,'Données projet'!$E$12+1,1))-AVERAGE(OFFSET($H$3,0,0,'Données projet'!$E$12+1,1))</f>
        <v>2719.939926994799</v>
      </c>
      <c r="CE155" s="62">
        <f t="shared" si="148"/>
        <v>312.21824046329749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1515.3114246265729</v>
      </c>
      <c r="CL155" s="23">
        <f>EXP(-LN(2)/25)*CL154+(1-EXP(-LN(2)/25))/(LN(2)/25)*Calculateur!CG155*Calculateur!CI155*VLOOKUP('Données projet'!$B$12,Paramètres!$A$1:$I$89,3,0)*0.475*44/12</f>
        <v>69.322082328127237</v>
      </c>
      <c r="CM155" s="23">
        <f>EXP(-LN(2)/2)*CM154+(1-EXP(-LN(2)/2))/(LN(2)/2)*CG155*CJ155*VLOOKUP('Données projet'!$B$12,Paramètres!$A$1:$I$89,3,0)*0.475*44/12</f>
        <v>3.5589512532689858</v>
      </c>
      <c r="CN155" s="24">
        <f t="shared" si="172"/>
        <v>1588.1924582079691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1.1368683772161603E-12</v>
      </c>
      <c r="CU155" s="18">
        <f>CT155*VLOOKUP('Données projet'!$B$13,Paramètres!$A$1:$I$89,3,0)*VLOOKUP('Données projet'!$B$13,Paramètres!$A$1:$I$89,5,0)</f>
        <v>9.9316821433603771E-13</v>
      </c>
      <c r="CV155" s="14">
        <f t="shared" si="173"/>
        <v>1.1421454694498936E-11</v>
      </c>
      <c r="CW155" s="22">
        <f t="shared" si="174"/>
        <v>2.1622134899554243E-11</v>
      </c>
      <c r="CX155" s="62">
        <f t="shared" si="122"/>
        <v>293.33333333335491</v>
      </c>
      <c r="CY155" s="62">
        <f ca="1">AVERAGE(OFFSET($CX$3,0,0,'Données projet'!$E$13+1,1))-AVERAGE(OFFSET($H$3,0,0,'Données projet'!$E$13+1,1))</f>
        <v>1036.0130072090849</v>
      </c>
      <c r="CZ155" s="62">
        <f t="shared" si="150"/>
        <v>346.56593355696174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160.91852965948746</v>
      </c>
      <c r="DG155" s="23">
        <f>EXP(-LN(2)/25)*DG154+(1-EXP(-LN(2)/25))/(LN(2)/25)*Calculateur!DB155*Calculateur!DD155*VLOOKUP('Données projet'!$B$13,Paramètres!$A$1:$I$89,3,0)*0.475*44/12</f>
        <v>5.7490323352851602</v>
      </c>
      <c r="DH155" s="23">
        <f>EXP(-LN(2)/2)*DH154+(1-EXP(-LN(2)/2))/(LN(2)/2)*DB155*DE155*VLOOKUP('Données projet'!$B$13,Paramètres!$A$1:$I$89,3,0)*0.475*44/12</f>
        <v>1.3151295657540401E-9</v>
      </c>
      <c r="DI155" s="24">
        <f t="shared" si="175"/>
        <v>166.66756199608776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6.8212102632969618E-13</v>
      </c>
      <c r="DP155" s="18">
        <f>DO155*VLOOKUP('Données projet'!$B$14,Paramètres!$A$1:$I$89,3,0)*VLOOKUP('Données projet'!$B$14,Paramètres!$A$1:$I$89,5,0)</f>
        <v>3.8130565371830017E-13</v>
      </c>
      <c r="DQ155" s="14">
        <f t="shared" si="176"/>
        <v>4.9019074112354236E-12</v>
      </c>
      <c r="DR155" s="22">
        <f t="shared" si="177"/>
        <v>9.2015960881277352E-12</v>
      </c>
      <c r="DS155" s="62">
        <f t="shared" si="125"/>
        <v>293.33333333334252</v>
      </c>
      <c r="DT155" s="62">
        <f ca="1">AVERAGE(OFFSET($DS$3,0,0,'Données projet'!$E$14+1,1))-AVERAGE(OFFSET($H$3,0,0,'Données projet'!$E$14+1,1))</f>
        <v>446.48069057792151</v>
      </c>
      <c r="DU155" s="62">
        <f t="shared" si="152"/>
        <v>561.75656782935948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29.860415289124212</v>
      </c>
      <c r="EB155" s="23">
        <f>EXP(-LN(2)/25)*EB154+(1-EXP(-LN(2)/25))/(LN(2)/25)*Calculateur!DW155*Calculateur!DY155*VLOOKUP('Données projet'!$B$14,Paramètres!$A$1:$I$89,3,0)*0.475*44/12</f>
        <v>6.3223739039013322</v>
      </c>
      <c r="EC155" s="23">
        <f>EXP(-LN(2)/2)*EC154+(1-EXP(-LN(2)/2))/(LN(2)/2)*DW155*DZ155*VLOOKUP('Données projet'!$B$14,Paramètres!$A$1:$I$89,3,0)*0.475*44/12</f>
        <v>1.9068859828370935E-12</v>
      </c>
      <c r="ED155" s="24">
        <f t="shared" si="178"/>
        <v>36.182789193027446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1.7053025658242404E-13</v>
      </c>
      <c r="EK155" s="18">
        <f>EJ155*VLOOKUP('Données projet'!$B$15,Paramètres!$A$1:$I$89,3,0)*VLOOKUP('Données projet'!$B$15,Paramètres!$A$1:$I$89,5,0)</f>
        <v>1.6493686416652052E-13</v>
      </c>
      <c r="EL155" s="14">
        <f t="shared" si="179"/>
        <v>2.3376205369651282E-12</v>
      </c>
      <c r="EM155" s="22">
        <f t="shared" si="180"/>
        <v>4.3586208069709543E-12</v>
      </c>
      <c r="EN155" s="62">
        <f t="shared" si="128"/>
        <v>293.33333333333769</v>
      </c>
      <c r="EO155" s="62">
        <f ca="1">AVERAGE(OFFSET($EN$3,0,0,'Données projet'!$E$15+1,1))-AVERAGE(OFFSET($H$3,0,0,'Données projet'!$E$15+1,1))</f>
        <v>301.18531163828169</v>
      </c>
      <c r="EP155" s="62">
        <f t="shared" si="154"/>
        <v>192.30530273268101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38.56130275142057</v>
      </c>
      <c r="EW155" s="23">
        <f>EXP(-LN(2)/25)*EW154+(1-EXP(-LN(2)/25))/(LN(2)/25)*Calculateur!ER155*Calculateur!ET155*VLOOKUP('Données projet'!$B$15,Paramètres!$A$1:$I$89,3,0)*0.475*44/12</f>
        <v>1.8399520273215515</v>
      </c>
      <c r="EX155" s="23">
        <f>EXP(-LN(2)/2)*EX154+(1-EXP(-LN(2)/2))/(LN(2)/2)*ER155*EU155*VLOOKUP('Données projet'!$B$15,Paramètres!$A$1:$I$89,3,0)*0.475*44/12</f>
        <v>8.9996052150132311E-13</v>
      </c>
      <c r="EY155" s="24">
        <f t="shared" si="181"/>
        <v>40.401254778743024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1.7053025658242404E-13</v>
      </c>
      <c r="FF155" s="18">
        <f>FE155*VLOOKUP('Données projet'!$B$16,Paramètres!$A$1:$I$89,3,0)*VLOOKUP('Données projet'!$B$16,Paramètres!$A$1:$I$89,5,0)</f>
        <v>1.3301360013429075E-13</v>
      </c>
      <c r="FG155" s="14">
        <f t="shared" si="182"/>
        <v>1.9329766731057041E-12</v>
      </c>
      <c r="FH155" s="22">
        <f t="shared" si="183"/>
        <v>3.5982663925596575E-12</v>
      </c>
      <c r="FI155" s="62">
        <f t="shared" si="131"/>
        <v>293.3333333333369</v>
      </c>
      <c r="FJ155" s="62">
        <f ca="1">AVERAGE(OFFSET($FI$3,0,0,'Données projet'!$E$16+1,1))-AVERAGE(OFFSET($H$3,0,0,'Données projet'!$E$16+1,1))</f>
        <v>249.2899297828755</v>
      </c>
      <c r="FK155" s="62">
        <f t="shared" si="156"/>
        <v>162.88011837476813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31.097824799532724</v>
      </c>
      <c r="FR155" s="23">
        <f>EXP(-LN(2)/25)*FR154+(1-EXP(-LN(2)/25))/(LN(2)/25)*Calculateur!FM155*Calculateur!FO155*VLOOKUP('Données projet'!$B$16,Paramètres!$A$1:$I$89,3,0)*0.475*44/12</f>
        <v>1.4838322800980228</v>
      </c>
      <c r="FS155" s="23">
        <f>EXP(-LN(2)/2)*FS154+(1-EXP(-LN(2)/2))/(LN(2)/2)*FM155*FP155*VLOOKUP('Données projet'!$B$16,Paramètres!$A$1:$I$89,3,0)*0.475*44/12</f>
        <v>7.2577461411396527E-13</v>
      </c>
      <c r="FT155" s="24">
        <f t="shared" si="184"/>
        <v>32.581657079631469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1.7053025658242404E-13</v>
      </c>
      <c r="GA155" s="18">
        <f>FZ155*VLOOKUP('Données projet'!$B$17,Paramètres!$A$1:$I$89,3,0)*VLOOKUP('Données projet'!$B$17,Paramètres!$A$1:$I$89,5,0)</f>
        <v>1.1439169611549005E-13</v>
      </c>
      <c r="GB155" s="14">
        <f t="shared" si="185"/>
        <v>1.6918016515029816E-12</v>
      </c>
      <c r="GC155" s="22">
        <f t="shared" si="186"/>
        <v>3.1457867471021712E-12</v>
      </c>
      <c r="GD155" s="62">
        <f t="shared" si="134"/>
        <v>293.33333333333644</v>
      </c>
      <c r="GE155" s="62">
        <f ca="1">AVERAGE(OFFSET($GD$3,0,0,'Données projet'!$E$17+1,1))-AVERAGE(OFFSET($H$3,0,0,'Données projet'!$E$17+1,1))</f>
        <v>218.89895999738746</v>
      </c>
      <c r="GF155" s="62">
        <f t="shared" si="158"/>
        <v>145.64042897395763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32.963694287504651</v>
      </c>
      <c r="GM155" s="23">
        <f>EXP(-LN(2)/25)*GM154+(1-EXP(-LN(2)/25))/(LN(2)/25)*Calculateur!GH155*Calculateur!GJ155*VLOOKUP('Données projet'!$B$17,Paramètres!$A$1:$I$89,3,0)*0.475*44/12</f>
        <v>1.5728622169039057</v>
      </c>
      <c r="GN155" s="23">
        <f>EXP(-LN(2)/2)*GN154+(1-EXP(-LN(2)/2))/(LN(2)/2)*GH155*GK155*VLOOKUP('Données projet'!$B$17,Paramètres!$A$1:$I$89,3,0)*0.475*44/12</f>
        <v>6.2416616813801455E-13</v>
      </c>
      <c r="GO155" s="23">
        <f t="shared" si="187"/>
        <v>34.536556504409184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1.7053025658242404E-13</v>
      </c>
      <c r="GV155" s="18">
        <f>GU155*VLOOKUP('Données projet'!$B$18,Paramètres!$A$1:$I$89,3,0)*VLOOKUP('Données projet'!$B$18,Paramètres!$A$1:$I$89,5,0)</f>
        <v>1.8355876818532125E-13</v>
      </c>
      <c r="GW155" s="14">
        <f t="shared" si="188"/>
        <v>2.5693529898865504E-12</v>
      </c>
      <c r="GX155" s="22">
        <f t="shared" si="189"/>
        <v>4.7946546453085093E-12</v>
      </c>
      <c r="GY155" s="62">
        <f t="shared" si="137"/>
        <v>293.33333333333809</v>
      </c>
      <c r="GZ155" s="62">
        <f ca="1">AVERAGE(OFFSET($GY$3,0,0,'Données projet'!$E$18+1,1))-AVERAGE(OFFSET($H$3,0,0,'Données projet'!$E$18+1,1))</f>
        <v>331.3579800635751</v>
      </c>
      <c r="HA155" s="62">
        <f t="shared" si="160"/>
        <v>209.40702003535273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42.914998223355134</v>
      </c>
      <c r="HH155" s="23">
        <f>EXP(-LN(2)/25)*HH154+(1-EXP(-LN(2)/25))/(LN(2)/25)*Calculateur!HC155*Calculateur!HE155*VLOOKUP('Données projet'!$B$18,Paramètres!$A$1:$I$89,3,0)*0.475*44/12</f>
        <v>2.0476885465352748</v>
      </c>
      <c r="HI155" s="23">
        <f>EXP(-LN(2)/2)*HI154+(1-EXP(-LN(2)/2))/(LN(2)/2)*HC155*HF155*VLOOKUP('Données projet'!$B$18,Paramètres!$A$1:$I$89,3,0)*0.475*44/12</f>
        <v>1.0015689674772723E-12</v>
      </c>
      <c r="HJ155" s="24">
        <f t="shared" si="190"/>
        <v>44.962686769891413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5.0022208597511053E-12</v>
      </c>
      <c r="O156" s="14">
        <f>N156*VLOOKUP('Données projet'!$B$9,Paramètres!$A$1:$I$89,3,0)*VLOOKUP('Données projet'!$B$9,Paramètres!$A$1:$I$89,5,0)</f>
        <v>4.5260094339028E-12</v>
      </c>
      <c r="P156" s="14">
        <f t="shared" si="141"/>
        <v>4.3625683148570328E-11</v>
      </c>
      <c r="Q156" s="22">
        <f t="shared" si="162"/>
        <v>8.3864197914474037E-11</v>
      </c>
      <c r="R156" s="62">
        <f t="shared" si="109"/>
        <v>293.33333333341716</v>
      </c>
      <c r="S156" s="62">
        <f ca="1">AVERAGE(OFFSET($R$3,0,0,'Données projet'!$E$9+1,1))-AVERAGE(OFFSET($H$3,0,0,'Données projet'!$E$9+1,1))</f>
        <v>2472.5049373954762</v>
      </c>
      <c r="T156" s="62">
        <f t="shared" si="142"/>
        <v>286.98388307318311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1346.3223644785071</v>
      </c>
      <c r="AA156" s="23">
        <f>EXP(-LN(2)/25)*AA155+(1-EXP(-LN(2)/25))/(LN(2)/25)*Calculateur!V156*Calculateur!X156*VLOOKUP('Données projet'!$B$9,Paramètres!$A$1:$I$89,3,0)*0.475*44/12</f>
        <v>61.105235121870827</v>
      </c>
      <c r="AB156" s="23">
        <f>EXP(-LN(2)/2)*AB155+(1-EXP(-LN(2)/2))/(LN(2)/2)*V156*Y156*VLOOKUP('Données projet'!$B$9,Paramètres!$A$1:$I$89,3,0)*0.475*44/12</f>
        <v>2.2806311996208444</v>
      </c>
      <c r="AC156" s="24">
        <f t="shared" si="163"/>
        <v>1409.7082307999988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5.0022208597511053E-12</v>
      </c>
      <c r="AJ156" s="14">
        <f>AI156*VLOOKUP('Données projet'!$B$10,Paramètres!$A$1:$I$89,3,0)*VLOOKUP('Données projet'!$B$10,Paramètres!$A$1:$I$89,5,0)</f>
        <v>5.0722519517876216E-12</v>
      </c>
      <c r="AK156" s="14">
        <f t="shared" si="164"/>
        <v>4.8246688221215311E-11</v>
      </c>
      <c r="AL156" s="22">
        <f t="shared" si="165"/>
        <v>9.2863820801313432E-11</v>
      </c>
      <c r="AM156" s="62">
        <f t="shared" si="113"/>
        <v>293.3333333334262</v>
      </c>
      <c r="AN156" s="62">
        <f ca="1">AVERAGE(OFFSET($AM$3,0,0,'Données projet'!$E$10+1,1))-AVERAGE(OFFSET($H$3,0,0,'Données projet'!$E$10+1,1))</f>
        <v>2761.1400657295467</v>
      </c>
      <c r="AO156" s="62">
        <f t="shared" si="144"/>
        <v>316.41877504316409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1508.8095463983268</v>
      </c>
      <c r="AV156" s="23">
        <f>EXP(-LN(2)/25)*AV155+(1-EXP(-LN(2)/25))/(LN(2)/25)*Calculateur!AQ156*Calculateur!AS156*VLOOKUP('Données projet'!$B$10,Paramètres!$A$1:$I$89,3,0)*0.475*44/12</f>
        <v>68.480004877958706</v>
      </c>
      <c r="AW156" s="23">
        <f>EXP(-LN(2)/2)*AW155+(1-EXP(-LN(2)/2))/(LN(2)/2)*AQ156*AT156*VLOOKUP('Données projet'!$B$10,Paramètres!$A$1:$I$89,3,0)*0.475*44/12</f>
        <v>2.555879792678533</v>
      </c>
      <c r="AX156" s="23">
        <f t="shared" si="166"/>
        <v>1579.845431068964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5.0022208597511053E-12</v>
      </c>
      <c r="BE156" s="14">
        <f>BD156*VLOOKUP('Données projet'!$B$11,Paramètres!$A$1:$I$89,3,0)*VLOOKUP('Données projet'!$B$11,Paramètres!$A$1:$I$89,5,0)</f>
        <v>5.2283212426118558E-12</v>
      </c>
      <c r="BF156" s="14">
        <f t="shared" si="167"/>
        <v>4.9556081821365385E-11</v>
      </c>
      <c r="BG156" s="22">
        <f t="shared" si="168"/>
        <v>9.5416168669760364E-11</v>
      </c>
      <c r="BH156" s="62">
        <f t="shared" si="116"/>
        <v>293.33333333342875</v>
      </c>
      <c r="BI156" s="62">
        <f ca="1">AVERAGE(OFFSET($BH$3,0,0,'Données projet'!$E$11+1,1))-AVERAGE(OFFSET($H$3,0,0,'Données projet'!$E$11+1,1))</f>
        <v>2843.5086223152098</v>
      </c>
      <c r="BJ156" s="62">
        <f t="shared" si="146"/>
        <v>324.81562437645522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1555.2344555182754</v>
      </c>
      <c r="BQ156" s="23">
        <f>EXP(-LN(2)/25)*BQ155+(1-EXP(-LN(2)/25))/(LN(2)/25)*Calculateur!BL156*Calculateur!BN156*VLOOKUP('Données projet'!$B$11,Paramètres!$A$1:$I$89,3,0)*0.475*44/12</f>
        <v>70.587081951126677</v>
      </c>
      <c r="BR156" s="23">
        <f>EXP(-LN(2)/2)*BR155+(1-EXP(-LN(2)/2))/(LN(2)/2)*BL156*BO156*VLOOKUP('Données projet'!$B$11,Paramètres!$A$1:$I$89,3,0)*0.475*44/12</f>
        <v>2.6345222478378729</v>
      </c>
      <c r="BS156" s="24">
        <f t="shared" si="169"/>
        <v>1628.4560597172399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5.0022208597511053E-12</v>
      </c>
      <c r="BZ156" s="14">
        <f>BY156*VLOOKUP('Données projet'!$B$12,Paramètres!$A$1:$I$89,3,0)*VLOOKUP('Données projet'!$B$12,Paramètres!$A$1:$I$89,5,0)</f>
        <v>4.9942173063755036E-12</v>
      </c>
      <c r="CA156" s="14">
        <f t="shared" si="170"/>
        <v>4.7590239529202817E-11</v>
      </c>
      <c r="CB156" s="22">
        <f t="shared" si="171"/>
        <v>9.1584595655298897E-11</v>
      </c>
      <c r="CC156" s="62">
        <f t="shared" si="119"/>
        <v>293.33333333342489</v>
      </c>
      <c r="CD156" s="62">
        <f ca="1">AVERAGE(OFFSET($CC$3,0,0,'Données projet'!$E$12+1,1))-AVERAGE(OFFSET($H$3,0,0,'Données projet'!$E$12+1,1))</f>
        <v>2719.939926994799</v>
      </c>
      <c r="CE156" s="62">
        <f t="shared" si="148"/>
        <v>312.21824046329749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1485.597091838353</v>
      </c>
      <c r="CL156" s="23">
        <f>EXP(-LN(2)/25)*CL155+(1-EXP(-LN(2)/25))/(LN(2)/25)*Calculateur!CG156*Calculateur!CI156*VLOOKUP('Données projet'!$B$12,Paramètres!$A$1:$I$89,3,0)*0.475*44/12</f>
        <v>67.42646634137472</v>
      </c>
      <c r="CM156" s="23">
        <f>EXP(-LN(2)/2)*CM155+(1-EXP(-LN(2)/2))/(LN(2)/2)*CG156*CJ156*VLOOKUP('Données projet'!$B$12,Paramètres!$A$1:$I$89,3,0)*0.475*44/12</f>
        <v>2.5165585650988618</v>
      </c>
      <c r="CN156" s="24">
        <f t="shared" si="172"/>
        <v>1555.5401167448265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1.1368683772161603E-12</v>
      </c>
      <c r="CU156" s="18">
        <f>CT156*VLOOKUP('Données projet'!$B$13,Paramètres!$A$1:$I$89,3,0)*VLOOKUP('Données projet'!$B$13,Paramètres!$A$1:$I$89,5,0)</f>
        <v>9.9316821433603771E-13</v>
      </c>
      <c r="CV156" s="14">
        <f t="shared" si="173"/>
        <v>1.1421454694498936E-11</v>
      </c>
      <c r="CW156" s="22">
        <f t="shared" si="174"/>
        <v>2.1622134899554243E-11</v>
      </c>
      <c r="CX156" s="62">
        <f t="shared" si="122"/>
        <v>293.33333333335491</v>
      </c>
      <c r="CY156" s="62">
        <f ca="1">AVERAGE(OFFSET($CX$3,0,0,'Données projet'!$E$13+1,1))-AVERAGE(OFFSET($H$3,0,0,'Données projet'!$E$13+1,1))</f>
        <v>1036.0130072090849</v>
      </c>
      <c r="CZ156" s="62">
        <f t="shared" si="150"/>
        <v>346.56593355696174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157.76301544347643</v>
      </c>
      <c r="DG156" s="23">
        <f>EXP(-LN(2)/25)*DG155+(1-EXP(-LN(2)/25))/(LN(2)/25)*Calculateur!DB156*Calculateur!DD156*VLOOKUP('Données projet'!$B$13,Paramètres!$A$1:$I$89,3,0)*0.475*44/12</f>
        <v>5.5918247437483162</v>
      </c>
      <c r="DH156" s="23">
        <f>EXP(-LN(2)/2)*DH155+(1-EXP(-LN(2)/2))/(LN(2)/2)*DB156*DE156*VLOOKUP('Données projet'!$B$13,Paramètres!$A$1:$I$89,3,0)*0.475*44/12</f>
        <v>9.2993703408360136E-10</v>
      </c>
      <c r="DI156" s="24">
        <f t="shared" si="175"/>
        <v>163.35484018815467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6.8212102632969618E-13</v>
      </c>
      <c r="DP156" s="18">
        <f>DO156*VLOOKUP('Données projet'!$B$14,Paramètres!$A$1:$I$89,3,0)*VLOOKUP('Données projet'!$B$14,Paramètres!$A$1:$I$89,5,0)</f>
        <v>3.8130565371830017E-13</v>
      </c>
      <c r="DQ156" s="14">
        <f t="shared" si="176"/>
        <v>4.9019074112354236E-12</v>
      </c>
      <c r="DR156" s="22">
        <f t="shared" si="177"/>
        <v>9.2015960881277352E-12</v>
      </c>
      <c r="DS156" s="62">
        <f t="shared" si="125"/>
        <v>293.33333333334252</v>
      </c>
      <c r="DT156" s="62">
        <f ca="1">AVERAGE(OFFSET($DS$3,0,0,'Données projet'!$E$14+1,1))-AVERAGE(OFFSET($H$3,0,0,'Données projet'!$E$14+1,1))</f>
        <v>446.48069057792151</v>
      </c>
      <c r="DU156" s="62">
        <f t="shared" si="152"/>
        <v>561.75656782935948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29.274870758359423</v>
      </c>
      <c r="EB156" s="23">
        <f>EXP(-LN(2)/25)*EB155+(1-EXP(-LN(2)/25))/(LN(2)/25)*Calculateur!DW156*Calculateur!DY156*VLOOKUP('Données projet'!$B$14,Paramètres!$A$1:$I$89,3,0)*0.475*44/12</f>
        <v>6.1494882570199563</v>
      </c>
      <c r="EC156" s="23">
        <f>EXP(-LN(2)/2)*EC155+(1-EXP(-LN(2)/2))/(LN(2)/2)*DW156*DZ156*VLOOKUP('Données projet'!$B$14,Paramètres!$A$1:$I$89,3,0)*0.475*44/12</f>
        <v>1.3483720094136833E-12</v>
      </c>
      <c r="ED156" s="24">
        <f t="shared" si="178"/>
        <v>35.42435901538073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1.7053025658242404E-13</v>
      </c>
      <c r="EK156" s="18">
        <f>EJ156*VLOOKUP('Données projet'!$B$15,Paramètres!$A$1:$I$89,3,0)*VLOOKUP('Données projet'!$B$15,Paramètres!$A$1:$I$89,5,0)</f>
        <v>1.6493686416652052E-13</v>
      </c>
      <c r="EL156" s="14">
        <f t="shared" si="179"/>
        <v>2.3376205369651282E-12</v>
      </c>
      <c r="EM156" s="22">
        <f t="shared" si="180"/>
        <v>4.3586208069709543E-12</v>
      </c>
      <c r="EN156" s="62">
        <f t="shared" si="128"/>
        <v>293.33333333333769</v>
      </c>
      <c r="EO156" s="62">
        <f ca="1">AVERAGE(OFFSET($EN$3,0,0,'Données projet'!$E$15+1,1))-AVERAGE(OFFSET($H$3,0,0,'Données projet'!$E$15+1,1))</f>
        <v>301.18531163828169</v>
      </c>
      <c r="EP156" s="62">
        <f t="shared" si="154"/>
        <v>192.30530273268101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37.805139124537476</v>
      </c>
      <c r="EW156" s="23">
        <f>EXP(-LN(2)/25)*EW155+(1-EXP(-LN(2)/25))/(LN(2)/25)*Calculateur!ER156*Calculateur!ET156*VLOOKUP('Données projet'!$B$15,Paramètres!$A$1:$I$89,3,0)*0.475*44/12</f>
        <v>1.7896384423755718</v>
      </c>
      <c r="EX156" s="23">
        <f>EXP(-LN(2)/2)*EX155+(1-EXP(-LN(2)/2))/(LN(2)/2)*ER156*EU156*VLOOKUP('Données projet'!$B$15,Paramètres!$A$1:$I$89,3,0)*0.475*44/12</f>
        <v>6.3636818755376735E-13</v>
      </c>
      <c r="EY156" s="24">
        <f t="shared" si="181"/>
        <v>39.594777566913685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1.7053025658242404E-13</v>
      </c>
      <c r="FF156" s="18">
        <f>FE156*VLOOKUP('Données projet'!$B$16,Paramètres!$A$1:$I$89,3,0)*VLOOKUP('Données projet'!$B$16,Paramètres!$A$1:$I$89,5,0)</f>
        <v>1.3301360013429075E-13</v>
      </c>
      <c r="FG156" s="14">
        <f t="shared" si="182"/>
        <v>1.9329766731057041E-12</v>
      </c>
      <c r="FH156" s="22">
        <f t="shared" si="183"/>
        <v>3.5982663925596575E-12</v>
      </c>
      <c r="FI156" s="62">
        <f t="shared" si="131"/>
        <v>293.3333333333369</v>
      </c>
      <c r="FJ156" s="62">
        <f ca="1">AVERAGE(OFFSET($FI$3,0,0,'Données projet'!$E$16+1,1))-AVERAGE(OFFSET($H$3,0,0,'Données projet'!$E$16+1,1))</f>
        <v>249.2899297828755</v>
      </c>
      <c r="FK156" s="62">
        <f t="shared" si="156"/>
        <v>162.88011837476813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30.488015423014101</v>
      </c>
      <c r="FR156" s="23">
        <f>EXP(-LN(2)/25)*FR155+(1-EXP(-LN(2)/25))/(LN(2)/25)*Calculateur!FM156*Calculateur!FO156*VLOOKUP('Données projet'!$B$16,Paramètres!$A$1:$I$89,3,0)*0.475*44/12</f>
        <v>1.443256808367394</v>
      </c>
      <c r="FS156" s="23">
        <f>EXP(-LN(2)/2)*FS155+(1-EXP(-LN(2)/2))/(LN(2)/2)*FM156*FP156*VLOOKUP('Données projet'!$B$16,Paramètres!$A$1:$I$89,3,0)*0.475*44/12</f>
        <v>5.132001512530346E-13</v>
      </c>
      <c r="FT156" s="24">
        <f t="shared" si="184"/>
        <v>31.931272231382007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1.7053025658242404E-13</v>
      </c>
      <c r="GA156" s="18">
        <f>FZ156*VLOOKUP('Données projet'!$B$17,Paramètres!$A$1:$I$89,3,0)*VLOOKUP('Données projet'!$B$17,Paramètres!$A$1:$I$89,5,0)</f>
        <v>1.1439169611549005E-13</v>
      </c>
      <c r="GB156" s="14">
        <f t="shared" si="185"/>
        <v>1.6918016515029816E-12</v>
      </c>
      <c r="GC156" s="22">
        <f t="shared" si="186"/>
        <v>3.1457867471021712E-12</v>
      </c>
      <c r="GD156" s="62">
        <f t="shared" si="134"/>
        <v>293.33333333333644</v>
      </c>
      <c r="GE156" s="62">
        <f ca="1">AVERAGE(OFFSET($GD$3,0,0,'Données projet'!$E$17+1,1))-AVERAGE(OFFSET($H$3,0,0,'Données projet'!$E$17+1,1))</f>
        <v>218.89895999738746</v>
      </c>
      <c r="GF156" s="62">
        <f t="shared" si="158"/>
        <v>145.64042897395763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32.317296348394912</v>
      </c>
      <c r="GM156" s="23">
        <f>EXP(-LN(2)/25)*GM155+(1-EXP(-LN(2)/25))/(LN(2)/25)*Calculateur!GH156*Calculateur!GJ156*VLOOKUP('Données projet'!$B$17,Paramètres!$A$1:$I$89,3,0)*0.475*44/12</f>
        <v>1.5298522168694393</v>
      </c>
      <c r="GN156" s="23">
        <f>EXP(-LN(2)/2)*GN155+(1-EXP(-LN(2)/2))/(LN(2)/2)*GH156*GK156*VLOOKUP('Données projet'!$B$17,Paramètres!$A$1:$I$89,3,0)*0.475*44/12</f>
        <v>4.413521300776129E-13</v>
      </c>
      <c r="GO156" s="23">
        <f t="shared" si="187"/>
        <v>33.847148565264789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1.7053025658242404E-13</v>
      </c>
      <c r="GV156" s="18">
        <f>GU156*VLOOKUP('Données projet'!$B$18,Paramètres!$A$1:$I$89,3,0)*VLOOKUP('Données projet'!$B$18,Paramètres!$A$1:$I$89,5,0)</f>
        <v>1.8355876818532125E-13</v>
      </c>
      <c r="GW156" s="14">
        <f t="shared" si="188"/>
        <v>2.5693529898865504E-12</v>
      </c>
      <c r="GX156" s="22">
        <f t="shared" si="189"/>
        <v>4.7946546453085093E-12</v>
      </c>
      <c r="GY156" s="62">
        <f t="shared" si="137"/>
        <v>293.33333333333809</v>
      </c>
      <c r="GZ156" s="62">
        <f ca="1">AVERAGE(OFFSET($GY$3,0,0,'Données projet'!$E$18+1,1))-AVERAGE(OFFSET($H$3,0,0,'Données projet'!$E$18+1,1))</f>
        <v>331.3579800635751</v>
      </c>
      <c r="HA156" s="62">
        <f t="shared" si="160"/>
        <v>209.40702003535273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42.073461283759436</v>
      </c>
      <c r="HH156" s="23">
        <f>EXP(-LN(2)/25)*HH155+(1-EXP(-LN(2)/25))/(LN(2)/25)*Calculateur!HC156*Calculateur!HE156*VLOOKUP('Données projet'!$B$18,Paramètres!$A$1:$I$89,3,0)*0.475*44/12</f>
        <v>1.991694395547007</v>
      </c>
      <c r="HI156" s="23">
        <f>EXP(-LN(2)/2)*HI155+(1-EXP(-LN(2)/2))/(LN(2)/2)*HC156*HF156*VLOOKUP('Données projet'!$B$18,Paramètres!$A$1:$I$89,3,0)*0.475*44/12</f>
        <v>7.0821620872918794E-13</v>
      </c>
      <c r="HJ156" s="24">
        <f t="shared" si="190"/>
        <v>44.065155679307153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5.0022208597511053E-12</v>
      </c>
      <c r="O157" s="14">
        <f>N157*VLOOKUP('Données projet'!$B$9,Paramètres!$A$1:$I$89,3,0)*VLOOKUP('Données projet'!$B$9,Paramètres!$A$1:$I$89,5,0)</f>
        <v>4.5260094339028E-12</v>
      </c>
      <c r="P157" s="14">
        <f t="shared" si="141"/>
        <v>4.3625683148570328E-11</v>
      </c>
      <c r="Q157" s="22">
        <f t="shared" si="162"/>
        <v>8.3864197914474037E-11</v>
      </c>
      <c r="R157" s="62">
        <f t="shared" si="109"/>
        <v>293.33333333341716</v>
      </c>
      <c r="S157" s="62">
        <f ca="1">AVERAGE(OFFSET($R$3,0,0,'Données projet'!$E$9+1,1))-AVERAGE(OFFSET($H$3,0,0,'Données projet'!$E$9+1,1))</f>
        <v>2472.5049373954762</v>
      </c>
      <c r="T157" s="62">
        <f t="shared" si="142"/>
        <v>286.98388307318311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1319.9218040866415</v>
      </c>
      <c r="AA157" s="23">
        <f>EXP(-LN(2)/25)*AA156+(1-EXP(-LN(2)/25))/(LN(2)/25)*Calculateur!V157*Calculateur!X157*VLOOKUP('Données projet'!$B$9,Paramètres!$A$1:$I$89,3,0)*0.475*44/12</f>
        <v>59.434309254078613</v>
      </c>
      <c r="AB157" s="23">
        <f>EXP(-LN(2)/2)*AB156+(1-EXP(-LN(2)/2))/(LN(2)/2)*V157*Y157*VLOOKUP('Données projet'!$B$9,Paramètres!$A$1:$I$89,3,0)*0.475*44/12</f>
        <v>1.6126497866375098</v>
      </c>
      <c r="AC157" s="24">
        <f t="shared" si="163"/>
        <v>1380.9687631273578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5.0022208597511053E-12</v>
      </c>
      <c r="AJ157" s="14">
        <f>AI157*VLOOKUP('Données projet'!$B$10,Paramètres!$A$1:$I$89,3,0)*VLOOKUP('Données projet'!$B$10,Paramètres!$A$1:$I$89,5,0)</f>
        <v>5.0722519517876216E-12</v>
      </c>
      <c r="AK157" s="14">
        <f t="shared" si="164"/>
        <v>4.8246688221215311E-11</v>
      </c>
      <c r="AL157" s="22">
        <f t="shared" si="165"/>
        <v>9.2863820801313432E-11</v>
      </c>
      <c r="AM157" s="62">
        <f t="shared" si="113"/>
        <v>293.3333333334262</v>
      </c>
      <c r="AN157" s="62">
        <f ca="1">AVERAGE(OFFSET($AM$3,0,0,'Données projet'!$E$10+1,1))-AVERAGE(OFFSET($H$3,0,0,'Données projet'!$E$10+1,1))</f>
        <v>2761.1400657295467</v>
      </c>
      <c r="AO157" s="62">
        <f t="shared" si="144"/>
        <v>316.41877504316409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1479.2227114764084</v>
      </c>
      <c r="AV157" s="23">
        <f>EXP(-LN(2)/25)*AV156+(1-EXP(-LN(2)/25))/(LN(2)/25)*Calculateur!AQ157*Calculateur!AS157*VLOOKUP('Données projet'!$B$10,Paramètres!$A$1:$I$89,3,0)*0.475*44/12</f>
        <v>66.607415543363985</v>
      </c>
      <c r="AW157" s="23">
        <f>EXP(-LN(2)/2)*AW156+(1-EXP(-LN(2)/2))/(LN(2)/2)*AQ157*AT157*VLOOKUP('Données projet'!$B$10,Paramètres!$A$1:$I$89,3,0)*0.475*44/12</f>
        <v>1.8072799333006579</v>
      </c>
      <c r="AX157" s="23">
        <f t="shared" si="166"/>
        <v>1547.637406953073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5.0022208597511053E-12</v>
      </c>
      <c r="BE157" s="14">
        <f>BD157*VLOOKUP('Données projet'!$B$11,Paramètres!$A$1:$I$89,3,0)*VLOOKUP('Données projet'!$B$11,Paramètres!$A$1:$I$89,5,0)</f>
        <v>5.2283212426118558E-12</v>
      </c>
      <c r="BF157" s="14">
        <f t="shared" si="167"/>
        <v>4.9556081821365385E-11</v>
      </c>
      <c r="BG157" s="22">
        <f t="shared" si="168"/>
        <v>9.5416168669760364E-11</v>
      </c>
      <c r="BH157" s="62">
        <f t="shared" si="116"/>
        <v>293.33333333342875</v>
      </c>
      <c r="BI157" s="62">
        <f ca="1">AVERAGE(OFFSET($BH$3,0,0,'Données projet'!$E$11+1,1))-AVERAGE(OFFSET($H$3,0,0,'Données projet'!$E$11+1,1))</f>
        <v>2843.5086223152098</v>
      </c>
      <c r="BJ157" s="62">
        <f t="shared" si="146"/>
        <v>324.81562437645522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1524.7372564449133</v>
      </c>
      <c r="BQ157" s="23">
        <f>EXP(-LN(2)/25)*BQ156+(1-EXP(-LN(2)/25))/(LN(2)/25)*Calculateur!BL157*Calculateur!BN157*VLOOKUP('Données projet'!$B$11,Paramètres!$A$1:$I$89,3,0)*0.475*44/12</f>
        <v>68.656874483159811</v>
      </c>
      <c r="BR157" s="23">
        <f>EXP(-LN(2)/2)*BR156+(1-EXP(-LN(2)/2))/(LN(2)/2)*BL157*BO157*VLOOKUP('Données projet'!$B$11,Paramètres!$A$1:$I$89,3,0)*0.475*44/12</f>
        <v>1.8628885466329863</v>
      </c>
      <c r="BS157" s="24">
        <f t="shared" si="169"/>
        <v>1595.2570194747061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5.0022208597511053E-12</v>
      </c>
      <c r="BZ157" s="14">
        <f>BY157*VLOOKUP('Données projet'!$B$12,Paramètres!$A$1:$I$89,3,0)*VLOOKUP('Données projet'!$B$12,Paramètres!$A$1:$I$89,5,0)</f>
        <v>4.9942173063755036E-12</v>
      </c>
      <c r="CA157" s="14">
        <f t="shared" si="170"/>
        <v>4.7590239529202817E-11</v>
      </c>
      <c r="CB157" s="22">
        <f t="shared" si="171"/>
        <v>9.1584595655298897E-11</v>
      </c>
      <c r="CC157" s="62">
        <f t="shared" si="119"/>
        <v>293.33333333342489</v>
      </c>
      <c r="CD157" s="62">
        <f ca="1">AVERAGE(OFFSET($CC$3,0,0,'Données projet'!$E$12+1,1))-AVERAGE(OFFSET($H$3,0,0,'Données projet'!$E$12+1,1))</f>
        <v>2719.939926994799</v>
      </c>
      <c r="CE157" s="62">
        <f t="shared" si="148"/>
        <v>312.21824046329749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1456.4654389921566</v>
      </c>
      <c r="CL157" s="23">
        <f>EXP(-LN(2)/25)*CL156+(1-EXP(-LN(2)/25))/(LN(2)/25)*Calculateur!CG157*Calculateur!CI157*VLOOKUP('Données projet'!$B$12,Paramètres!$A$1:$I$89,3,0)*0.475*44/12</f>
        <v>65.582686073466064</v>
      </c>
      <c r="CM157" s="23">
        <f>EXP(-LN(2)/2)*CM156+(1-EXP(-LN(2)/2))/(LN(2)/2)*CG157*CJ157*VLOOKUP('Données projet'!$B$12,Paramètres!$A$1:$I$89,3,0)*0.475*44/12</f>
        <v>1.7794756266344929</v>
      </c>
      <c r="CN157" s="24">
        <f t="shared" si="172"/>
        <v>1523.827600692257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1.1368683772161603E-12</v>
      </c>
      <c r="CU157" s="18">
        <f>CT157*VLOOKUP('Données projet'!$B$13,Paramètres!$A$1:$I$89,3,0)*VLOOKUP('Données projet'!$B$13,Paramètres!$A$1:$I$89,5,0)</f>
        <v>9.9316821433603771E-13</v>
      </c>
      <c r="CV157" s="14">
        <f t="shared" si="173"/>
        <v>1.1421454694498936E-11</v>
      </c>
      <c r="CW157" s="22">
        <f t="shared" si="174"/>
        <v>2.1622134899554243E-11</v>
      </c>
      <c r="CX157" s="62">
        <f t="shared" si="122"/>
        <v>293.33333333335491</v>
      </c>
      <c r="CY157" s="62">
        <f ca="1">AVERAGE(OFFSET($CX$3,0,0,'Données projet'!$E$13+1,1))-AVERAGE(OFFSET($H$3,0,0,'Données projet'!$E$13+1,1))</f>
        <v>1036.0130072090849</v>
      </c>
      <c r="CZ157" s="62">
        <f t="shared" si="150"/>
        <v>346.56593355696174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154.66937893656777</v>
      </c>
      <c r="DG157" s="23">
        <f>EXP(-LN(2)/25)*DG156+(1-EXP(-LN(2)/25))/(LN(2)/25)*Calculateur!DB157*Calculateur!DD157*VLOOKUP('Données projet'!$B$13,Paramètres!$A$1:$I$89,3,0)*0.475*44/12</f>
        <v>5.4389160020692353</v>
      </c>
      <c r="DH157" s="23">
        <f>EXP(-LN(2)/2)*DH156+(1-EXP(-LN(2)/2))/(LN(2)/2)*DB157*DE157*VLOOKUP('Données projet'!$B$13,Paramètres!$A$1:$I$89,3,0)*0.475*44/12</f>
        <v>6.5756478287702014E-10</v>
      </c>
      <c r="DI157" s="24">
        <f t="shared" si="175"/>
        <v>160.10829493929458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6.8212102632969618E-13</v>
      </c>
      <c r="DP157" s="18">
        <f>DO157*VLOOKUP('Données projet'!$B$14,Paramètres!$A$1:$I$89,3,0)*VLOOKUP('Données projet'!$B$14,Paramètres!$A$1:$I$89,5,0)</f>
        <v>3.8130565371830017E-13</v>
      </c>
      <c r="DQ157" s="14">
        <f t="shared" si="176"/>
        <v>4.9019074112354236E-12</v>
      </c>
      <c r="DR157" s="22">
        <f t="shared" si="177"/>
        <v>9.2015960881277352E-12</v>
      </c>
      <c r="DS157" s="62">
        <f t="shared" si="125"/>
        <v>293.33333333334252</v>
      </c>
      <c r="DT157" s="62">
        <f ca="1">AVERAGE(OFFSET($DS$3,0,0,'Données projet'!$E$14+1,1))-AVERAGE(OFFSET($H$3,0,0,'Données projet'!$E$14+1,1))</f>
        <v>446.48069057792151</v>
      </c>
      <c r="DU157" s="62">
        <f t="shared" si="152"/>
        <v>561.75656782935948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28.700808398696033</v>
      </c>
      <c r="EB157" s="23">
        <f>EXP(-LN(2)/25)*EB156+(1-EXP(-LN(2)/25))/(LN(2)/25)*Calculateur!DW157*Calculateur!DY157*VLOOKUP('Données projet'!$B$14,Paramètres!$A$1:$I$89,3,0)*0.475*44/12</f>
        <v>5.9813301772442129</v>
      </c>
      <c r="EC157" s="23">
        <f>EXP(-LN(2)/2)*EC156+(1-EXP(-LN(2)/2))/(LN(2)/2)*DW157*DZ157*VLOOKUP('Données projet'!$B$14,Paramètres!$A$1:$I$89,3,0)*0.475*44/12</f>
        <v>9.5344299141854675E-13</v>
      </c>
      <c r="ED157" s="24">
        <f t="shared" si="178"/>
        <v>34.682138575941195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1.7053025658242404E-13</v>
      </c>
      <c r="EK157" s="18">
        <f>EJ157*VLOOKUP('Données projet'!$B$15,Paramètres!$A$1:$I$89,3,0)*VLOOKUP('Données projet'!$B$15,Paramètres!$A$1:$I$89,5,0)</f>
        <v>1.6493686416652052E-13</v>
      </c>
      <c r="EL157" s="14">
        <f t="shared" si="179"/>
        <v>2.3376205369651282E-12</v>
      </c>
      <c r="EM157" s="22">
        <f t="shared" si="180"/>
        <v>4.3586208069709543E-12</v>
      </c>
      <c r="EN157" s="62">
        <f t="shared" si="128"/>
        <v>293.33333333333769</v>
      </c>
      <c r="EO157" s="62">
        <f ca="1">AVERAGE(OFFSET($EN$3,0,0,'Données projet'!$E$15+1,1))-AVERAGE(OFFSET($H$3,0,0,'Données projet'!$E$15+1,1))</f>
        <v>301.18531163828169</v>
      </c>
      <c r="EP157" s="62">
        <f t="shared" si="154"/>
        <v>192.30530273268101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37.063803405163291</v>
      </c>
      <c r="EW157" s="23">
        <f>EXP(-LN(2)/25)*EW156+(1-EXP(-LN(2)/25))/(LN(2)/25)*Calculateur!ER157*Calculateur!ET157*VLOOKUP('Données projet'!$B$15,Paramètres!$A$1:$I$89,3,0)*0.475*44/12</f>
        <v>1.7407006850558164</v>
      </c>
      <c r="EX157" s="23">
        <f>EXP(-LN(2)/2)*EX156+(1-EXP(-LN(2)/2))/(LN(2)/2)*ER157*EU157*VLOOKUP('Données projet'!$B$15,Paramètres!$A$1:$I$89,3,0)*0.475*44/12</f>
        <v>4.4998026075066166E-13</v>
      </c>
      <c r="EY157" s="24">
        <f t="shared" si="181"/>
        <v>38.804504090219552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1.7053025658242404E-13</v>
      </c>
      <c r="FF157" s="18">
        <f>FE157*VLOOKUP('Données projet'!$B$16,Paramètres!$A$1:$I$89,3,0)*VLOOKUP('Données projet'!$B$16,Paramètres!$A$1:$I$89,5,0)</f>
        <v>1.3301360013429075E-13</v>
      </c>
      <c r="FG157" s="14">
        <f t="shared" si="182"/>
        <v>1.9329766731057041E-12</v>
      </c>
      <c r="FH157" s="22">
        <f t="shared" si="183"/>
        <v>3.5982663925596575E-12</v>
      </c>
      <c r="FI157" s="62">
        <f t="shared" si="131"/>
        <v>293.3333333333369</v>
      </c>
      <c r="FJ157" s="62">
        <f ca="1">AVERAGE(OFFSET($FI$3,0,0,'Données projet'!$E$16+1,1))-AVERAGE(OFFSET($H$3,0,0,'Données projet'!$E$16+1,1))</f>
        <v>249.2899297828755</v>
      </c>
      <c r="FK157" s="62">
        <f t="shared" si="156"/>
        <v>162.88011837476813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29.890164036422014</v>
      </c>
      <c r="FR157" s="23">
        <f>EXP(-LN(2)/25)*FR156+(1-EXP(-LN(2)/25))/(LN(2)/25)*Calculateur!FM157*Calculateur!FO157*VLOOKUP('Données projet'!$B$16,Paramètres!$A$1:$I$89,3,0)*0.475*44/12</f>
        <v>1.4037908750450108</v>
      </c>
      <c r="FS157" s="23">
        <f>EXP(-LN(2)/2)*FS156+(1-EXP(-LN(2)/2))/(LN(2)/2)*FM157*FP157*VLOOKUP('Données projet'!$B$16,Paramètres!$A$1:$I$89,3,0)*0.475*44/12</f>
        <v>3.6288730705698263E-13</v>
      </c>
      <c r="FT157" s="24">
        <f t="shared" si="184"/>
        <v>31.293954911467388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1.7053025658242404E-13</v>
      </c>
      <c r="GA157" s="18">
        <f>FZ157*VLOOKUP('Données projet'!$B$17,Paramètres!$A$1:$I$89,3,0)*VLOOKUP('Données projet'!$B$17,Paramètres!$A$1:$I$89,5,0)</f>
        <v>1.1439169611549005E-13</v>
      </c>
      <c r="GB157" s="14">
        <f t="shared" si="185"/>
        <v>1.6918016515029816E-12</v>
      </c>
      <c r="GC157" s="22">
        <f t="shared" si="186"/>
        <v>3.1457867471021712E-12</v>
      </c>
      <c r="GD157" s="62">
        <f t="shared" si="134"/>
        <v>293.33333333333644</v>
      </c>
      <c r="GE157" s="62">
        <f ca="1">AVERAGE(OFFSET($GD$3,0,0,'Données projet'!$E$17+1,1))-AVERAGE(OFFSET($H$3,0,0,'Données projet'!$E$17+1,1))</f>
        <v>218.89895999738746</v>
      </c>
      <c r="GF157" s="62">
        <f t="shared" si="158"/>
        <v>145.64042897395763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31.683573878607302</v>
      </c>
      <c r="GM157" s="23">
        <f>EXP(-LN(2)/25)*GM156+(1-EXP(-LN(2)/25))/(LN(2)/25)*Calculateur!GH157*Calculateur!GJ157*VLOOKUP('Données projet'!$B$17,Paramètres!$A$1:$I$89,3,0)*0.475*44/12</f>
        <v>1.488018327547713</v>
      </c>
      <c r="GN157" s="23">
        <f>EXP(-LN(2)/2)*GN156+(1-EXP(-LN(2)/2))/(LN(2)/2)*GH157*GK157*VLOOKUP('Données projet'!$B$17,Paramètres!$A$1:$I$89,3,0)*0.475*44/12</f>
        <v>3.1208308406900732E-13</v>
      </c>
      <c r="GO157" s="23">
        <f t="shared" si="187"/>
        <v>33.171592206155324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1.7053025658242404E-13</v>
      </c>
      <c r="GV157" s="18">
        <f>GU157*VLOOKUP('Données projet'!$B$18,Paramètres!$A$1:$I$89,3,0)*VLOOKUP('Données projet'!$B$18,Paramètres!$A$1:$I$89,5,0)</f>
        <v>1.8355876818532125E-13</v>
      </c>
      <c r="GW157" s="14">
        <f t="shared" si="188"/>
        <v>2.5693529898865504E-12</v>
      </c>
      <c r="GX157" s="22">
        <f t="shared" si="189"/>
        <v>4.7946546453085093E-12</v>
      </c>
      <c r="GY157" s="62">
        <f t="shared" si="137"/>
        <v>293.33333333333809</v>
      </c>
      <c r="GZ157" s="62">
        <f ca="1">AVERAGE(OFFSET($GY$3,0,0,'Données projet'!$E$18+1,1))-AVERAGE(OFFSET($H$3,0,0,'Données projet'!$E$18+1,1))</f>
        <v>331.3579800635751</v>
      </c>
      <c r="HA157" s="62">
        <f t="shared" si="160"/>
        <v>209.40702003535273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41.248426370262358</v>
      </c>
      <c r="HH157" s="23">
        <f>EXP(-LN(2)/25)*HH156+(1-EXP(-LN(2)/25))/(LN(2)/25)*Calculateur!HC157*Calculateur!HE157*VLOOKUP('Données projet'!$B$18,Paramètres!$A$1:$I$89,3,0)*0.475*44/12</f>
        <v>1.937231407562118</v>
      </c>
      <c r="HI157" s="23">
        <f>EXP(-LN(2)/2)*HI156+(1-EXP(-LN(2)/2))/(LN(2)/2)*HC157*HF157*VLOOKUP('Données projet'!$B$18,Paramètres!$A$1:$I$89,3,0)*0.475*44/12</f>
        <v>5.0078448373863616E-13</v>
      </c>
      <c r="HJ157" s="24">
        <f t="shared" si="190"/>
        <v>43.185657777824972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5.0022208597511053E-12</v>
      </c>
      <c r="O158" s="14">
        <f>N158*VLOOKUP('Données projet'!$B$9,Paramètres!$A$1:$I$89,3,0)*VLOOKUP('Données projet'!$B$9,Paramètres!$A$1:$I$89,5,0)</f>
        <v>4.5260094339028E-12</v>
      </c>
      <c r="P158" s="14">
        <f t="shared" si="141"/>
        <v>4.3625683148570328E-11</v>
      </c>
      <c r="Q158" s="22">
        <f t="shared" si="162"/>
        <v>8.3864197914474037E-11</v>
      </c>
      <c r="R158" s="62">
        <f t="shared" si="109"/>
        <v>293.33333333341716</v>
      </c>
      <c r="S158" s="62">
        <f ca="1">AVERAGE(OFFSET($R$3,0,0,'Données projet'!$E$9+1,1))-AVERAGE(OFFSET($H$3,0,0,'Données projet'!$E$9+1,1))</f>
        <v>2472.5049373954762</v>
      </c>
      <c r="T158" s="62">
        <f t="shared" si="142"/>
        <v>286.98388307318311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1294.0389425813087</v>
      </c>
      <c r="AA158" s="23">
        <f>EXP(-LN(2)/25)*AA157+(1-EXP(-LN(2)/25))/(LN(2)/25)*Calculateur!V158*Calculateur!X158*VLOOKUP('Données projet'!$B$9,Paramètres!$A$1:$I$89,3,0)*0.475*44/12</f>
        <v>57.80907494201135</v>
      </c>
      <c r="AB158" s="23">
        <f>EXP(-LN(2)/2)*AB157+(1-EXP(-LN(2)/2))/(LN(2)/2)*V158*Y158*VLOOKUP('Données projet'!$B$9,Paramètres!$A$1:$I$89,3,0)*0.475*44/12</f>
        <v>1.1403155998104222</v>
      </c>
      <c r="AC158" s="24">
        <f t="shared" si="163"/>
        <v>1352.9883331231306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5.0022208597511053E-12</v>
      </c>
      <c r="AJ158" s="14">
        <f>AI158*VLOOKUP('Données projet'!$B$10,Paramètres!$A$1:$I$89,3,0)*VLOOKUP('Données projet'!$B$10,Paramètres!$A$1:$I$89,5,0)</f>
        <v>5.0722519517876216E-12</v>
      </c>
      <c r="AK158" s="14">
        <f t="shared" si="164"/>
        <v>4.8246688221215311E-11</v>
      </c>
      <c r="AL158" s="22">
        <f t="shared" si="165"/>
        <v>9.2863820801313432E-11</v>
      </c>
      <c r="AM158" s="62">
        <f t="shared" si="113"/>
        <v>293.3333333334262</v>
      </c>
      <c r="AN158" s="62">
        <f ca="1">AVERAGE(OFFSET($AM$3,0,0,'Données projet'!$E$10+1,1))-AVERAGE(OFFSET($H$3,0,0,'Données projet'!$E$10+1,1))</f>
        <v>2761.1400657295467</v>
      </c>
      <c r="AO158" s="62">
        <f t="shared" si="144"/>
        <v>316.41877504316409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1450.2160563411217</v>
      </c>
      <c r="AV158" s="23">
        <f>EXP(-LN(2)/25)*AV157+(1-EXP(-LN(2)/25))/(LN(2)/25)*Calculateur!AQ158*Calculateur!AS158*VLOOKUP('Données projet'!$B$10,Paramètres!$A$1:$I$89,3,0)*0.475*44/12</f>
        <v>64.786032262598951</v>
      </c>
      <c r="AW158" s="23">
        <f>EXP(-LN(2)/2)*AW157+(1-EXP(-LN(2)/2))/(LN(2)/2)*AQ158*AT158*VLOOKUP('Données projet'!$B$10,Paramètres!$A$1:$I$89,3,0)*0.475*44/12</f>
        <v>1.2779398963392665</v>
      </c>
      <c r="AX158" s="23">
        <f t="shared" si="166"/>
        <v>1516.2800285000599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5.0022208597511053E-12</v>
      </c>
      <c r="BE158" s="14">
        <f>BD158*VLOOKUP('Données projet'!$B$11,Paramètres!$A$1:$I$89,3,0)*VLOOKUP('Données projet'!$B$11,Paramètres!$A$1:$I$89,5,0)</f>
        <v>5.2283212426118558E-12</v>
      </c>
      <c r="BF158" s="14">
        <f t="shared" si="167"/>
        <v>4.9556081821365385E-11</v>
      </c>
      <c r="BG158" s="22">
        <f t="shared" si="168"/>
        <v>9.5416168669760364E-11</v>
      </c>
      <c r="BH158" s="62">
        <f t="shared" si="116"/>
        <v>293.33333333342875</v>
      </c>
      <c r="BI158" s="62">
        <f ca="1">AVERAGE(OFFSET($BH$3,0,0,'Données projet'!$E$11+1,1))-AVERAGE(OFFSET($H$3,0,0,'Données projet'!$E$11+1,1))</f>
        <v>2843.5086223152098</v>
      </c>
      <c r="BJ158" s="62">
        <f t="shared" si="146"/>
        <v>324.81562437645522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1494.8380888439253</v>
      </c>
      <c r="BQ158" s="23">
        <f>EXP(-LN(2)/25)*BQ157+(1-EXP(-LN(2)/25))/(LN(2)/25)*Calculateur!BL158*Calculateur!BN158*VLOOKUP('Données projet'!$B$11,Paramètres!$A$1:$I$89,3,0)*0.475*44/12</f>
        <v>66.779448639909688</v>
      </c>
      <c r="BR158" s="23">
        <f>EXP(-LN(2)/2)*BR157+(1-EXP(-LN(2)/2))/(LN(2)/2)*BL158*BO158*VLOOKUP('Données projet'!$B$11,Paramètres!$A$1:$I$89,3,0)*0.475*44/12</f>
        <v>1.3172611239189367</v>
      </c>
      <c r="BS158" s="24">
        <f t="shared" si="169"/>
        <v>1562.9347986077541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5.0022208597511053E-12</v>
      </c>
      <c r="BZ158" s="14">
        <f>BY158*VLOOKUP('Données projet'!$B$12,Paramètres!$A$1:$I$89,3,0)*VLOOKUP('Données projet'!$B$12,Paramètres!$A$1:$I$89,5,0)</f>
        <v>4.9942173063755036E-12</v>
      </c>
      <c r="CA158" s="14">
        <f t="shared" si="170"/>
        <v>4.7590239529202817E-11</v>
      </c>
      <c r="CB158" s="22">
        <f t="shared" si="171"/>
        <v>9.1584595655298897E-11</v>
      </c>
      <c r="CC158" s="62">
        <f t="shared" si="119"/>
        <v>293.33333333342489</v>
      </c>
      <c r="CD158" s="62">
        <f ca="1">AVERAGE(OFFSET($CC$3,0,0,'Données projet'!$E$12+1,1))-AVERAGE(OFFSET($H$3,0,0,'Données projet'!$E$12+1,1))</f>
        <v>2719.939926994799</v>
      </c>
      <c r="CE158" s="62">
        <f t="shared" si="148"/>
        <v>312.21824046329749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1427.9050400897204</v>
      </c>
      <c r="CL158" s="23">
        <f>EXP(-LN(2)/25)*CL157+(1-EXP(-LN(2)/25))/(LN(2)/25)*Calculateur!CG158*Calculateur!CI158*VLOOKUP('Données projet'!$B$12,Paramètres!$A$1:$I$89,3,0)*0.475*44/12</f>
        <v>63.789324073943568</v>
      </c>
      <c r="CM158" s="23">
        <f>EXP(-LN(2)/2)*CM157+(1-EXP(-LN(2)/2))/(LN(2)/2)*CG158*CJ158*VLOOKUP('Données projet'!$B$12,Paramètres!$A$1:$I$89,3,0)*0.475*44/12</f>
        <v>1.2582792825494309</v>
      </c>
      <c r="CN158" s="24">
        <f t="shared" si="172"/>
        <v>1492.9526434462134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1.1368683772161603E-12</v>
      </c>
      <c r="CU158" s="18">
        <f>CT158*VLOOKUP('Données projet'!$B$13,Paramètres!$A$1:$I$89,3,0)*VLOOKUP('Données projet'!$B$13,Paramètres!$A$1:$I$89,5,0)</f>
        <v>9.9316821433603771E-13</v>
      </c>
      <c r="CV158" s="14">
        <f t="shared" si="173"/>
        <v>1.1421454694498936E-11</v>
      </c>
      <c r="CW158" s="22">
        <f t="shared" si="174"/>
        <v>2.1622134899554243E-11</v>
      </c>
      <c r="CX158" s="62">
        <f t="shared" si="122"/>
        <v>293.33333333335491</v>
      </c>
      <c r="CY158" s="62">
        <f ca="1">AVERAGE(OFFSET($CX$3,0,0,'Données projet'!$E$13+1,1))-AVERAGE(OFFSET($H$3,0,0,'Données projet'!$E$13+1,1))</f>
        <v>1036.0130072090849</v>
      </c>
      <c r="CZ158" s="62">
        <f t="shared" si="150"/>
        <v>346.56593355696174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151.63640675462761</v>
      </c>
      <c r="DG158" s="23">
        <f>EXP(-LN(2)/25)*DG157+(1-EXP(-LN(2)/25))/(LN(2)/25)*Calculateur!DB158*Calculateur!DD158*VLOOKUP('Données projet'!$B$13,Paramètres!$A$1:$I$89,3,0)*0.475*44/12</f>
        <v>5.2901885579724901</v>
      </c>
      <c r="DH158" s="23">
        <f>EXP(-LN(2)/2)*DH157+(1-EXP(-LN(2)/2))/(LN(2)/2)*DB158*DE158*VLOOKUP('Données projet'!$B$13,Paramètres!$A$1:$I$89,3,0)*0.475*44/12</f>
        <v>4.6496851704180073E-10</v>
      </c>
      <c r="DI158" s="24">
        <f t="shared" si="175"/>
        <v>156.92659531306509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6.8212102632969618E-13</v>
      </c>
      <c r="DP158" s="18">
        <f>DO158*VLOOKUP('Données projet'!$B$14,Paramètres!$A$1:$I$89,3,0)*VLOOKUP('Données projet'!$B$14,Paramètres!$A$1:$I$89,5,0)</f>
        <v>3.8130565371830017E-13</v>
      </c>
      <c r="DQ158" s="14">
        <f t="shared" si="176"/>
        <v>4.9019074112354236E-12</v>
      </c>
      <c r="DR158" s="22">
        <f t="shared" si="177"/>
        <v>9.2015960881277352E-12</v>
      </c>
      <c r="DS158" s="62">
        <f t="shared" si="125"/>
        <v>293.33333333334252</v>
      </c>
      <c r="DT158" s="62">
        <f ca="1">AVERAGE(OFFSET($DS$3,0,0,'Données projet'!$E$14+1,1))-AVERAGE(OFFSET($H$3,0,0,'Données projet'!$E$14+1,1))</f>
        <v>446.48069057792151</v>
      </c>
      <c r="DU158" s="62">
        <f t="shared" si="152"/>
        <v>561.75656782935948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28.138003051762176</v>
      </c>
      <c r="EB158" s="23">
        <f>EXP(-LN(2)/25)*EB157+(1-EXP(-LN(2)/25))/(LN(2)/25)*Calculateur!DW158*Calculateur!DY158*VLOOKUP('Données projet'!$B$14,Paramètres!$A$1:$I$89,3,0)*0.475*44/12</f>
        <v>5.8177703890029866</v>
      </c>
      <c r="EC158" s="23">
        <f>EXP(-LN(2)/2)*EC157+(1-EXP(-LN(2)/2))/(LN(2)/2)*DW158*DZ158*VLOOKUP('Données projet'!$B$14,Paramètres!$A$1:$I$89,3,0)*0.475*44/12</f>
        <v>6.7418600470684165E-13</v>
      </c>
      <c r="ED158" s="24">
        <f t="shared" si="178"/>
        <v>33.955773440765839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1.7053025658242404E-13</v>
      </c>
      <c r="EK158" s="18">
        <f>EJ158*VLOOKUP('Données projet'!$B$15,Paramètres!$A$1:$I$89,3,0)*VLOOKUP('Données projet'!$B$15,Paramètres!$A$1:$I$89,5,0)</f>
        <v>1.6493686416652052E-13</v>
      </c>
      <c r="EL158" s="14">
        <f t="shared" si="179"/>
        <v>2.3376205369651282E-12</v>
      </c>
      <c r="EM158" s="22">
        <f t="shared" si="180"/>
        <v>4.3586208069709543E-12</v>
      </c>
      <c r="EN158" s="62">
        <f t="shared" si="128"/>
        <v>293.33333333333769</v>
      </c>
      <c r="EO158" s="62">
        <f ca="1">AVERAGE(OFFSET($EN$3,0,0,'Données projet'!$E$15+1,1))-AVERAGE(OFFSET($H$3,0,0,'Données projet'!$E$15+1,1))</f>
        <v>301.18531163828169</v>
      </c>
      <c r="EP158" s="62">
        <f t="shared" si="154"/>
        <v>192.30530273268101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36.337004827075894</v>
      </c>
      <c r="EW158" s="23">
        <f>EXP(-LN(2)/25)*EW157+(1-EXP(-LN(2)/25))/(LN(2)/25)*Calculateur!ER158*Calculateur!ET158*VLOOKUP('Données projet'!$B$15,Paramètres!$A$1:$I$89,3,0)*0.475*44/12</f>
        <v>1.6931011332834944</v>
      </c>
      <c r="EX158" s="23">
        <f>EXP(-LN(2)/2)*EX157+(1-EXP(-LN(2)/2))/(LN(2)/2)*ER158*EU158*VLOOKUP('Données projet'!$B$15,Paramètres!$A$1:$I$89,3,0)*0.475*44/12</f>
        <v>3.1818409377688373E-13</v>
      </c>
      <c r="EY158" s="24">
        <f t="shared" si="181"/>
        <v>38.030105960359705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1.7053025658242404E-13</v>
      </c>
      <c r="FF158" s="18">
        <f>FE158*VLOOKUP('Données projet'!$B$16,Paramètres!$A$1:$I$89,3,0)*VLOOKUP('Données projet'!$B$16,Paramètres!$A$1:$I$89,5,0)</f>
        <v>1.3301360013429075E-13</v>
      </c>
      <c r="FG158" s="14">
        <f t="shared" si="182"/>
        <v>1.9329766731057041E-12</v>
      </c>
      <c r="FH158" s="22">
        <f t="shared" si="183"/>
        <v>3.5982663925596575E-12</v>
      </c>
      <c r="FI158" s="62">
        <f t="shared" si="131"/>
        <v>293.3333333333369</v>
      </c>
      <c r="FJ158" s="62">
        <f ca="1">AVERAGE(OFFSET($FI$3,0,0,'Données projet'!$E$16+1,1))-AVERAGE(OFFSET($H$3,0,0,'Données projet'!$E$16+1,1))</f>
        <v>249.2899297828755</v>
      </c>
      <c r="FK158" s="62">
        <f t="shared" si="156"/>
        <v>162.88011837476813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29.30403615086766</v>
      </c>
      <c r="FR158" s="23">
        <f>EXP(-LN(2)/25)*FR157+(1-EXP(-LN(2)/25))/(LN(2)/25)*Calculateur!FM158*Calculateur!FO158*VLOOKUP('Données projet'!$B$16,Paramètres!$A$1:$I$89,3,0)*0.475*44/12</f>
        <v>1.3654041397447512</v>
      </c>
      <c r="FS158" s="23">
        <f>EXP(-LN(2)/2)*FS157+(1-EXP(-LN(2)/2))/(LN(2)/2)*FM158*FP158*VLOOKUP('Données projet'!$B$16,Paramètres!$A$1:$I$89,3,0)*0.475*44/12</f>
        <v>2.566000756265173E-13</v>
      </c>
      <c r="FT158" s="24">
        <f t="shared" si="184"/>
        <v>30.669440290612666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1.7053025658242404E-13</v>
      </c>
      <c r="GA158" s="18">
        <f>FZ158*VLOOKUP('Données projet'!$B$17,Paramètres!$A$1:$I$89,3,0)*VLOOKUP('Données projet'!$B$17,Paramètres!$A$1:$I$89,5,0)</f>
        <v>1.1439169611549005E-13</v>
      </c>
      <c r="GB158" s="14">
        <f t="shared" si="185"/>
        <v>1.6918016515029816E-12</v>
      </c>
      <c r="GC158" s="22">
        <f t="shared" si="186"/>
        <v>3.1457867471021712E-12</v>
      </c>
      <c r="GD158" s="62">
        <f t="shared" si="134"/>
        <v>293.33333333333644</v>
      </c>
      <c r="GE158" s="62">
        <f ca="1">AVERAGE(OFFSET($GD$3,0,0,'Données projet'!$E$17+1,1))-AVERAGE(OFFSET($H$3,0,0,'Données projet'!$E$17+1,1))</f>
        <v>218.89895999738746</v>
      </c>
      <c r="GF158" s="62">
        <f t="shared" si="158"/>
        <v>145.64042897395763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31.062278319919685</v>
      </c>
      <c r="GM158" s="23">
        <f>EXP(-LN(2)/25)*GM157+(1-EXP(-LN(2)/25))/(LN(2)/25)*Calculateur!GH158*Calculateur!GJ158*VLOOKUP('Données projet'!$B$17,Paramètres!$A$1:$I$89,3,0)*0.475*44/12</f>
        <v>1.4473283881294379</v>
      </c>
      <c r="GN158" s="23">
        <f>EXP(-LN(2)/2)*GN157+(1-EXP(-LN(2)/2))/(LN(2)/2)*GH158*GK158*VLOOKUP('Données projet'!$B$17,Paramètres!$A$1:$I$89,3,0)*0.475*44/12</f>
        <v>2.206760650388065E-13</v>
      </c>
      <c r="GO158" s="23">
        <f t="shared" si="187"/>
        <v>32.50960670804934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1.7053025658242404E-13</v>
      </c>
      <c r="GV158" s="18">
        <f>GU158*VLOOKUP('Données projet'!$B$18,Paramètres!$A$1:$I$89,3,0)*VLOOKUP('Données projet'!$B$18,Paramètres!$A$1:$I$89,5,0)</f>
        <v>1.8355876818532125E-13</v>
      </c>
      <c r="GW158" s="14">
        <f t="shared" si="188"/>
        <v>2.5693529898865504E-12</v>
      </c>
      <c r="GX158" s="22">
        <f t="shared" si="189"/>
        <v>4.7946546453085093E-12</v>
      </c>
      <c r="GY158" s="62">
        <f t="shared" si="137"/>
        <v>293.33333333333809</v>
      </c>
      <c r="GZ158" s="62">
        <f ca="1">AVERAGE(OFFSET($GY$3,0,0,'Données projet'!$E$18+1,1))-AVERAGE(OFFSET($H$3,0,0,'Données projet'!$E$18+1,1))</f>
        <v>331.3579800635751</v>
      </c>
      <c r="HA158" s="62">
        <f t="shared" si="160"/>
        <v>209.40702003535273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40.439569888197347</v>
      </c>
      <c r="HH158" s="23">
        <f>EXP(-LN(2)/25)*HH157+(1-EXP(-LN(2)/25))/(LN(2)/25)*Calculateur!HC158*Calculateur!HE158*VLOOKUP('Données projet'!$B$18,Paramètres!$A$1:$I$89,3,0)*0.475*44/12</f>
        <v>1.8842577128477598</v>
      </c>
      <c r="HI158" s="23">
        <f>EXP(-LN(2)/2)*HI157+(1-EXP(-LN(2)/2))/(LN(2)/2)*HC158*HF158*VLOOKUP('Données projet'!$B$18,Paramètres!$A$1:$I$89,3,0)*0.475*44/12</f>
        <v>3.5410810436459397E-13</v>
      </c>
      <c r="HJ158" s="24">
        <f t="shared" si="190"/>
        <v>42.323827601045465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5.0022208597511053E-12</v>
      </c>
      <c r="O159" s="14">
        <f>N159*VLOOKUP('Données projet'!$B$9,Paramètres!$A$1:$I$89,3,0)*VLOOKUP('Données projet'!$B$9,Paramètres!$A$1:$I$89,5,0)</f>
        <v>4.5260094339028E-12</v>
      </c>
      <c r="P159" s="14">
        <f t="shared" si="141"/>
        <v>4.3625683148570328E-11</v>
      </c>
      <c r="Q159" s="22">
        <f t="shared" si="162"/>
        <v>8.3864197914474037E-11</v>
      </c>
      <c r="R159" s="62">
        <f t="shared" si="109"/>
        <v>293.33333333341716</v>
      </c>
      <c r="S159" s="62">
        <f ca="1">AVERAGE(OFFSET($R$3,0,0,'Données projet'!$E$9+1,1))-AVERAGE(OFFSET($H$3,0,0,'Données projet'!$E$9+1,1))</f>
        <v>2472.5049373954762</v>
      </c>
      <c r="T159" s="62">
        <f t="shared" si="142"/>
        <v>286.98388307318311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1268.6636282031086</v>
      </c>
      <c r="AA159" s="23">
        <f>EXP(-LN(2)/25)*AA158+(1-EXP(-LN(2)/25))/(LN(2)/25)*Calculateur!V159*Calculateur!X159*VLOOKUP('Données projet'!$B$9,Paramètres!$A$1:$I$89,3,0)*0.475*44/12</f>
        <v>56.228282747674925</v>
      </c>
      <c r="AB159" s="23">
        <f>EXP(-LN(2)/2)*AB158+(1-EXP(-LN(2)/2))/(LN(2)/2)*V159*Y159*VLOOKUP('Données projet'!$B$9,Paramètres!$A$1:$I$89,3,0)*0.475*44/12</f>
        <v>0.8063248933187549</v>
      </c>
      <c r="AC159" s="24">
        <f t="shared" si="163"/>
        <v>1325.6982358441023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5.0022208597511053E-12</v>
      </c>
      <c r="AJ159" s="14">
        <f>AI159*VLOOKUP('Données projet'!$B$10,Paramètres!$A$1:$I$89,3,0)*VLOOKUP('Données projet'!$B$10,Paramètres!$A$1:$I$89,5,0)</f>
        <v>5.0722519517876216E-12</v>
      </c>
      <c r="AK159" s="14">
        <f t="shared" si="164"/>
        <v>4.8246688221215311E-11</v>
      </c>
      <c r="AL159" s="22">
        <f t="shared" si="165"/>
        <v>9.2863820801313432E-11</v>
      </c>
      <c r="AM159" s="62">
        <f t="shared" si="113"/>
        <v>293.3333333334262</v>
      </c>
      <c r="AN159" s="62">
        <f ca="1">AVERAGE(OFFSET($AM$3,0,0,'Données projet'!$E$10+1,1))-AVERAGE(OFFSET($H$3,0,0,'Données projet'!$E$10+1,1))</f>
        <v>2761.1400657295467</v>
      </c>
      <c r="AO159" s="62">
        <f t="shared" si="144"/>
        <v>316.41877504316409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1421.7782040207251</v>
      </c>
      <c r="AV159" s="23">
        <f>EXP(-LN(2)/25)*AV158+(1-EXP(-LN(2)/25))/(LN(2)/25)*Calculateur!AQ159*Calculateur!AS159*VLOOKUP('Données projet'!$B$10,Paramètres!$A$1:$I$89,3,0)*0.475*44/12</f>
        <v>63.014454803428819</v>
      </c>
      <c r="AW159" s="23">
        <f>EXP(-LN(2)/2)*AW158+(1-EXP(-LN(2)/2))/(LN(2)/2)*AQ159*AT159*VLOOKUP('Données projet'!$B$10,Paramètres!$A$1:$I$89,3,0)*0.475*44/12</f>
        <v>0.90363996665032897</v>
      </c>
      <c r="AX159" s="23">
        <f t="shared" si="166"/>
        <v>1485.6962987908043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5.0022208597511053E-12</v>
      </c>
      <c r="BE159" s="14">
        <f>BD159*VLOOKUP('Données projet'!$B$11,Paramètres!$A$1:$I$89,3,0)*VLOOKUP('Données projet'!$B$11,Paramètres!$A$1:$I$89,5,0)</f>
        <v>5.2283212426118558E-12</v>
      </c>
      <c r="BF159" s="14">
        <f t="shared" si="167"/>
        <v>4.9556081821365385E-11</v>
      </c>
      <c r="BG159" s="22">
        <f t="shared" si="168"/>
        <v>9.5416168669760364E-11</v>
      </c>
      <c r="BH159" s="62">
        <f t="shared" si="116"/>
        <v>293.33333333342875</v>
      </c>
      <c r="BI159" s="62">
        <f ca="1">AVERAGE(OFFSET($BH$3,0,0,'Données projet'!$E$11+1,1))-AVERAGE(OFFSET($H$3,0,0,'Données projet'!$E$11+1,1))</f>
        <v>2843.5086223152098</v>
      </c>
      <c r="BJ159" s="62">
        <f t="shared" si="146"/>
        <v>324.81562437645522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1465.5252256829012</v>
      </c>
      <c r="BQ159" s="23">
        <f>EXP(-LN(2)/25)*BQ158+(1-EXP(-LN(2)/25))/(LN(2)/25)*Calculateur!BL159*Calculateur!BN159*VLOOKUP('Données projet'!$B$11,Paramètres!$A$1:$I$89,3,0)*0.475*44/12</f>
        <v>64.953361105072787</v>
      </c>
      <c r="BR159" s="23">
        <f>EXP(-LN(2)/2)*BR158+(1-EXP(-LN(2)/2))/(LN(2)/2)*BL159*BO159*VLOOKUP('Données projet'!$B$11,Paramètres!$A$1:$I$89,3,0)*0.475*44/12</f>
        <v>0.93144427331649327</v>
      </c>
      <c r="BS159" s="24">
        <f t="shared" si="169"/>
        <v>1531.4100310612905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5.0022208597511053E-12</v>
      </c>
      <c r="BZ159" s="14">
        <f>BY159*VLOOKUP('Données projet'!$B$12,Paramètres!$A$1:$I$89,3,0)*VLOOKUP('Données projet'!$B$12,Paramètres!$A$1:$I$89,5,0)</f>
        <v>4.9942173063755036E-12</v>
      </c>
      <c r="CA159" s="14">
        <f t="shared" si="170"/>
        <v>4.7590239529202817E-11</v>
      </c>
      <c r="CB159" s="22">
        <f t="shared" si="171"/>
        <v>9.1584595655298897E-11</v>
      </c>
      <c r="CC159" s="62">
        <f t="shared" si="119"/>
        <v>293.33333333342489</v>
      </c>
      <c r="CD159" s="62">
        <f ca="1">AVERAGE(OFFSET($CC$3,0,0,'Données projet'!$E$12+1,1))-AVERAGE(OFFSET($H$3,0,0,'Données projet'!$E$12+1,1))</f>
        <v>2719.939926994799</v>
      </c>
      <c r="CE159" s="62">
        <f t="shared" si="148"/>
        <v>312.21824046329749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1399.9046931896376</v>
      </c>
      <c r="CL159" s="23">
        <f>EXP(-LN(2)/25)*CL158+(1-EXP(-LN(2)/25))/(LN(2)/25)*Calculateur!CG159*Calculateur!CI159*VLOOKUP('Données projet'!$B$12,Paramètres!$A$1:$I$89,3,0)*0.475*44/12</f>
        <v>62.045001652606821</v>
      </c>
      <c r="CM159" s="23">
        <f>EXP(-LN(2)/2)*CM158+(1-EXP(-LN(2)/2))/(LN(2)/2)*CG159*CJ159*VLOOKUP('Données projet'!$B$12,Paramètres!$A$1:$I$89,3,0)*0.475*44/12</f>
        <v>0.88973781331724644</v>
      </c>
      <c r="CN159" s="24">
        <f t="shared" si="172"/>
        <v>1462.8394326555615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1.1368683772161603E-12</v>
      </c>
      <c r="CU159" s="18">
        <f>CT159*VLOOKUP('Données projet'!$B$13,Paramètres!$A$1:$I$89,3,0)*VLOOKUP('Données projet'!$B$13,Paramètres!$A$1:$I$89,5,0)</f>
        <v>9.9316821433603771E-13</v>
      </c>
      <c r="CV159" s="14">
        <f t="shared" si="173"/>
        <v>1.1421454694498936E-11</v>
      </c>
      <c r="CW159" s="22">
        <f t="shared" si="174"/>
        <v>2.1622134899554243E-11</v>
      </c>
      <c r="CX159" s="62">
        <f t="shared" si="122"/>
        <v>293.33333333335491</v>
      </c>
      <c r="CY159" s="62">
        <f ca="1">AVERAGE(OFFSET($CX$3,0,0,'Données projet'!$E$13+1,1))-AVERAGE(OFFSET($H$3,0,0,'Données projet'!$E$13+1,1))</f>
        <v>1036.0130072090849</v>
      </c>
      <c r="CZ159" s="62">
        <f t="shared" si="150"/>
        <v>346.56593355696174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148.66290930724495</v>
      </c>
      <c r="DG159" s="23">
        <f>EXP(-LN(2)/25)*DG158+(1-EXP(-LN(2)/25))/(LN(2)/25)*Calculateur!DB159*Calculateur!DD159*VLOOKUP('Données projet'!$B$13,Paramètres!$A$1:$I$89,3,0)*0.475*44/12</f>
        <v>5.1455280736558073</v>
      </c>
      <c r="DH159" s="23">
        <f>EXP(-LN(2)/2)*DH158+(1-EXP(-LN(2)/2))/(LN(2)/2)*DB159*DE159*VLOOKUP('Données projet'!$B$13,Paramètres!$A$1:$I$89,3,0)*0.475*44/12</f>
        <v>3.2878239143851012E-10</v>
      </c>
      <c r="DI159" s="24">
        <f t="shared" si="175"/>
        <v>153.80843738122954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6.8212102632969618E-13</v>
      </c>
      <c r="DP159" s="18">
        <f>DO159*VLOOKUP('Données projet'!$B$14,Paramètres!$A$1:$I$89,3,0)*VLOOKUP('Données projet'!$B$14,Paramètres!$A$1:$I$89,5,0)</f>
        <v>3.8130565371830017E-13</v>
      </c>
      <c r="DQ159" s="14">
        <f t="shared" si="176"/>
        <v>4.9019074112354236E-12</v>
      </c>
      <c r="DR159" s="22">
        <f t="shared" si="177"/>
        <v>9.2015960881277352E-12</v>
      </c>
      <c r="DS159" s="62">
        <f t="shared" si="125"/>
        <v>293.33333333334252</v>
      </c>
      <c r="DT159" s="62">
        <f ca="1">AVERAGE(OFFSET($DS$3,0,0,'Données projet'!$E$14+1,1))-AVERAGE(OFFSET($H$3,0,0,'Données projet'!$E$14+1,1))</f>
        <v>446.48069057792151</v>
      </c>
      <c r="DU159" s="62">
        <f t="shared" si="152"/>
        <v>561.75656782935948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27.586233974404326</v>
      </c>
      <c r="EB159" s="23">
        <f>EXP(-LN(2)/25)*EB158+(1-EXP(-LN(2)/25))/(LN(2)/25)*Calculateur!DW159*Calculateur!DY159*VLOOKUP('Données projet'!$B$14,Paramètres!$A$1:$I$89,3,0)*0.475*44/12</f>
        <v>5.6586831517724523</v>
      </c>
      <c r="EC159" s="23">
        <f>EXP(-LN(2)/2)*EC158+(1-EXP(-LN(2)/2))/(LN(2)/2)*DW159*DZ159*VLOOKUP('Données projet'!$B$14,Paramètres!$A$1:$I$89,3,0)*0.475*44/12</f>
        <v>4.7672149570927337E-13</v>
      </c>
      <c r="ED159" s="24">
        <f t="shared" si="178"/>
        <v>33.244917126177256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1.7053025658242404E-13</v>
      </c>
      <c r="EK159" s="18">
        <f>EJ159*VLOOKUP('Données projet'!$B$15,Paramètres!$A$1:$I$89,3,0)*VLOOKUP('Données projet'!$B$15,Paramètres!$A$1:$I$89,5,0)</f>
        <v>1.6493686416652052E-13</v>
      </c>
      <c r="EL159" s="14">
        <f t="shared" si="179"/>
        <v>2.3376205369651282E-12</v>
      </c>
      <c r="EM159" s="22">
        <f t="shared" si="180"/>
        <v>4.3586208069709543E-12</v>
      </c>
      <c r="EN159" s="62">
        <f t="shared" si="128"/>
        <v>293.33333333333769</v>
      </c>
      <c r="EO159" s="62">
        <f ca="1">AVERAGE(OFFSET($EN$3,0,0,'Données projet'!$E$15+1,1))-AVERAGE(OFFSET($H$3,0,0,'Données projet'!$E$15+1,1))</f>
        <v>301.18531163828169</v>
      </c>
      <c r="EP159" s="62">
        <f t="shared" si="154"/>
        <v>192.30530273268101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35.624458325801427</v>
      </c>
      <c r="EW159" s="23">
        <f>EXP(-LN(2)/25)*EW158+(1-EXP(-LN(2)/25))/(LN(2)/25)*Calculateur!ER159*Calculateur!ET159*VLOOKUP('Données projet'!$B$15,Paramètres!$A$1:$I$89,3,0)*0.475*44/12</f>
        <v>1.6468031937575383</v>
      </c>
      <c r="EX159" s="23">
        <f>EXP(-LN(2)/2)*EX158+(1-EXP(-LN(2)/2))/(LN(2)/2)*ER159*EU159*VLOOKUP('Données projet'!$B$15,Paramètres!$A$1:$I$89,3,0)*0.475*44/12</f>
        <v>2.2499013037533085E-13</v>
      </c>
      <c r="EY159" s="24">
        <f t="shared" si="181"/>
        <v>37.271261519559189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1.7053025658242404E-13</v>
      </c>
      <c r="FF159" s="18">
        <f>FE159*VLOOKUP('Données projet'!$B$16,Paramètres!$A$1:$I$89,3,0)*VLOOKUP('Données projet'!$B$16,Paramètres!$A$1:$I$89,5,0)</f>
        <v>1.3301360013429075E-13</v>
      </c>
      <c r="FG159" s="14">
        <f t="shared" si="182"/>
        <v>1.9329766731057041E-12</v>
      </c>
      <c r="FH159" s="22">
        <f t="shared" si="183"/>
        <v>3.5982663925596575E-12</v>
      </c>
      <c r="FI159" s="62">
        <f t="shared" si="131"/>
        <v>293.3333333333369</v>
      </c>
      <c r="FJ159" s="62">
        <f ca="1">AVERAGE(OFFSET($FI$3,0,0,'Données projet'!$E$16+1,1))-AVERAGE(OFFSET($H$3,0,0,'Données projet'!$E$16+1,1))</f>
        <v>249.2899297828755</v>
      </c>
      <c r="FK159" s="62">
        <f t="shared" si="156"/>
        <v>162.88011837476813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28.729401875646317</v>
      </c>
      <c r="FR159" s="23">
        <f>EXP(-LN(2)/25)*FR158+(1-EXP(-LN(2)/25))/(LN(2)/25)*Calculateur!FM159*Calculateur!FO159*VLOOKUP('Données projet'!$B$16,Paramètres!$A$1:$I$89,3,0)*0.475*44/12</f>
        <v>1.328067091739948</v>
      </c>
      <c r="FS159" s="23">
        <f>EXP(-LN(2)/2)*FS158+(1-EXP(-LN(2)/2))/(LN(2)/2)*FM159*FP159*VLOOKUP('Données projet'!$B$16,Paramètres!$A$1:$I$89,3,0)*0.475*44/12</f>
        <v>1.8144365352849132E-13</v>
      </c>
      <c r="FT159" s="24">
        <f t="shared" si="184"/>
        <v>30.057468967386445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1.7053025658242404E-13</v>
      </c>
      <c r="GA159" s="18">
        <f>FZ159*VLOOKUP('Données projet'!$B$17,Paramètres!$A$1:$I$89,3,0)*VLOOKUP('Données projet'!$B$17,Paramètres!$A$1:$I$89,5,0)</f>
        <v>1.1439169611549005E-13</v>
      </c>
      <c r="GB159" s="14">
        <f t="shared" si="185"/>
        <v>1.6918016515029816E-12</v>
      </c>
      <c r="GC159" s="22">
        <f t="shared" si="186"/>
        <v>3.1457867471021712E-12</v>
      </c>
      <c r="GD159" s="62">
        <f t="shared" si="134"/>
        <v>293.33333333333644</v>
      </c>
      <c r="GE159" s="62">
        <f ca="1">AVERAGE(OFFSET($GD$3,0,0,'Données projet'!$E$17+1,1))-AVERAGE(OFFSET($H$3,0,0,'Données projet'!$E$17+1,1))</f>
        <v>218.89895999738746</v>
      </c>
      <c r="GF159" s="62">
        <f t="shared" si="158"/>
        <v>145.64042897395763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30.453165988185059</v>
      </c>
      <c r="GM159" s="23">
        <f>EXP(-LN(2)/25)*GM158+(1-EXP(-LN(2)/25))/(LN(2)/25)*Calculateur!GH159*Calculateur!GJ159*VLOOKUP('Données projet'!$B$17,Paramètres!$A$1:$I$89,3,0)*0.475*44/12</f>
        <v>1.4077511172443464</v>
      </c>
      <c r="GN159" s="23">
        <f>EXP(-LN(2)/2)*GN158+(1-EXP(-LN(2)/2))/(LN(2)/2)*GH159*GK159*VLOOKUP('Données projet'!$B$17,Paramètres!$A$1:$I$89,3,0)*0.475*44/12</f>
        <v>1.5604154203450369E-13</v>
      </c>
      <c r="GO159" s="23">
        <f t="shared" si="187"/>
        <v>31.860917105429561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1.7053025658242404E-13</v>
      </c>
      <c r="GV159" s="18">
        <f>GU159*VLOOKUP('Données projet'!$B$18,Paramètres!$A$1:$I$89,3,0)*VLOOKUP('Données projet'!$B$18,Paramètres!$A$1:$I$89,5,0)</f>
        <v>1.8355876818532125E-13</v>
      </c>
      <c r="GW159" s="14">
        <f t="shared" si="188"/>
        <v>2.5693529898865504E-12</v>
      </c>
      <c r="GX159" s="22">
        <f t="shared" si="189"/>
        <v>4.7946546453085093E-12</v>
      </c>
      <c r="GY159" s="62">
        <f t="shared" si="137"/>
        <v>293.33333333333809</v>
      </c>
      <c r="GZ159" s="62">
        <f ca="1">AVERAGE(OFFSET($GY$3,0,0,'Données projet'!$E$18+1,1))-AVERAGE(OFFSET($H$3,0,0,'Données projet'!$E$18+1,1))</f>
        <v>331.3579800635751</v>
      </c>
      <c r="HA159" s="62">
        <f t="shared" si="160"/>
        <v>209.40702003535273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39.646574588391893</v>
      </c>
      <c r="HH159" s="23">
        <f>EXP(-LN(2)/25)*HH158+(1-EXP(-LN(2)/25))/(LN(2)/25)*Calculateur!HC159*Calculateur!HE159*VLOOKUP('Données projet'!$B$18,Paramètres!$A$1:$I$89,3,0)*0.475*44/12</f>
        <v>1.8327325866011313</v>
      </c>
      <c r="HI159" s="23">
        <f>EXP(-LN(2)/2)*HI158+(1-EXP(-LN(2)/2))/(LN(2)/2)*HC159*HF159*VLOOKUP('Données projet'!$B$18,Paramètres!$A$1:$I$89,3,0)*0.475*44/12</f>
        <v>2.5039224186931808E-13</v>
      </c>
      <c r="HJ159" s="24">
        <f t="shared" si="190"/>
        <v>41.479307174993274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5.0022208597511053E-12</v>
      </c>
      <c r="O160" s="14">
        <f>N160*VLOOKUP('Données projet'!$B$9,Paramètres!$A$1:$I$89,3,0)*VLOOKUP('Données projet'!$B$9,Paramètres!$A$1:$I$89,5,0)</f>
        <v>4.5260094339028E-12</v>
      </c>
      <c r="P160" s="14">
        <f t="shared" si="141"/>
        <v>4.3625683148570328E-11</v>
      </c>
      <c r="Q160" s="22">
        <f t="shared" si="162"/>
        <v>8.3864197914474037E-11</v>
      </c>
      <c r="R160" s="62">
        <f t="shared" si="109"/>
        <v>293.33333333341716</v>
      </c>
      <c r="S160" s="62">
        <f ca="1">AVERAGE(OFFSET($R$3,0,0,'Données projet'!$E$9+1,1))-AVERAGE(OFFSET($H$3,0,0,'Données projet'!$E$9+1,1))</f>
        <v>2472.5049373954762</v>
      </c>
      <c r="T160" s="62">
        <f t="shared" si="142"/>
        <v>286.98388307318311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1243.7859082624516</v>
      </c>
      <c r="AA160" s="23">
        <f>EXP(-LN(2)/25)*AA159+(1-EXP(-LN(2)/25))/(LN(2)/25)*Calculateur!V160*Calculateur!X160*VLOOKUP('Données projet'!$B$9,Paramètres!$A$1:$I$89,3,0)*0.475*44/12</f>
        <v>54.690717399022873</v>
      </c>
      <c r="AB160" s="23">
        <f>EXP(-LN(2)/2)*AB159+(1-EXP(-LN(2)/2))/(LN(2)/2)*V160*Y160*VLOOKUP('Données projet'!$B$9,Paramètres!$A$1:$I$89,3,0)*0.475*44/12</f>
        <v>0.57015779990521109</v>
      </c>
      <c r="AC160" s="24">
        <f t="shared" si="163"/>
        <v>1299.0467834613796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5.0022208597511053E-12</v>
      </c>
      <c r="AJ160" s="14">
        <f>AI160*VLOOKUP('Données projet'!$B$10,Paramètres!$A$1:$I$89,3,0)*VLOOKUP('Données projet'!$B$10,Paramètres!$A$1:$I$89,5,0)</f>
        <v>5.0722519517876216E-12</v>
      </c>
      <c r="AK160" s="14">
        <f t="shared" si="164"/>
        <v>4.8246688221215311E-11</v>
      </c>
      <c r="AL160" s="22">
        <f t="shared" si="165"/>
        <v>9.2863820801313432E-11</v>
      </c>
      <c r="AM160" s="62">
        <f t="shared" si="113"/>
        <v>293.3333333334262</v>
      </c>
      <c r="AN160" s="62">
        <f ca="1">AVERAGE(OFFSET($AM$3,0,0,'Données projet'!$E$10+1,1))-AVERAGE(OFFSET($H$3,0,0,'Données projet'!$E$10+1,1))</f>
        <v>2761.1400657295467</v>
      </c>
      <c r="AO160" s="62">
        <f t="shared" si="144"/>
        <v>316.41877504316409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1393.8980006389543</v>
      </c>
      <c r="AV160" s="23">
        <f>EXP(-LN(2)/25)*AV159+(1-EXP(-LN(2)/25))/(LN(2)/25)*Calculateur!AQ160*Calculateur!AS160*VLOOKUP('Données projet'!$B$10,Paramètres!$A$1:$I$89,3,0)*0.475*44/12</f>
        <v>61.2913212230429</v>
      </c>
      <c r="AW160" s="23">
        <f>EXP(-LN(2)/2)*AW159+(1-EXP(-LN(2)/2))/(LN(2)/2)*AQ160*AT160*VLOOKUP('Données projet'!$B$10,Paramètres!$A$1:$I$89,3,0)*0.475*44/12</f>
        <v>0.63896994816963326</v>
      </c>
      <c r="AX160" s="23">
        <f t="shared" si="166"/>
        <v>1455.8282918101668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5.0022208597511053E-12</v>
      </c>
      <c r="BE160" s="14">
        <f>BD160*VLOOKUP('Données projet'!$B$11,Paramètres!$A$1:$I$89,3,0)*VLOOKUP('Données projet'!$B$11,Paramètres!$A$1:$I$89,5,0)</f>
        <v>5.2283212426118558E-12</v>
      </c>
      <c r="BF160" s="14">
        <f t="shared" si="167"/>
        <v>4.9556081821365385E-11</v>
      </c>
      <c r="BG160" s="22">
        <f t="shared" si="168"/>
        <v>9.5416168669760364E-11</v>
      </c>
      <c r="BH160" s="62">
        <f t="shared" si="116"/>
        <v>293.33333333342875</v>
      </c>
      <c r="BI160" s="62">
        <f ca="1">AVERAGE(OFFSET($BH$3,0,0,'Données projet'!$E$11+1,1))-AVERAGE(OFFSET($H$3,0,0,'Données projet'!$E$11+1,1))</f>
        <v>2843.5086223152098</v>
      </c>
      <c r="BJ160" s="62">
        <f t="shared" si="146"/>
        <v>324.81562437645522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1436.7871698893837</v>
      </c>
      <c r="BQ160" s="23">
        <f>EXP(-LN(2)/25)*BQ159+(1-EXP(-LN(2)/25))/(LN(2)/25)*Calculateur!BL160*Calculateur!BN160*VLOOKUP('Données projet'!$B$11,Paramètres!$A$1:$I$89,3,0)*0.475*44/12</f>
        <v>63.177208029905763</v>
      </c>
      <c r="BR160" s="23">
        <f>EXP(-LN(2)/2)*BR159+(1-EXP(-LN(2)/2))/(LN(2)/2)*BL160*BO160*VLOOKUP('Données projet'!$B$11,Paramètres!$A$1:$I$89,3,0)*0.475*44/12</f>
        <v>0.65863056195946845</v>
      </c>
      <c r="BS160" s="24">
        <f t="shared" si="169"/>
        <v>1500.6230084812489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5.0022208597511053E-12</v>
      </c>
      <c r="BZ160" s="14">
        <f>BY160*VLOOKUP('Données projet'!$B$12,Paramètres!$A$1:$I$89,3,0)*VLOOKUP('Données projet'!$B$12,Paramètres!$A$1:$I$89,5,0)</f>
        <v>4.9942173063755036E-12</v>
      </c>
      <c r="CA160" s="14">
        <f t="shared" si="170"/>
        <v>4.7590239529202817E-11</v>
      </c>
      <c r="CB160" s="22">
        <f t="shared" si="171"/>
        <v>9.1584595655298897E-11</v>
      </c>
      <c r="CC160" s="62">
        <f t="shared" si="119"/>
        <v>293.33333333342489</v>
      </c>
      <c r="CD160" s="62">
        <f ca="1">AVERAGE(OFFSET($CC$3,0,0,'Données projet'!$E$12+1,1))-AVERAGE(OFFSET($H$3,0,0,'Données projet'!$E$12+1,1))</f>
        <v>2719.939926994799</v>
      </c>
      <c r="CE160" s="62">
        <f t="shared" si="148"/>
        <v>312.21824046329749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1372.4534160137403</v>
      </c>
      <c r="CL160" s="23">
        <f>EXP(-LN(2)/25)*CL159+(1-EXP(-LN(2)/25))/(LN(2)/25)*Calculateur!CG160*Calculateur!CI160*VLOOKUP('Données projet'!$B$12,Paramètres!$A$1:$I$89,3,0)*0.475*44/12</f>
        <v>60.348377819611457</v>
      </c>
      <c r="CM160" s="23">
        <f>EXP(-LN(2)/2)*CM159+(1-EXP(-LN(2)/2))/(LN(2)/2)*CG160*CJ160*VLOOKUP('Données projet'!$B$12,Paramètres!$A$1:$I$89,3,0)*0.475*44/12</f>
        <v>0.62913964127471544</v>
      </c>
      <c r="CN160" s="24">
        <f t="shared" si="172"/>
        <v>1433.4309334746263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1.1368683772161603E-12</v>
      </c>
      <c r="CU160" s="18">
        <f>CT160*VLOOKUP('Données projet'!$B$13,Paramètres!$A$1:$I$89,3,0)*VLOOKUP('Données projet'!$B$13,Paramètres!$A$1:$I$89,5,0)</f>
        <v>9.9316821433603771E-13</v>
      </c>
      <c r="CV160" s="14">
        <f t="shared" si="173"/>
        <v>1.1421454694498936E-11</v>
      </c>
      <c r="CW160" s="22">
        <f t="shared" si="174"/>
        <v>2.1622134899554243E-11</v>
      </c>
      <c r="CX160" s="62">
        <f t="shared" si="122"/>
        <v>293.33333333335491</v>
      </c>
      <c r="CY160" s="62">
        <f ca="1">AVERAGE(OFFSET($CX$3,0,0,'Données projet'!$E$13+1,1))-AVERAGE(OFFSET($H$3,0,0,'Données projet'!$E$13+1,1))</f>
        <v>1036.0130072090849</v>
      </c>
      <c r="CZ160" s="62">
        <f t="shared" si="150"/>
        <v>346.56593355696174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145.7477203311511</v>
      </c>
      <c r="DG160" s="23">
        <f>EXP(-LN(2)/25)*DG159+(1-EXP(-LN(2)/25))/(LN(2)/25)*Calculateur!DB160*Calculateur!DD160*VLOOKUP('Données projet'!$B$13,Paramètres!$A$1:$I$89,3,0)*0.475*44/12</f>
        <v>5.0048233378901283</v>
      </c>
      <c r="DH160" s="23">
        <f>EXP(-LN(2)/2)*DH159+(1-EXP(-LN(2)/2))/(LN(2)/2)*DB160*DE160*VLOOKUP('Données projet'!$B$13,Paramètres!$A$1:$I$89,3,0)*0.475*44/12</f>
        <v>2.3248425852090042E-10</v>
      </c>
      <c r="DI160" s="24">
        <f t="shared" si="175"/>
        <v>150.75254366927371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6.8212102632969618E-13</v>
      </c>
      <c r="DP160" s="18">
        <f>DO160*VLOOKUP('Données projet'!$B$14,Paramètres!$A$1:$I$89,3,0)*VLOOKUP('Données projet'!$B$14,Paramètres!$A$1:$I$89,5,0)</f>
        <v>3.8130565371830017E-13</v>
      </c>
      <c r="DQ160" s="14">
        <f t="shared" si="176"/>
        <v>4.9019074112354236E-12</v>
      </c>
      <c r="DR160" s="22">
        <f t="shared" si="177"/>
        <v>9.2015960881277352E-12</v>
      </c>
      <c r="DS160" s="62">
        <f t="shared" si="125"/>
        <v>293.33333333334252</v>
      </c>
      <c r="DT160" s="62">
        <f ca="1">AVERAGE(OFFSET($DS$3,0,0,'Données projet'!$E$14+1,1))-AVERAGE(OFFSET($H$3,0,0,'Données projet'!$E$14+1,1))</f>
        <v>446.48069057792151</v>
      </c>
      <c r="DU160" s="62">
        <f t="shared" si="152"/>
        <v>561.75656782935948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27.045284752107559</v>
      </c>
      <c r="EB160" s="23">
        <f>EXP(-LN(2)/25)*EB159+(1-EXP(-LN(2)/25))/(LN(2)/25)*Calculateur!DW160*Calculateur!DY160*VLOOKUP('Données projet'!$B$14,Paramètres!$A$1:$I$89,3,0)*0.475*44/12</f>
        <v>5.5039461634100206</v>
      </c>
      <c r="EC160" s="23">
        <f>EXP(-LN(2)/2)*EC159+(1-EXP(-LN(2)/2))/(LN(2)/2)*DW160*DZ160*VLOOKUP('Données projet'!$B$14,Paramètres!$A$1:$I$89,3,0)*0.475*44/12</f>
        <v>3.3709300235342083E-13</v>
      </c>
      <c r="ED160" s="24">
        <f t="shared" si="178"/>
        <v>32.549230915517917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1.7053025658242404E-13</v>
      </c>
      <c r="EK160" s="18">
        <f>EJ160*VLOOKUP('Données projet'!$B$15,Paramètres!$A$1:$I$89,3,0)*VLOOKUP('Données projet'!$B$15,Paramètres!$A$1:$I$89,5,0)</f>
        <v>1.6493686416652052E-13</v>
      </c>
      <c r="EL160" s="14">
        <f t="shared" si="179"/>
        <v>2.3376205369651282E-12</v>
      </c>
      <c r="EM160" s="22">
        <f t="shared" si="180"/>
        <v>4.3586208069709543E-12</v>
      </c>
      <c r="EN160" s="62">
        <f t="shared" si="128"/>
        <v>293.33333333333769</v>
      </c>
      <c r="EO160" s="62">
        <f ca="1">AVERAGE(OFFSET($EN$3,0,0,'Données projet'!$E$15+1,1))-AVERAGE(OFFSET($H$3,0,0,'Données projet'!$E$15+1,1))</f>
        <v>301.18531163828169</v>
      </c>
      <c r="EP160" s="62">
        <f t="shared" si="154"/>
        <v>192.30530273268101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34.925884426806505</v>
      </c>
      <c r="EW160" s="23">
        <f>EXP(-LN(2)/25)*EW159+(1-EXP(-LN(2)/25))/(LN(2)/25)*Calculateur!ER160*Calculateur!ET160*VLOOKUP('Données projet'!$B$15,Paramètres!$A$1:$I$89,3,0)*0.475*44/12</f>
        <v>1.6017712738226222</v>
      </c>
      <c r="EX160" s="23">
        <f>EXP(-LN(2)/2)*EX159+(1-EXP(-LN(2)/2))/(LN(2)/2)*ER160*EU160*VLOOKUP('Données projet'!$B$15,Paramètres!$A$1:$I$89,3,0)*0.475*44/12</f>
        <v>1.5909204688844189E-13</v>
      </c>
      <c r="EY160" s="24">
        <f t="shared" si="181"/>
        <v>36.527655700629282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1.7053025658242404E-13</v>
      </c>
      <c r="FF160" s="18">
        <f>FE160*VLOOKUP('Données projet'!$B$16,Paramètres!$A$1:$I$89,3,0)*VLOOKUP('Données projet'!$B$16,Paramètres!$A$1:$I$89,5,0)</f>
        <v>1.3301360013429075E-13</v>
      </c>
      <c r="FG160" s="14">
        <f t="shared" si="182"/>
        <v>1.9329766731057041E-12</v>
      </c>
      <c r="FH160" s="22">
        <f t="shared" si="183"/>
        <v>3.5982663925596575E-12</v>
      </c>
      <c r="FI160" s="62">
        <f t="shared" si="131"/>
        <v>293.3333333333369</v>
      </c>
      <c r="FJ160" s="62">
        <f ca="1">AVERAGE(OFFSET($FI$3,0,0,'Données projet'!$E$16+1,1))-AVERAGE(OFFSET($H$3,0,0,'Données projet'!$E$16+1,1))</f>
        <v>249.2899297828755</v>
      </c>
      <c r="FK160" s="62">
        <f t="shared" si="156"/>
        <v>162.88011837476813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28.166035828069763</v>
      </c>
      <c r="FR160" s="23">
        <f>EXP(-LN(2)/25)*FR159+(1-EXP(-LN(2)/25))/(LN(2)/25)*Calculateur!FM160*Calculateur!FO160*VLOOKUP('Données projet'!$B$16,Paramètres!$A$1:$I$89,3,0)*0.475*44/12</f>
        <v>1.291751027276306</v>
      </c>
      <c r="FS160" s="23">
        <f>EXP(-LN(2)/2)*FS159+(1-EXP(-LN(2)/2))/(LN(2)/2)*FM160*FP160*VLOOKUP('Données projet'!$B$16,Paramètres!$A$1:$I$89,3,0)*0.475*44/12</f>
        <v>1.2830003781325865E-13</v>
      </c>
      <c r="FT160" s="24">
        <f t="shared" si="184"/>
        <v>29.457786855346196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1.7053025658242404E-13</v>
      </c>
      <c r="GA160" s="18">
        <f>FZ160*VLOOKUP('Données projet'!$B$17,Paramètres!$A$1:$I$89,3,0)*VLOOKUP('Données projet'!$B$17,Paramètres!$A$1:$I$89,5,0)</f>
        <v>1.1439169611549005E-13</v>
      </c>
      <c r="GB160" s="14">
        <f t="shared" si="185"/>
        <v>1.6918016515029816E-12</v>
      </c>
      <c r="GC160" s="22">
        <f t="shared" si="186"/>
        <v>3.1457867471021712E-12</v>
      </c>
      <c r="GD160" s="62">
        <f t="shared" si="134"/>
        <v>293.33333333333644</v>
      </c>
      <c r="GE160" s="62">
        <f ca="1">AVERAGE(OFFSET($GD$3,0,0,'Données projet'!$E$17+1,1))-AVERAGE(OFFSET($H$3,0,0,'Données projet'!$E$17+1,1))</f>
        <v>218.89895999738746</v>
      </c>
      <c r="GF160" s="62">
        <f t="shared" si="158"/>
        <v>145.64042897395763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29.855997977753916</v>
      </c>
      <c r="GM160" s="23">
        <f>EXP(-LN(2)/25)*GM159+(1-EXP(-LN(2)/25))/(LN(2)/25)*Calculateur!GH160*Calculateur!GJ160*VLOOKUP('Données projet'!$B$17,Paramètres!$A$1:$I$89,3,0)*0.475*44/12</f>
        <v>1.369256088912886</v>
      </c>
      <c r="GN160" s="23">
        <f>EXP(-LN(2)/2)*GN159+(1-EXP(-LN(2)/2))/(LN(2)/2)*GH160*GK160*VLOOKUP('Données projet'!$B$17,Paramètres!$A$1:$I$89,3,0)*0.475*44/12</f>
        <v>1.1033803251940326E-13</v>
      </c>
      <c r="GO160" s="23">
        <f t="shared" si="187"/>
        <v>31.22525406666691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1.7053025658242404E-13</v>
      </c>
      <c r="GV160" s="18">
        <f>GU160*VLOOKUP('Données projet'!$B$18,Paramètres!$A$1:$I$89,3,0)*VLOOKUP('Données projet'!$B$18,Paramètres!$A$1:$I$89,5,0)</f>
        <v>1.8355876818532125E-13</v>
      </c>
      <c r="GW160" s="14">
        <f t="shared" si="188"/>
        <v>2.5693529898865504E-12</v>
      </c>
      <c r="GX160" s="22">
        <f t="shared" si="189"/>
        <v>4.7946546453085093E-12</v>
      </c>
      <c r="GY160" s="62">
        <f t="shared" si="137"/>
        <v>293.33333333333809</v>
      </c>
      <c r="GZ160" s="62">
        <f ca="1">AVERAGE(OFFSET($GY$3,0,0,'Données projet'!$E$18+1,1))-AVERAGE(OFFSET($H$3,0,0,'Données projet'!$E$18+1,1))</f>
        <v>331.3579800635751</v>
      </c>
      <c r="HA160" s="62">
        <f t="shared" si="160"/>
        <v>209.40702003535273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38.869129442736252</v>
      </c>
      <c r="HH160" s="23">
        <f>EXP(-LN(2)/25)*HH159+(1-EXP(-LN(2)/25))/(LN(2)/25)*Calculateur!HC160*Calculateur!HE160*VLOOKUP('Données projet'!$B$18,Paramètres!$A$1:$I$89,3,0)*0.475*44/12</f>
        <v>1.7826164176413053</v>
      </c>
      <c r="HI160" s="23">
        <f>EXP(-LN(2)/2)*HI159+(1-EXP(-LN(2)/2))/(LN(2)/2)*HC160*HF160*VLOOKUP('Données projet'!$B$18,Paramètres!$A$1:$I$89,3,0)*0.475*44/12</f>
        <v>1.7705405218229699E-13</v>
      </c>
      <c r="HJ160" s="24">
        <f t="shared" si="190"/>
        <v>40.651745860377737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5.0022208597511053E-12</v>
      </c>
      <c r="O161" s="14">
        <f>N161*VLOOKUP('Données projet'!$B$9,Paramètres!$A$1:$I$89,3,0)*VLOOKUP('Données projet'!$B$9,Paramètres!$A$1:$I$89,5,0)</f>
        <v>4.5260094339028E-12</v>
      </c>
      <c r="P161" s="14">
        <f t="shared" si="141"/>
        <v>4.3625683148570328E-11</v>
      </c>
      <c r="Q161" s="22">
        <f t="shared" si="162"/>
        <v>8.3864197914474037E-11</v>
      </c>
      <c r="R161" s="62">
        <f t="shared" si="109"/>
        <v>293.33333333341716</v>
      </c>
      <c r="S161" s="62">
        <f ca="1">AVERAGE(OFFSET($R$3,0,0,'Données projet'!$E$9+1,1))-AVERAGE(OFFSET($H$3,0,0,'Données projet'!$E$9+1,1))</f>
        <v>2472.5049373954762</v>
      </c>
      <c r="T161" s="62">
        <f t="shared" si="142"/>
        <v>286.98388307318311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1219.39602523592</v>
      </c>
      <c r="AA161" s="23">
        <f>EXP(-LN(2)/25)*AA160+(1-EXP(-LN(2)/25))/(LN(2)/25)*Calculateur!V161*Calculateur!X161*VLOOKUP('Données projet'!$B$9,Paramètres!$A$1:$I$89,3,0)*0.475*44/12</f>
        <v>53.19519685568676</v>
      </c>
      <c r="AB161" s="23">
        <f>EXP(-LN(2)/2)*AB160+(1-EXP(-LN(2)/2))/(LN(2)/2)*V161*Y161*VLOOKUP('Données projet'!$B$9,Paramètres!$A$1:$I$89,3,0)*0.475*44/12</f>
        <v>0.40316244665937745</v>
      </c>
      <c r="AC161" s="24">
        <f t="shared" si="163"/>
        <v>1272.9943845382661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5.0022208597511053E-12</v>
      </c>
      <c r="AJ161" s="14">
        <f>AI161*VLOOKUP('Données projet'!$B$10,Paramètres!$A$1:$I$89,3,0)*VLOOKUP('Données projet'!$B$10,Paramètres!$A$1:$I$89,5,0)</f>
        <v>5.0722519517876216E-12</v>
      </c>
      <c r="AK161" s="14">
        <f t="shared" si="164"/>
        <v>4.8246688221215311E-11</v>
      </c>
      <c r="AL161" s="22">
        <f t="shared" si="165"/>
        <v>9.2863820801313432E-11</v>
      </c>
      <c r="AM161" s="62">
        <f t="shared" si="113"/>
        <v>293.3333333334262</v>
      </c>
      <c r="AN161" s="62">
        <f ca="1">AVERAGE(OFFSET($AM$3,0,0,'Données projet'!$E$10+1,1))-AVERAGE(OFFSET($H$3,0,0,'Données projet'!$E$10+1,1))</f>
        <v>2761.1400657295467</v>
      </c>
      <c r="AO161" s="62">
        <f t="shared" si="144"/>
        <v>316.41877504316409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1366.5645110402552</v>
      </c>
      <c r="AV161" s="23">
        <f>EXP(-LN(2)/25)*AV160+(1-EXP(-LN(2)/25))/(LN(2)/25)*Calculateur!AQ161*Calculateur!AS161*VLOOKUP('Données projet'!$B$10,Paramètres!$A$1:$I$89,3,0)*0.475*44/12</f>
        <v>59.615306821028291</v>
      </c>
      <c r="AW161" s="23">
        <f>EXP(-LN(2)/2)*AW160+(1-EXP(-LN(2)/2))/(LN(2)/2)*AQ161*AT161*VLOOKUP('Données projet'!$B$10,Paramètres!$A$1:$I$89,3,0)*0.475*44/12</f>
        <v>0.45181998332516449</v>
      </c>
      <c r="AX161" s="23">
        <f t="shared" si="166"/>
        <v>1426.6316378446086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5.0022208597511053E-12</v>
      </c>
      <c r="BE161" s="14">
        <f>BD161*VLOOKUP('Données projet'!$B$11,Paramètres!$A$1:$I$89,3,0)*VLOOKUP('Données projet'!$B$11,Paramètres!$A$1:$I$89,5,0)</f>
        <v>5.2283212426118558E-12</v>
      </c>
      <c r="BF161" s="14">
        <f t="shared" si="167"/>
        <v>4.9556081821365385E-11</v>
      </c>
      <c r="BG161" s="22">
        <f t="shared" si="168"/>
        <v>9.5416168669760364E-11</v>
      </c>
      <c r="BH161" s="62">
        <f t="shared" si="116"/>
        <v>293.33333333342875</v>
      </c>
      <c r="BI161" s="62">
        <f ca="1">AVERAGE(OFFSET($BH$3,0,0,'Données projet'!$E$11+1,1))-AVERAGE(OFFSET($H$3,0,0,'Données projet'!$E$11+1,1))</f>
        <v>2843.5086223152098</v>
      </c>
      <c r="BJ161" s="62">
        <f t="shared" si="146"/>
        <v>324.81562437645522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1408.6126498414937</v>
      </c>
      <c r="BQ161" s="23">
        <f>EXP(-LN(2)/25)*BQ160+(1-EXP(-LN(2)/25))/(LN(2)/25)*Calculateur!BL161*Calculateur!BN161*VLOOKUP('Données projet'!$B$11,Paramètres!$A$1:$I$89,3,0)*0.475*44/12</f>
        <v>61.449623953983014</v>
      </c>
      <c r="BR161" s="23">
        <f>EXP(-LN(2)/2)*BR160+(1-EXP(-LN(2)/2))/(LN(2)/2)*BL161*BO161*VLOOKUP('Données projet'!$B$11,Paramètres!$A$1:$I$89,3,0)*0.475*44/12</f>
        <v>0.46572213665824674</v>
      </c>
      <c r="BS161" s="24">
        <f t="shared" si="169"/>
        <v>1470.5279959321351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5.0022208597511053E-12</v>
      </c>
      <c r="BZ161" s="14">
        <f>BY161*VLOOKUP('Données projet'!$B$12,Paramètres!$A$1:$I$89,3,0)*VLOOKUP('Données projet'!$B$12,Paramètres!$A$1:$I$89,5,0)</f>
        <v>4.9942173063755036E-12</v>
      </c>
      <c r="CA161" s="14">
        <f t="shared" si="170"/>
        <v>4.7590239529202817E-11</v>
      </c>
      <c r="CB161" s="22">
        <f t="shared" si="171"/>
        <v>9.1584595655298897E-11</v>
      </c>
      <c r="CC161" s="62">
        <f t="shared" si="119"/>
        <v>293.33333333342489</v>
      </c>
      <c r="CD161" s="62">
        <f ca="1">AVERAGE(OFFSET($CC$3,0,0,'Données projet'!$E$12+1,1))-AVERAGE(OFFSET($H$3,0,0,'Données projet'!$E$12+1,1))</f>
        <v>2719.939926994799</v>
      </c>
      <c r="CE161" s="62">
        <f t="shared" si="148"/>
        <v>312.21824046329749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1345.5404416396364</v>
      </c>
      <c r="CL161" s="23">
        <f>EXP(-LN(2)/25)*CL160+(1-EXP(-LN(2)/25))/(LN(2)/25)*Calculateur!CG161*Calculateur!CI161*VLOOKUP('Données projet'!$B$12,Paramètres!$A$1:$I$89,3,0)*0.475*44/12</f>
        <v>58.698148254550922</v>
      </c>
      <c r="CM161" s="23">
        <f>EXP(-LN(2)/2)*CM160+(1-EXP(-LN(2)/2))/(LN(2)/2)*CG161*CJ161*VLOOKUP('Données projet'!$B$12,Paramètres!$A$1:$I$89,3,0)*0.475*44/12</f>
        <v>0.44486890665862322</v>
      </c>
      <c r="CN161" s="24">
        <f t="shared" si="172"/>
        <v>1404.683458800846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1.1368683772161603E-12</v>
      </c>
      <c r="CU161" s="18">
        <f>CT161*VLOOKUP('Données projet'!$B$13,Paramètres!$A$1:$I$89,3,0)*VLOOKUP('Données projet'!$B$13,Paramètres!$A$1:$I$89,5,0)</f>
        <v>9.9316821433603771E-13</v>
      </c>
      <c r="CV161" s="14">
        <f t="shared" si="173"/>
        <v>1.1421454694498936E-11</v>
      </c>
      <c r="CW161" s="22">
        <f t="shared" si="174"/>
        <v>2.1622134899554243E-11</v>
      </c>
      <c r="CX161" s="62">
        <f t="shared" si="122"/>
        <v>293.33333333335491</v>
      </c>
      <c r="CY161" s="62">
        <f ca="1">AVERAGE(OFFSET($CX$3,0,0,'Données projet'!$E$13+1,1))-AVERAGE(OFFSET($H$3,0,0,'Données projet'!$E$13+1,1))</f>
        <v>1036.0130072090849</v>
      </c>
      <c r="CZ161" s="62">
        <f t="shared" si="150"/>
        <v>346.56593355696174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142.88969643278875</v>
      </c>
      <c r="DG161" s="23">
        <f>EXP(-LN(2)/25)*DG160+(1-EXP(-LN(2)/25))/(LN(2)/25)*Calculateur!DB161*Calculateur!DD161*VLOOKUP('Données projet'!$B$13,Paramètres!$A$1:$I$89,3,0)*0.475*44/12</f>
        <v>4.8679661805233021</v>
      </c>
      <c r="DH161" s="23">
        <f>EXP(-LN(2)/2)*DH160+(1-EXP(-LN(2)/2))/(LN(2)/2)*DB161*DE161*VLOOKUP('Données projet'!$B$13,Paramètres!$A$1:$I$89,3,0)*0.475*44/12</f>
        <v>1.6439119571925509E-10</v>
      </c>
      <c r="DI161" s="24">
        <f t="shared" si="175"/>
        <v>147.75766261347644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6.8212102632969618E-13</v>
      </c>
      <c r="DP161" s="18">
        <f>DO161*VLOOKUP('Données projet'!$B$14,Paramètres!$A$1:$I$89,3,0)*VLOOKUP('Données projet'!$B$14,Paramètres!$A$1:$I$89,5,0)</f>
        <v>3.8130565371830017E-13</v>
      </c>
      <c r="DQ161" s="14">
        <f t="shared" si="176"/>
        <v>4.9019074112354236E-12</v>
      </c>
      <c r="DR161" s="22">
        <f t="shared" si="177"/>
        <v>9.2015960881277352E-12</v>
      </c>
      <c r="DS161" s="62">
        <f t="shared" si="125"/>
        <v>293.33333333334252</v>
      </c>
      <c r="DT161" s="62">
        <f ca="1">AVERAGE(OFFSET($DS$3,0,0,'Données projet'!$E$14+1,1))-AVERAGE(OFFSET($H$3,0,0,'Données projet'!$E$14+1,1))</f>
        <v>446.48069057792151</v>
      </c>
      <c r="DU161" s="62">
        <f t="shared" si="152"/>
        <v>561.75656782935948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26.514943214113586</v>
      </c>
      <c r="EB161" s="23">
        <f>EXP(-LN(2)/25)*EB160+(1-EXP(-LN(2)/25))/(LN(2)/25)*Calculateur!DW161*Calculateur!DY161*VLOOKUP('Données projet'!$B$14,Paramètres!$A$1:$I$89,3,0)*0.475*44/12</f>
        <v>5.3534404661316239</v>
      </c>
      <c r="EC161" s="23">
        <f>EXP(-LN(2)/2)*EC160+(1-EXP(-LN(2)/2))/(LN(2)/2)*DW161*DZ161*VLOOKUP('Données projet'!$B$14,Paramètres!$A$1:$I$89,3,0)*0.475*44/12</f>
        <v>2.3836074785463669E-13</v>
      </c>
      <c r="ED161" s="24">
        <f t="shared" si="178"/>
        <v>31.868383680245447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1.7053025658242404E-13</v>
      </c>
      <c r="EK161" s="18">
        <f>EJ161*VLOOKUP('Données projet'!$B$15,Paramètres!$A$1:$I$89,3,0)*VLOOKUP('Données projet'!$B$15,Paramètres!$A$1:$I$89,5,0)</f>
        <v>1.6493686416652052E-13</v>
      </c>
      <c r="EL161" s="14">
        <f t="shared" si="179"/>
        <v>2.3376205369651282E-12</v>
      </c>
      <c r="EM161" s="22">
        <f t="shared" si="180"/>
        <v>4.3586208069709543E-12</v>
      </c>
      <c r="EN161" s="62">
        <f t="shared" si="128"/>
        <v>293.33333333333769</v>
      </c>
      <c r="EO161" s="62">
        <f ca="1">AVERAGE(OFFSET($EN$3,0,0,'Données projet'!$E$15+1,1))-AVERAGE(OFFSET($H$3,0,0,'Données projet'!$E$15+1,1))</f>
        <v>301.18531163828169</v>
      </c>
      <c r="EP161" s="62">
        <f t="shared" si="154"/>
        <v>192.30530273268101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34.241009135882862</v>
      </c>
      <c r="EW161" s="23">
        <f>EXP(-LN(2)/25)*EW160+(1-EXP(-LN(2)/25))/(LN(2)/25)*Calculateur!ER161*Calculateur!ET161*VLOOKUP('Données projet'!$B$15,Paramètres!$A$1:$I$89,3,0)*0.475*44/12</f>
        <v>1.5579707541064522</v>
      </c>
      <c r="EX161" s="23">
        <f>EXP(-LN(2)/2)*EX160+(1-EXP(-LN(2)/2))/(LN(2)/2)*ER161*EU161*VLOOKUP('Données projet'!$B$15,Paramètres!$A$1:$I$89,3,0)*0.475*44/12</f>
        <v>1.1249506518766544E-13</v>
      </c>
      <c r="EY161" s="24">
        <f t="shared" si="181"/>
        <v>35.798979889989425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1.7053025658242404E-13</v>
      </c>
      <c r="FF161" s="18">
        <f>FE161*VLOOKUP('Données projet'!$B$16,Paramètres!$A$1:$I$89,3,0)*VLOOKUP('Données projet'!$B$16,Paramètres!$A$1:$I$89,5,0)</f>
        <v>1.3301360013429075E-13</v>
      </c>
      <c r="FG161" s="14">
        <f t="shared" si="182"/>
        <v>1.9329766731057041E-12</v>
      </c>
      <c r="FH161" s="22">
        <f t="shared" si="183"/>
        <v>3.5982663925596575E-12</v>
      </c>
      <c r="FI161" s="62">
        <f t="shared" si="131"/>
        <v>293.3333333333369</v>
      </c>
      <c r="FJ161" s="62">
        <f ca="1">AVERAGE(OFFSET($FI$3,0,0,'Données projet'!$E$16+1,1))-AVERAGE(OFFSET($H$3,0,0,'Données projet'!$E$16+1,1))</f>
        <v>249.2899297828755</v>
      </c>
      <c r="FK161" s="62">
        <f t="shared" si="156"/>
        <v>162.88011837476813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27.613717045066828</v>
      </c>
      <c r="FR161" s="23">
        <f>EXP(-LN(2)/25)*FR160+(1-EXP(-LN(2)/25))/(LN(2)/25)*Calculateur!FM161*Calculateur!FO161*VLOOKUP('Données projet'!$B$16,Paramètres!$A$1:$I$89,3,0)*0.475*44/12</f>
        <v>1.2564280275052011</v>
      </c>
      <c r="FS161" s="23">
        <f>EXP(-LN(2)/2)*FS160+(1-EXP(-LN(2)/2))/(LN(2)/2)*FM161*FP161*VLOOKUP('Données projet'!$B$16,Paramètres!$A$1:$I$89,3,0)*0.475*44/12</f>
        <v>9.0721826764245659E-14</v>
      </c>
      <c r="FT161" s="24">
        <f t="shared" si="184"/>
        <v>28.870145072572122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1.7053025658242404E-13</v>
      </c>
      <c r="GA161" s="18">
        <f>FZ161*VLOOKUP('Données projet'!$B$17,Paramètres!$A$1:$I$89,3,0)*VLOOKUP('Données projet'!$B$17,Paramètres!$A$1:$I$89,5,0)</f>
        <v>1.1439169611549005E-13</v>
      </c>
      <c r="GB161" s="14">
        <f t="shared" si="185"/>
        <v>1.6918016515029816E-12</v>
      </c>
      <c r="GC161" s="22">
        <f t="shared" si="186"/>
        <v>3.1457867471021712E-12</v>
      </c>
      <c r="GD161" s="62">
        <f t="shared" si="134"/>
        <v>293.33333333333644</v>
      </c>
      <c r="GE161" s="62">
        <f ca="1">AVERAGE(OFFSET($GD$3,0,0,'Données projet'!$E$17+1,1))-AVERAGE(OFFSET($H$3,0,0,'Données projet'!$E$17+1,1))</f>
        <v>218.89895999738746</v>
      </c>
      <c r="GF161" s="62">
        <f t="shared" si="158"/>
        <v>145.64042897395763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29.270540067770803</v>
      </c>
      <c r="GM161" s="23">
        <f>EXP(-LN(2)/25)*GM160+(1-EXP(-LN(2)/25))/(LN(2)/25)*Calculateur!GH161*Calculateur!GJ161*VLOOKUP('Données projet'!$B$17,Paramètres!$A$1:$I$89,3,0)*0.475*44/12</f>
        <v>1.3318137091555149</v>
      </c>
      <c r="GN161" s="23">
        <f>EXP(-LN(2)/2)*GN160+(1-EXP(-LN(2)/2))/(LN(2)/2)*GH161*GK161*VLOOKUP('Données projet'!$B$17,Paramètres!$A$1:$I$89,3,0)*0.475*44/12</f>
        <v>7.8020771017251856E-14</v>
      </c>
      <c r="GO161" s="23">
        <f t="shared" si="187"/>
        <v>30.602353776926396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1.7053025658242404E-13</v>
      </c>
      <c r="GV161" s="18">
        <f>GU161*VLOOKUP('Données projet'!$B$18,Paramètres!$A$1:$I$89,3,0)*VLOOKUP('Données projet'!$B$18,Paramètres!$A$1:$I$89,5,0)</f>
        <v>1.8355876818532125E-13</v>
      </c>
      <c r="GW161" s="14">
        <f t="shared" si="188"/>
        <v>2.5693529898865504E-12</v>
      </c>
      <c r="GX161" s="22">
        <f t="shared" si="189"/>
        <v>4.7946546453085093E-12</v>
      </c>
      <c r="GY161" s="62">
        <f t="shared" si="137"/>
        <v>293.33333333333809</v>
      </c>
      <c r="GZ161" s="62">
        <f ca="1">AVERAGE(OFFSET($GY$3,0,0,'Données projet'!$E$18+1,1))-AVERAGE(OFFSET($H$3,0,0,'Données projet'!$E$18+1,1))</f>
        <v>331.3579800635751</v>
      </c>
      <c r="HA161" s="62">
        <f t="shared" si="160"/>
        <v>209.40702003535273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38.106929522192203</v>
      </c>
      <c r="HH161" s="23">
        <f>EXP(-LN(2)/25)*HH160+(1-EXP(-LN(2)/25))/(LN(2)/25)*Calculateur!HC161*Calculateur!HE161*VLOOKUP('Données projet'!$B$18,Paramètres!$A$1:$I$89,3,0)*0.475*44/12</f>
        <v>1.7338706779571806</v>
      </c>
      <c r="HI161" s="23">
        <f>EXP(-LN(2)/2)*HI160+(1-EXP(-LN(2)/2))/(LN(2)/2)*HC161*HF161*VLOOKUP('Données projet'!$B$18,Paramètres!$A$1:$I$89,3,0)*0.475*44/12</f>
        <v>1.2519612093465904E-13</v>
      </c>
      <c r="HJ161" s="24">
        <f t="shared" si="190"/>
        <v>39.840800200149509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5.0022208597511053E-12</v>
      </c>
      <c r="O162" s="14">
        <f>N162*VLOOKUP('Données projet'!$B$9,Paramètres!$A$1:$I$89,3,0)*VLOOKUP('Données projet'!$B$9,Paramètres!$A$1:$I$89,5,0)</f>
        <v>4.5260094339028E-12</v>
      </c>
      <c r="P162" s="14">
        <f t="shared" si="141"/>
        <v>4.3625683148570328E-11</v>
      </c>
      <c r="Q162" s="22">
        <f t="shared" si="162"/>
        <v>8.3864197914474037E-11</v>
      </c>
      <c r="R162" s="62">
        <f t="shared" si="109"/>
        <v>293.33333333341716</v>
      </c>
      <c r="S162" s="62">
        <f ca="1">AVERAGE(OFFSET($R$3,0,0,'Données projet'!$E$9+1,1))-AVERAGE(OFFSET($H$3,0,0,'Données projet'!$E$9+1,1))</f>
        <v>2472.5049373954762</v>
      </c>
      <c r="T162" s="62">
        <f t="shared" si="142"/>
        <v>286.98388307318311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1195.484412939179</v>
      </c>
      <c r="AA162" s="23">
        <f>EXP(-LN(2)/25)*AA161+(1-EXP(-LN(2)/25))/(LN(2)/25)*Calculateur!V162*Calculateur!X162*VLOOKUP('Données projet'!$B$9,Paramètres!$A$1:$I$89,3,0)*0.475*44/12</f>
        <v>51.740571400254183</v>
      </c>
      <c r="AB162" s="23">
        <f>EXP(-LN(2)/2)*AB161+(1-EXP(-LN(2)/2))/(LN(2)/2)*V162*Y162*VLOOKUP('Données projet'!$B$9,Paramètres!$A$1:$I$89,3,0)*0.475*44/12</f>
        <v>0.28507889995260555</v>
      </c>
      <c r="AC162" s="24">
        <f t="shared" si="163"/>
        <v>1247.5100632393858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5.0022208597511053E-12</v>
      </c>
      <c r="AJ162" s="14">
        <f>AI162*VLOOKUP('Données projet'!$B$10,Paramètres!$A$1:$I$89,3,0)*VLOOKUP('Données projet'!$B$10,Paramètres!$A$1:$I$89,5,0)</f>
        <v>5.0722519517876216E-12</v>
      </c>
      <c r="AK162" s="14">
        <f t="shared" si="164"/>
        <v>4.8246688221215311E-11</v>
      </c>
      <c r="AL162" s="22">
        <f t="shared" si="165"/>
        <v>9.2863820801313432E-11</v>
      </c>
      <c r="AM162" s="62">
        <f t="shared" si="113"/>
        <v>293.3333333334262</v>
      </c>
      <c r="AN162" s="62">
        <f ca="1">AVERAGE(OFFSET($AM$3,0,0,'Données projet'!$E$10+1,1))-AVERAGE(OFFSET($H$3,0,0,'Données projet'!$E$10+1,1))</f>
        <v>2761.1400657295467</v>
      </c>
      <c r="AO162" s="62">
        <f t="shared" si="144"/>
        <v>316.41877504316409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1339.767014500804</v>
      </c>
      <c r="AV162" s="23">
        <f>EXP(-LN(2)/25)*AV161+(1-EXP(-LN(2)/25))/(LN(2)/25)*Calculateur!AQ162*Calculateur!AS162*VLOOKUP('Données projet'!$B$10,Paramètres!$A$1:$I$89,3,0)*0.475*44/12</f>
        <v>57.985123120974542</v>
      </c>
      <c r="AW162" s="23">
        <f>EXP(-LN(2)/2)*AW161+(1-EXP(-LN(2)/2))/(LN(2)/2)*AQ162*AT162*VLOOKUP('Données projet'!$B$10,Paramètres!$A$1:$I$89,3,0)*0.475*44/12</f>
        <v>0.31948497408481663</v>
      </c>
      <c r="AX162" s="23">
        <f t="shared" si="166"/>
        <v>1398.0716225958633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5.0022208597511053E-12</v>
      </c>
      <c r="BE162" s="14">
        <f>BD162*VLOOKUP('Données projet'!$B$11,Paramètres!$A$1:$I$89,3,0)*VLOOKUP('Données projet'!$B$11,Paramètres!$A$1:$I$89,5,0)</f>
        <v>5.2283212426118558E-12</v>
      </c>
      <c r="BF162" s="14">
        <f t="shared" si="167"/>
        <v>4.9556081821365385E-11</v>
      </c>
      <c r="BG162" s="22">
        <f t="shared" si="168"/>
        <v>9.5416168669760364E-11</v>
      </c>
      <c r="BH162" s="62">
        <f t="shared" si="116"/>
        <v>293.33333333342875</v>
      </c>
      <c r="BI162" s="62">
        <f ca="1">AVERAGE(OFFSET($BH$3,0,0,'Données projet'!$E$11+1,1))-AVERAGE(OFFSET($H$3,0,0,'Données projet'!$E$11+1,1))</f>
        <v>2843.5086223152098</v>
      </c>
      <c r="BJ162" s="62">
        <f t="shared" si="146"/>
        <v>324.81562437645522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1380.9906149469825</v>
      </c>
      <c r="BQ162" s="23">
        <f>EXP(-LN(2)/25)*BQ161+(1-EXP(-LN(2)/25))/(LN(2)/25)*Calculateur!BL162*Calculateur!BN162*VLOOKUP('Données projet'!$B$11,Paramètres!$A$1:$I$89,3,0)*0.475*44/12</f>
        <v>59.76928075546607</v>
      </c>
      <c r="BR162" s="23">
        <f>EXP(-LN(2)/2)*BR161+(1-EXP(-LN(2)/2))/(LN(2)/2)*BL162*BO162*VLOOKUP('Données projet'!$B$11,Paramètres!$A$1:$I$89,3,0)*0.475*44/12</f>
        <v>0.32931528097973428</v>
      </c>
      <c r="BS162" s="24">
        <f t="shared" si="169"/>
        <v>1441.0892109834283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5.0022208597511053E-12</v>
      </c>
      <c r="BZ162" s="14">
        <f>BY162*VLOOKUP('Données projet'!$B$12,Paramètres!$A$1:$I$89,3,0)*VLOOKUP('Données projet'!$B$12,Paramètres!$A$1:$I$89,5,0)</f>
        <v>4.9942173063755036E-12</v>
      </c>
      <c r="CA162" s="14">
        <f t="shared" si="170"/>
        <v>4.7590239529202817E-11</v>
      </c>
      <c r="CB162" s="22">
        <f t="shared" si="171"/>
        <v>9.1584595655298897E-11</v>
      </c>
      <c r="CC162" s="62">
        <f t="shared" si="119"/>
        <v>293.33333333342489</v>
      </c>
      <c r="CD162" s="62">
        <f ca="1">AVERAGE(OFFSET($CC$3,0,0,'Données projet'!$E$12+1,1))-AVERAGE(OFFSET($H$3,0,0,'Données projet'!$E$12+1,1))</f>
        <v>2719.939926994799</v>
      </c>
      <c r="CE162" s="62">
        <f t="shared" si="148"/>
        <v>312.21824046329749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1319.1552142777152</v>
      </c>
      <c r="CL162" s="23">
        <f>EXP(-LN(2)/25)*CL161+(1-EXP(-LN(2)/25))/(LN(2)/25)*Calculateur!CG162*Calculateur!CI162*VLOOKUP('Données projet'!$B$12,Paramètres!$A$1:$I$89,3,0)*0.475*44/12</f>
        <v>57.093044303728767</v>
      </c>
      <c r="CM162" s="23">
        <f>EXP(-LN(2)/2)*CM161+(1-EXP(-LN(2)/2))/(LN(2)/2)*CG162*CJ162*VLOOKUP('Données projet'!$B$12,Paramètres!$A$1:$I$89,3,0)*0.475*44/12</f>
        <v>0.31456982063735772</v>
      </c>
      <c r="CN162" s="24">
        <f t="shared" si="172"/>
        <v>1376.5628284020813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1.1368683772161603E-12</v>
      </c>
      <c r="CU162" s="18">
        <f>CT162*VLOOKUP('Données projet'!$B$13,Paramètres!$A$1:$I$89,3,0)*VLOOKUP('Données projet'!$B$13,Paramètres!$A$1:$I$89,5,0)</f>
        <v>9.9316821433603771E-13</v>
      </c>
      <c r="CV162" s="14">
        <f t="shared" si="173"/>
        <v>1.1421454694498936E-11</v>
      </c>
      <c r="CW162" s="22">
        <f t="shared" si="174"/>
        <v>2.1622134899554243E-11</v>
      </c>
      <c r="CX162" s="62">
        <f t="shared" si="122"/>
        <v>293.33333333335491</v>
      </c>
      <c r="CY162" s="62">
        <f ca="1">AVERAGE(OFFSET($CX$3,0,0,'Données projet'!$E$13+1,1))-AVERAGE(OFFSET($H$3,0,0,'Données projet'!$E$13+1,1))</f>
        <v>1036.0130072090849</v>
      </c>
      <c r="CZ162" s="62">
        <f t="shared" si="150"/>
        <v>346.56593355696174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140.08771663985084</v>
      </c>
      <c r="DG162" s="23">
        <f>EXP(-LN(2)/25)*DG161+(1-EXP(-LN(2)/25))/(LN(2)/25)*Calculateur!DB162*Calculateur!DD162*VLOOKUP('Données projet'!$B$13,Paramètres!$A$1:$I$89,3,0)*0.475*44/12</f>
        <v>4.734851389321677</v>
      </c>
      <c r="DH162" s="23">
        <f>EXP(-LN(2)/2)*DH161+(1-EXP(-LN(2)/2))/(LN(2)/2)*DB162*DE162*VLOOKUP('Données projet'!$B$13,Paramètres!$A$1:$I$89,3,0)*0.475*44/12</f>
        <v>1.1624212926045022E-10</v>
      </c>
      <c r="DI162" s="24">
        <f t="shared" si="175"/>
        <v>144.82256802928876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6.8212102632969618E-13</v>
      </c>
      <c r="DP162" s="18">
        <f>DO162*VLOOKUP('Données projet'!$B$14,Paramètres!$A$1:$I$89,3,0)*VLOOKUP('Données projet'!$B$14,Paramètres!$A$1:$I$89,5,0)</f>
        <v>3.8130565371830017E-13</v>
      </c>
      <c r="DQ162" s="14">
        <f t="shared" si="176"/>
        <v>4.9019074112354236E-12</v>
      </c>
      <c r="DR162" s="22">
        <f t="shared" si="177"/>
        <v>9.2015960881277352E-12</v>
      </c>
      <c r="DS162" s="62">
        <f t="shared" si="125"/>
        <v>293.33333333334252</v>
      </c>
      <c r="DT162" s="62">
        <f ca="1">AVERAGE(OFFSET($DS$3,0,0,'Données projet'!$E$14+1,1))-AVERAGE(OFFSET($H$3,0,0,'Données projet'!$E$14+1,1))</f>
        <v>446.48069057792151</v>
      </c>
      <c r="DU162" s="62">
        <f t="shared" si="152"/>
        <v>561.75656782935948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25.995001350203275</v>
      </c>
      <c r="EB162" s="23">
        <f>EXP(-LN(2)/25)*EB161+(1-EXP(-LN(2)/25))/(LN(2)/25)*Calculateur!DW162*Calculateur!DY162*VLOOKUP('Données projet'!$B$14,Paramètres!$A$1:$I$89,3,0)*0.475*44/12</f>
        <v>5.2070503550600558</v>
      </c>
      <c r="EC162" s="23">
        <f>EXP(-LN(2)/2)*EC161+(1-EXP(-LN(2)/2))/(LN(2)/2)*DW162*DZ162*VLOOKUP('Données projet'!$B$14,Paramètres!$A$1:$I$89,3,0)*0.475*44/12</f>
        <v>1.6854650117671041E-13</v>
      </c>
      <c r="ED162" s="24">
        <f t="shared" si="178"/>
        <v>31.202051705263496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1.7053025658242404E-13</v>
      </c>
      <c r="EK162" s="18">
        <f>EJ162*VLOOKUP('Données projet'!$B$15,Paramètres!$A$1:$I$89,3,0)*VLOOKUP('Données projet'!$B$15,Paramètres!$A$1:$I$89,5,0)</f>
        <v>1.6493686416652052E-13</v>
      </c>
      <c r="EL162" s="14">
        <f t="shared" si="179"/>
        <v>2.3376205369651282E-12</v>
      </c>
      <c r="EM162" s="22">
        <f t="shared" si="180"/>
        <v>4.3586208069709543E-12</v>
      </c>
      <c r="EN162" s="62">
        <f t="shared" si="128"/>
        <v>293.33333333333769</v>
      </c>
      <c r="EO162" s="62">
        <f ca="1">AVERAGE(OFFSET($EN$3,0,0,'Données projet'!$E$15+1,1))-AVERAGE(OFFSET($H$3,0,0,'Données projet'!$E$15+1,1))</f>
        <v>301.18531163828169</v>
      </c>
      <c r="EP162" s="62">
        <f t="shared" si="154"/>
        <v>192.30530273268101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33.569563831681556</v>
      </c>
      <c r="EW162" s="23">
        <f>EXP(-LN(2)/25)*EW161+(1-EXP(-LN(2)/25))/(LN(2)/25)*Calculateur!ER162*Calculateur!ET162*VLOOKUP('Données projet'!$B$15,Paramètres!$A$1:$I$89,3,0)*0.475*44/12</f>
        <v>1.5153679619052902</v>
      </c>
      <c r="EX162" s="23">
        <f>EXP(-LN(2)/2)*EX161+(1-EXP(-LN(2)/2))/(LN(2)/2)*ER162*EU162*VLOOKUP('Données projet'!$B$15,Paramètres!$A$1:$I$89,3,0)*0.475*44/12</f>
        <v>7.9546023444220957E-14</v>
      </c>
      <c r="EY162" s="24">
        <f t="shared" si="181"/>
        <v>35.084931793586925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1.7053025658242404E-13</v>
      </c>
      <c r="FF162" s="18">
        <f>FE162*VLOOKUP('Données projet'!$B$16,Paramètres!$A$1:$I$89,3,0)*VLOOKUP('Données projet'!$B$16,Paramètres!$A$1:$I$89,5,0)</f>
        <v>1.3301360013429075E-13</v>
      </c>
      <c r="FG162" s="14">
        <f t="shared" si="182"/>
        <v>1.9329766731057041E-12</v>
      </c>
      <c r="FH162" s="22">
        <f t="shared" si="183"/>
        <v>3.5982663925596575E-12</v>
      </c>
      <c r="FI162" s="62">
        <f t="shared" si="131"/>
        <v>293.3333333333369</v>
      </c>
      <c r="FJ162" s="62">
        <f ca="1">AVERAGE(OFFSET($FI$3,0,0,'Données projet'!$E$16+1,1))-AVERAGE(OFFSET($H$3,0,0,'Données projet'!$E$16+1,1))</f>
        <v>249.2899297828755</v>
      </c>
      <c r="FK162" s="62">
        <f t="shared" si="156"/>
        <v>162.88011837476813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27.072228896517387</v>
      </c>
      <c r="FR162" s="23">
        <f>EXP(-LN(2)/25)*FR161+(1-EXP(-LN(2)/25))/(LN(2)/25)*Calculateur!FM162*Calculateur!FO162*VLOOKUP('Données projet'!$B$16,Paramètres!$A$1:$I$89,3,0)*0.475*44/12</f>
        <v>1.222070937020393</v>
      </c>
      <c r="FS162" s="23">
        <f>EXP(-LN(2)/2)*FS161+(1-EXP(-LN(2)/2))/(LN(2)/2)*FM162*FP162*VLOOKUP('Données projet'!$B$16,Paramètres!$A$1:$I$89,3,0)*0.475*44/12</f>
        <v>6.4150018906629325E-14</v>
      </c>
      <c r="FT162" s="24">
        <f t="shared" si="184"/>
        <v>28.294299833537846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1.7053025658242404E-13</v>
      </c>
      <c r="GA162" s="18">
        <f>FZ162*VLOOKUP('Données projet'!$B$17,Paramètres!$A$1:$I$89,3,0)*VLOOKUP('Données projet'!$B$17,Paramètres!$A$1:$I$89,5,0)</f>
        <v>1.1439169611549005E-13</v>
      </c>
      <c r="GB162" s="14">
        <f t="shared" si="185"/>
        <v>1.6918016515029816E-12</v>
      </c>
      <c r="GC162" s="22">
        <f t="shared" si="186"/>
        <v>3.1457867471021712E-12</v>
      </c>
      <c r="GD162" s="62">
        <f t="shared" si="134"/>
        <v>293.33333333333644</v>
      </c>
      <c r="GE162" s="62">
        <f ca="1">AVERAGE(OFFSET($GD$3,0,0,'Données projet'!$E$17+1,1))-AVERAGE(OFFSET($H$3,0,0,'Données projet'!$E$17+1,1))</f>
        <v>218.89895999738746</v>
      </c>
      <c r="GF162" s="62">
        <f t="shared" si="158"/>
        <v>145.64042897395763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28.696562630308396</v>
      </c>
      <c r="GM162" s="23">
        <f>EXP(-LN(2)/25)*GM161+(1-EXP(-LN(2)/25))/(LN(2)/25)*Calculateur!GH162*Calculateur!GJ162*VLOOKUP('Données projet'!$B$17,Paramètres!$A$1:$I$89,3,0)*0.475*44/12</f>
        <v>1.2953951932416183</v>
      </c>
      <c r="GN162" s="23">
        <f>EXP(-LN(2)/2)*GN161+(1-EXP(-LN(2)/2))/(LN(2)/2)*GH162*GK162*VLOOKUP('Données projet'!$B$17,Paramètres!$A$1:$I$89,3,0)*0.475*44/12</f>
        <v>5.5169016259701644E-14</v>
      </c>
      <c r="GO162" s="23">
        <f t="shared" si="187"/>
        <v>29.99195782355007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1.7053025658242404E-13</v>
      </c>
      <c r="GV162" s="18">
        <f>GU162*VLOOKUP('Données projet'!$B$18,Paramètres!$A$1:$I$89,3,0)*VLOOKUP('Données projet'!$B$18,Paramètres!$A$1:$I$89,5,0)</f>
        <v>1.8355876818532125E-13</v>
      </c>
      <c r="GW162" s="14">
        <f t="shared" si="188"/>
        <v>2.5693529898865504E-12</v>
      </c>
      <c r="GX162" s="22">
        <f t="shared" si="189"/>
        <v>4.7946546453085093E-12</v>
      </c>
      <c r="GY162" s="62">
        <f t="shared" si="137"/>
        <v>293.33333333333809</v>
      </c>
      <c r="GZ162" s="62">
        <f ca="1">AVERAGE(OFFSET($GY$3,0,0,'Données projet'!$E$18+1,1))-AVERAGE(OFFSET($H$3,0,0,'Données projet'!$E$18+1,1))</f>
        <v>331.3579800635751</v>
      </c>
      <c r="HA162" s="62">
        <f t="shared" si="160"/>
        <v>209.40702003535273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37.359675877193972</v>
      </c>
      <c r="HH162" s="23">
        <f>EXP(-LN(2)/25)*HH161+(1-EXP(-LN(2)/25))/(LN(2)/25)*Calculateur!HC162*Calculateur!HE162*VLOOKUP('Données projet'!$B$18,Paramètres!$A$1:$I$89,3,0)*0.475*44/12</f>
        <v>1.6864578930881453</v>
      </c>
      <c r="HI162" s="23">
        <f>EXP(-LN(2)/2)*HI161+(1-EXP(-LN(2)/2))/(LN(2)/2)*HC162*HF162*VLOOKUP('Données projet'!$B$18,Paramètres!$A$1:$I$89,3,0)*0.475*44/12</f>
        <v>8.8527026091148493E-14</v>
      </c>
      <c r="HJ162" s="24">
        <f t="shared" si="190"/>
        <v>39.046133770282204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5.0022208597511053E-12</v>
      </c>
      <c r="O163" s="14">
        <f>N163*VLOOKUP('Données projet'!$B$9,Paramètres!$A$1:$I$89,3,0)*VLOOKUP('Données projet'!$B$9,Paramètres!$A$1:$I$89,5,0)</f>
        <v>4.5260094339028E-12</v>
      </c>
      <c r="P163" s="14">
        <f t="shared" si="141"/>
        <v>4.3625683148570328E-11</v>
      </c>
      <c r="Q163" s="22">
        <f t="shared" si="162"/>
        <v>8.3864197914474037E-11</v>
      </c>
      <c r="R163" s="62">
        <f t="shared" si="109"/>
        <v>293.33333333341716</v>
      </c>
      <c r="S163" s="62">
        <f ca="1">AVERAGE(OFFSET($R$3,0,0,'Données projet'!$E$9+1,1))-AVERAGE(OFFSET($H$3,0,0,'Données projet'!$E$9+1,1))</f>
        <v>2472.5049373954762</v>
      </c>
      <c r="T163" s="62">
        <f t="shared" si="142"/>
        <v>286.98388307318311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1172.0416927749338</v>
      </c>
      <c r="AA163" s="23">
        <f>EXP(-LN(2)/25)*AA162+(1-EXP(-LN(2)/25))/(LN(2)/25)*Calculateur!V163*Calculateur!X163*VLOOKUP('Données projet'!$B$9,Paramètres!$A$1:$I$89,3,0)*0.475*44/12</f>
        <v>50.325722754395834</v>
      </c>
      <c r="AB163" s="23">
        <f>EXP(-LN(2)/2)*AB162+(1-EXP(-LN(2)/2))/(LN(2)/2)*V163*Y163*VLOOKUP('Données projet'!$B$9,Paramètres!$A$1:$I$89,3,0)*0.475*44/12</f>
        <v>0.20158122332968872</v>
      </c>
      <c r="AC163" s="24">
        <f t="shared" si="163"/>
        <v>1222.5689967526594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5.0022208597511053E-12</v>
      </c>
      <c r="AJ163" s="14">
        <f>AI163*VLOOKUP('Données projet'!$B$10,Paramètres!$A$1:$I$89,3,0)*VLOOKUP('Données projet'!$B$10,Paramètres!$A$1:$I$89,5,0)</f>
        <v>5.0722519517876216E-12</v>
      </c>
      <c r="AK163" s="14">
        <f t="shared" si="164"/>
        <v>4.8246688221215311E-11</v>
      </c>
      <c r="AL163" s="22">
        <f t="shared" si="165"/>
        <v>9.2863820801313432E-11</v>
      </c>
      <c r="AM163" s="62">
        <f t="shared" si="113"/>
        <v>293.3333333334262</v>
      </c>
      <c r="AN163" s="62">
        <f ca="1">AVERAGE(OFFSET($AM$3,0,0,'Données projet'!$E$10+1,1))-AVERAGE(OFFSET($H$3,0,0,'Données projet'!$E$10+1,1))</f>
        <v>2761.1400657295467</v>
      </c>
      <c r="AO163" s="62">
        <f t="shared" si="144"/>
        <v>316.41877504316409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1313.4950005236326</v>
      </c>
      <c r="AV163" s="23">
        <f>EXP(-LN(2)/25)*AV162+(1-EXP(-LN(2)/25))/(LN(2)/25)*Calculateur!AQ163*Calculateur!AS163*VLOOKUP('Données projet'!$B$10,Paramètres!$A$1:$I$89,3,0)*0.475*44/12</f>
        <v>56.399516879926395</v>
      </c>
      <c r="AW163" s="23">
        <f>EXP(-LN(2)/2)*AW162+(1-EXP(-LN(2)/2))/(LN(2)/2)*AQ163*AT163*VLOOKUP('Données projet'!$B$10,Paramètres!$A$1:$I$89,3,0)*0.475*44/12</f>
        <v>0.22590999166258224</v>
      </c>
      <c r="AX163" s="23">
        <f t="shared" si="166"/>
        <v>1370.1204273952214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5.0022208597511053E-12</v>
      </c>
      <c r="BE163" s="14">
        <f>BD163*VLOOKUP('Données projet'!$B$11,Paramètres!$A$1:$I$89,3,0)*VLOOKUP('Données projet'!$B$11,Paramètres!$A$1:$I$89,5,0)</f>
        <v>5.2283212426118558E-12</v>
      </c>
      <c r="BF163" s="14">
        <f t="shared" si="167"/>
        <v>4.9556081821365385E-11</v>
      </c>
      <c r="BG163" s="22">
        <f t="shared" si="168"/>
        <v>9.5416168669760364E-11</v>
      </c>
      <c r="BH163" s="62">
        <f t="shared" si="116"/>
        <v>293.33333333342875</v>
      </c>
      <c r="BI163" s="62">
        <f ca="1">AVERAGE(OFFSET($BH$3,0,0,'Données projet'!$E$11+1,1))-AVERAGE(OFFSET($H$3,0,0,'Données projet'!$E$11+1,1))</f>
        <v>2843.5086223152098</v>
      </c>
      <c r="BJ163" s="62">
        <f t="shared" si="146"/>
        <v>324.81562437645522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1353.910231308975</v>
      </c>
      <c r="BQ163" s="23">
        <f>EXP(-LN(2)/25)*BQ162+(1-EXP(-LN(2)/25))/(LN(2)/25)*Calculateur!BL163*Calculateur!BN163*VLOOKUP('Données projet'!$B$11,Paramètres!$A$1:$I$89,3,0)*0.475*44/12</f>
        <v>58.134886630077979</v>
      </c>
      <c r="BR163" s="23">
        <f>EXP(-LN(2)/2)*BR162+(1-EXP(-LN(2)/2))/(LN(2)/2)*BL163*BO163*VLOOKUP('Données projet'!$B$11,Paramètres!$A$1:$I$89,3,0)*0.475*44/12</f>
        <v>0.2328610683291234</v>
      </c>
      <c r="BS163" s="24">
        <f t="shared" si="169"/>
        <v>1412.2779790073821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5.0022208597511053E-12</v>
      </c>
      <c r="BZ163" s="14">
        <f>BY163*VLOOKUP('Données projet'!$B$12,Paramètres!$A$1:$I$89,3,0)*VLOOKUP('Données projet'!$B$12,Paramètres!$A$1:$I$89,5,0)</f>
        <v>4.9942173063755036E-12</v>
      </c>
      <c r="CA163" s="14">
        <f t="shared" si="170"/>
        <v>4.7590239529202817E-11</v>
      </c>
      <c r="CB163" s="22">
        <f t="shared" si="171"/>
        <v>9.1584595655298897E-11</v>
      </c>
      <c r="CC163" s="62">
        <f t="shared" si="119"/>
        <v>293.33333333342489</v>
      </c>
      <c r="CD163" s="62">
        <f ca="1">AVERAGE(OFFSET($CC$3,0,0,'Données projet'!$E$12+1,1))-AVERAGE(OFFSET($H$3,0,0,'Données projet'!$E$12+1,1))</f>
        <v>2719.939926994799</v>
      </c>
      <c r="CE163" s="62">
        <f t="shared" si="148"/>
        <v>312.21824046329749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1293.2873851309619</v>
      </c>
      <c r="CL163" s="23">
        <f>EXP(-LN(2)/25)*CL162+(1-EXP(-LN(2)/25))/(LN(2)/25)*Calculateur!CG163*Calculateur!CI163*VLOOKUP('Données projet'!$B$12,Paramètres!$A$1:$I$89,3,0)*0.475*44/12</f>
        <v>55.531832004850592</v>
      </c>
      <c r="CM163" s="23">
        <f>EXP(-LN(2)/2)*CM162+(1-EXP(-LN(2)/2))/(LN(2)/2)*CG163*CJ163*VLOOKUP('Données projet'!$B$12,Paramètres!$A$1:$I$89,3,0)*0.475*44/12</f>
        <v>0.22243445332931161</v>
      </c>
      <c r="CN163" s="24">
        <f t="shared" si="172"/>
        <v>1349.0416515891418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1.1368683772161603E-12</v>
      </c>
      <c r="CU163" s="18">
        <f>CT163*VLOOKUP('Données projet'!$B$13,Paramètres!$A$1:$I$89,3,0)*VLOOKUP('Données projet'!$B$13,Paramètres!$A$1:$I$89,5,0)</f>
        <v>9.9316821433603771E-13</v>
      </c>
      <c r="CV163" s="14">
        <f t="shared" si="173"/>
        <v>1.1421454694498936E-11</v>
      </c>
      <c r="CW163" s="22">
        <f t="shared" si="174"/>
        <v>2.1622134899554243E-11</v>
      </c>
      <c r="CX163" s="62">
        <f t="shared" si="122"/>
        <v>293.33333333335491</v>
      </c>
      <c r="CY163" s="62">
        <f ca="1">AVERAGE(OFFSET($CX$3,0,0,'Données projet'!$E$13+1,1))-AVERAGE(OFFSET($H$3,0,0,'Données projet'!$E$13+1,1))</f>
        <v>1036.0130072090849</v>
      </c>
      <c r="CZ163" s="62">
        <f t="shared" si="150"/>
        <v>346.56593355696174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137.34068196161351</v>
      </c>
      <c r="DG163" s="23">
        <f>EXP(-LN(2)/25)*DG162+(1-EXP(-LN(2)/25))/(LN(2)/25)*Calculateur!DB163*Calculateur!DD163*VLOOKUP('Données projet'!$B$13,Paramètres!$A$1:$I$89,3,0)*0.475*44/12</f>
        <v>4.6053766290856633</v>
      </c>
      <c r="DH163" s="23">
        <f>EXP(-LN(2)/2)*DH162+(1-EXP(-LN(2)/2))/(LN(2)/2)*DB163*DE163*VLOOKUP('Données projet'!$B$13,Paramètres!$A$1:$I$89,3,0)*0.475*44/12</f>
        <v>8.2195597859627556E-11</v>
      </c>
      <c r="DI163" s="24">
        <f t="shared" si="175"/>
        <v>141.94605859078138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6.8212102632969618E-13</v>
      </c>
      <c r="DP163" s="18">
        <f>DO163*VLOOKUP('Données projet'!$B$14,Paramètres!$A$1:$I$89,3,0)*VLOOKUP('Données projet'!$B$14,Paramètres!$A$1:$I$89,5,0)</f>
        <v>3.8130565371830017E-13</v>
      </c>
      <c r="DQ163" s="14">
        <f t="shared" si="176"/>
        <v>4.9019074112354236E-12</v>
      </c>
      <c r="DR163" s="22">
        <f t="shared" si="177"/>
        <v>9.2015960881277352E-12</v>
      </c>
      <c r="DS163" s="62">
        <f t="shared" si="125"/>
        <v>293.33333333334252</v>
      </c>
      <c r="DT163" s="62">
        <f ca="1">AVERAGE(OFFSET($DS$3,0,0,'Données projet'!$E$14+1,1))-AVERAGE(OFFSET($H$3,0,0,'Données projet'!$E$14+1,1))</f>
        <v>446.48069057792151</v>
      </c>
      <c r="DU163" s="62">
        <f t="shared" si="152"/>
        <v>561.75656782935948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25.485255229111022</v>
      </c>
      <c r="EB163" s="23">
        <f>EXP(-LN(2)/25)*EB162+(1-EXP(-LN(2)/25))/(LN(2)/25)*Calculateur!DW163*Calculateur!DY163*VLOOKUP('Données projet'!$B$14,Paramètres!$A$1:$I$89,3,0)*0.475*44/12</f>
        <v>5.0646632892740611</v>
      </c>
      <c r="EC163" s="23">
        <f>EXP(-LN(2)/2)*EC162+(1-EXP(-LN(2)/2))/(LN(2)/2)*DW163*DZ163*VLOOKUP('Données projet'!$B$14,Paramètres!$A$1:$I$89,3,0)*0.475*44/12</f>
        <v>1.1918037392731834E-13</v>
      </c>
      <c r="ED163" s="24">
        <f t="shared" si="178"/>
        <v>30.549918518385205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1.7053025658242404E-13</v>
      </c>
      <c r="EK163" s="18">
        <f>EJ163*VLOOKUP('Données projet'!$B$15,Paramètres!$A$1:$I$89,3,0)*VLOOKUP('Données projet'!$B$15,Paramètres!$A$1:$I$89,5,0)</f>
        <v>1.6493686416652052E-13</v>
      </c>
      <c r="EL163" s="14">
        <f t="shared" si="179"/>
        <v>2.3376205369651282E-12</v>
      </c>
      <c r="EM163" s="22">
        <f t="shared" si="180"/>
        <v>4.3586208069709543E-12</v>
      </c>
      <c r="EN163" s="62">
        <f t="shared" si="128"/>
        <v>293.33333333333769</v>
      </c>
      <c r="EO163" s="62">
        <f ca="1">AVERAGE(OFFSET($EN$3,0,0,'Données projet'!$E$15+1,1))-AVERAGE(OFFSET($H$3,0,0,'Données projet'!$E$15+1,1))</f>
        <v>301.18531163828169</v>
      </c>
      <c r="EP163" s="62">
        <f t="shared" si="154"/>
        <v>192.30530273268101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32.911285160354439</v>
      </c>
      <c r="EW163" s="23">
        <f>EXP(-LN(2)/25)*EW162+(1-EXP(-LN(2)/25))/(LN(2)/25)*Calculateur!ER163*Calculateur!ET163*VLOOKUP('Données projet'!$B$15,Paramètres!$A$1:$I$89,3,0)*0.475*44/12</f>
        <v>1.4739301452972524</v>
      </c>
      <c r="EX163" s="23">
        <f>EXP(-LN(2)/2)*EX162+(1-EXP(-LN(2)/2))/(LN(2)/2)*ER163*EU163*VLOOKUP('Données projet'!$B$15,Paramètres!$A$1:$I$89,3,0)*0.475*44/12</f>
        <v>5.6247532593832732E-14</v>
      </c>
      <c r="EY163" s="24">
        <f t="shared" si="181"/>
        <v>34.385215305651748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1.7053025658242404E-13</v>
      </c>
      <c r="FF163" s="18">
        <f>FE163*VLOOKUP('Données projet'!$B$16,Paramètres!$A$1:$I$89,3,0)*VLOOKUP('Données projet'!$B$16,Paramètres!$A$1:$I$89,5,0)</f>
        <v>1.3301360013429075E-13</v>
      </c>
      <c r="FG163" s="14">
        <f t="shared" si="182"/>
        <v>1.9329766731057041E-12</v>
      </c>
      <c r="FH163" s="22">
        <f t="shared" si="183"/>
        <v>3.5982663925596575E-12</v>
      </c>
      <c r="FI163" s="62">
        <f t="shared" si="131"/>
        <v>293.3333333333369</v>
      </c>
      <c r="FJ163" s="62">
        <f ca="1">AVERAGE(OFFSET($FI$3,0,0,'Données projet'!$E$16+1,1))-AVERAGE(OFFSET($H$3,0,0,'Données projet'!$E$16+1,1))</f>
        <v>249.2899297828755</v>
      </c>
      <c r="FK163" s="62">
        <f t="shared" si="156"/>
        <v>162.88011837476813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26.541359000285841</v>
      </c>
      <c r="FR163" s="23">
        <f>EXP(-LN(2)/25)*FR162+(1-EXP(-LN(2)/25))/(LN(2)/25)*Calculateur!FM163*Calculateur!FO163*VLOOKUP('Données projet'!$B$16,Paramètres!$A$1:$I$89,3,0)*0.475*44/12</f>
        <v>1.1886533429816528</v>
      </c>
      <c r="FS163" s="23">
        <f>EXP(-LN(2)/2)*FS162+(1-EXP(-LN(2)/2))/(LN(2)/2)*FM163*FP163*VLOOKUP('Données projet'!$B$16,Paramètres!$A$1:$I$89,3,0)*0.475*44/12</f>
        <v>4.5360913382122829E-14</v>
      </c>
      <c r="FT163" s="24">
        <f t="shared" si="184"/>
        <v>27.730012343267539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1.7053025658242404E-13</v>
      </c>
      <c r="GA163" s="18">
        <f>FZ163*VLOOKUP('Données projet'!$B$17,Paramètres!$A$1:$I$89,3,0)*VLOOKUP('Données projet'!$B$17,Paramètres!$A$1:$I$89,5,0)</f>
        <v>1.1439169611549005E-13</v>
      </c>
      <c r="GB163" s="14">
        <f t="shared" si="185"/>
        <v>1.6918016515029816E-12</v>
      </c>
      <c r="GC163" s="22">
        <f t="shared" si="186"/>
        <v>3.1457867471021712E-12</v>
      </c>
      <c r="GD163" s="62">
        <f t="shared" si="134"/>
        <v>293.33333333333644</v>
      </c>
      <c r="GE163" s="62">
        <f ca="1">AVERAGE(OFFSET($GD$3,0,0,'Données projet'!$E$17+1,1))-AVERAGE(OFFSET($H$3,0,0,'Données projet'!$E$17+1,1))</f>
        <v>218.89895999738746</v>
      </c>
      <c r="GF163" s="62">
        <f t="shared" si="158"/>
        <v>145.64042897395763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28.133840540302959</v>
      </c>
      <c r="GM163" s="23">
        <f>EXP(-LN(2)/25)*GM162+(1-EXP(-LN(2)/25))/(LN(2)/25)*Calculateur!GH163*Calculateur!GJ163*VLOOKUP('Données projet'!$B$17,Paramètres!$A$1:$I$89,3,0)*0.475*44/12</f>
        <v>1.2599725435605538</v>
      </c>
      <c r="GN163" s="23">
        <f>EXP(-LN(2)/2)*GN162+(1-EXP(-LN(2)/2))/(LN(2)/2)*GH163*GK163*VLOOKUP('Données projet'!$B$17,Paramètres!$A$1:$I$89,3,0)*0.475*44/12</f>
        <v>3.9010385508625935E-14</v>
      </c>
      <c r="GO163" s="23">
        <f t="shared" si="187"/>
        <v>29.393813083863552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1.7053025658242404E-13</v>
      </c>
      <c r="GV163" s="18">
        <f>GU163*VLOOKUP('Données projet'!$B$18,Paramètres!$A$1:$I$89,3,0)*VLOOKUP('Données projet'!$B$18,Paramètres!$A$1:$I$89,5,0)</f>
        <v>1.8355876818532125E-13</v>
      </c>
      <c r="GW163" s="14">
        <f t="shared" si="188"/>
        <v>2.5693529898865504E-12</v>
      </c>
      <c r="GX163" s="22">
        <f t="shared" si="189"/>
        <v>4.7946546453085093E-12</v>
      </c>
      <c r="GY163" s="62">
        <f t="shared" si="137"/>
        <v>293.33333333333809</v>
      </c>
      <c r="GZ163" s="62">
        <f ca="1">AVERAGE(OFFSET($GY$3,0,0,'Données projet'!$E$18+1,1))-AVERAGE(OFFSET($H$3,0,0,'Données projet'!$E$18+1,1))</f>
        <v>331.3579800635751</v>
      </c>
      <c r="HA163" s="62">
        <f t="shared" si="160"/>
        <v>209.40702003535273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36.627075420394441</v>
      </c>
      <c r="HH163" s="23">
        <f>EXP(-LN(2)/25)*HH162+(1-EXP(-LN(2)/25))/(LN(2)/25)*Calculateur!HC163*Calculateur!HE163*VLOOKUP('Données projet'!$B$18,Paramètres!$A$1:$I$89,3,0)*0.475*44/12</f>
        <v>1.6403416133146838</v>
      </c>
      <c r="HI163" s="23">
        <f>EXP(-LN(2)/2)*HI162+(1-EXP(-LN(2)/2))/(LN(2)/2)*HC163*HF163*VLOOKUP('Données projet'!$B$18,Paramètres!$A$1:$I$89,3,0)*0.475*44/12</f>
        <v>6.259806046732952E-14</v>
      </c>
      <c r="HJ163" s="24">
        <f t="shared" si="190"/>
        <v>38.267417033709187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5.0022208597511053E-12</v>
      </c>
      <c r="O164" s="14">
        <f>N164*VLOOKUP('Données projet'!$B$9,Paramètres!$A$1:$I$89,3,0)*VLOOKUP('Données projet'!$B$9,Paramètres!$A$1:$I$89,5,0)</f>
        <v>4.5260094339028E-12</v>
      </c>
      <c r="P164" s="14">
        <f t="shared" si="141"/>
        <v>4.3625683148570328E-11</v>
      </c>
      <c r="Q164" s="22">
        <f t="shared" si="162"/>
        <v>8.3864197914474037E-11</v>
      </c>
      <c r="R164" s="62">
        <f t="shared" si="109"/>
        <v>293.33333333341716</v>
      </c>
      <c r="S164" s="62">
        <f ca="1">AVERAGE(OFFSET($R$3,0,0,'Données projet'!$E$9+1,1))-AVERAGE(OFFSET($H$3,0,0,'Données projet'!$E$9+1,1))</f>
        <v>2472.5049373954762</v>
      </c>
      <c r="T164" s="62">
        <f t="shared" si="142"/>
        <v>286.98388307318311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1149.058670054462</v>
      </c>
      <c r="AA164" s="23">
        <f>EXP(-LN(2)/25)*AA163+(1-EXP(-LN(2)/25))/(LN(2)/25)*Calculateur!V164*Calculateur!X164*VLOOKUP('Données projet'!$B$9,Paramètres!$A$1:$I$89,3,0)*0.475*44/12</f>
        <v>48.949563219162144</v>
      </c>
      <c r="AB164" s="23">
        <f>EXP(-LN(2)/2)*AB163+(1-EXP(-LN(2)/2))/(LN(2)/2)*V164*Y164*VLOOKUP('Données projet'!$B$9,Paramètres!$A$1:$I$89,3,0)*0.475*44/12</f>
        <v>0.14253944997630277</v>
      </c>
      <c r="AC164" s="24">
        <f t="shared" si="163"/>
        <v>1198.1507727236005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5.0022208597511053E-12</v>
      </c>
      <c r="AJ164" s="14">
        <f>AI164*VLOOKUP('Données projet'!$B$10,Paramètres!$A$1:$I$89,3,0)*VLOOKUP('Données projet'!$B$10,Paramètres!$A$1:$I$89,5,0)</f>
        <v>5.0722519517876216E-12</v>
      </c>
      <c r="AK164" s="14">
        <f t="shared" si="164"/>
        <v>4.8246688221215311E-11</v>
      </c>
      <c r="AL164" s="22">
        <f t="shared" si="165"/>
        <v>9.2863820801313432E-11</v>
      </c>
      <c r="AM164" s="62">
        <f t="shared" si="113"/>
        <v>293.3333333334262</v>
      </c>
      <c r="AN164" s="62">
        <f ca="1">AVERAGE(OFFSET($AM$3,0,0,'Données projet'!$E$10+1,1))-AVERAGE(OFFSET($H$3,0,0,'Données projet'!$E$10+1,1))</f>
        <v>2761.1400657295467</v>
      </c>
      <c r="AO164" s="62">
        <f t="shared" si="144"/>
        <v>316.41877504316409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1287.7381647162072</v>
      </c>
      <c r="AV164" s="23">
        <f>EXP(-LN(2)/25)*AV163+(1-EXP(-LN(2)/25))/(LN(2)/25)*Calculateur!AQ164*Calculateur!AS164*VLOOKUP('Données projet'!$B$10,Paramètres!$A$1:$I$89,3,0)*0.475*44/12</f>
        <v>54.857269124923121</v>
      </c>
      <c r="AW164" s="23">
        <f>EXP(-LN(2)/2)*AW163+(1-EXP(-LN(2)/2))/(LN(2)/2)*AQ164*AT164*VLOOKUP('Données projet'!$B$10,Paramètres!$A$1:$I$89,3,0)*0.475*44/12</f>
        <v>0.15974248704240832</v>
      </c>
      <c r="AX164" s="23">
        <f t="shared" si="166"/>
        <v>1342.7551763281726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5.0022208597511053E-12</v>
      </c>
      <c r="BE164" s="14">
        <f>BD164*VLOOKUP('Données projet'!$B$11,Paramètres!$A$1:$I$89,3,0)*VLOOKUP('Données projet'!$B$11,Paramètres!$A$1:$I$89,5,0)</f>
        <v>5.2283212426118558E-12</v>
      </c>
      <c r="BF164" s="14">
        <f t="shared" si="167"/>
        <v>4.9556081821365385E-11</v>
      </c>
      <c r="BG164" s="22">
        <f t="shared" si="168"/>
        <v>9.5416168669760364E-11</v>
      </c>
      <c r="BH164" s="62">
        <f t="shared" si="116"/>
        <v>293.33333333342875</v>
      </c>
      <c r="BI164" s="62">
        <f ca="1">AVERAGE(OFFSET($BH$3,0,0,'Données projet'!$E$11+1,1))-AVERAGE(OFFSET($H$3,0,0,'Données projet'!$E$11+1,1))</f>
        <v>2843.5086223152098</v>
      </c>
      <c r="BJ164" s="62">
        <f t="shared" si="146"/>
        <v>324.81562437645522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1327.3608774767058</v>
      </c>
      <c r="BQ164" s="23">
        <f>EXP(-LN(2)/25)*BQ163+(1-EXP(-LN(2)/25))/(LN(2)/25)*Calculateur!BL164*Calculateur!BN164*VLOOKUP('Données projet'!$B$11,Paramètres!$A$1:$I$89,3,0)*0.475*44/12</f>
        <v>56.545185097997681</v>
      </c>
      <c r="BR164" s="23">
        <f>EXP(-LN(2)/2)*BR163+(1-EXP(-LN(2)/2))/(LN(2)/2)*BL164*BO164*VLOOKUP('Données projet'!$B$11,Paramètres!$A$1:$I$89,3,0)*0.475*44/12</f>
        <v>0.16465764048986717</v>
      </c>
      <c r="BS164" s="24">
        <f t="shared" si="169"/>
        <v>1384.0707202151934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5.0022208597511053E-12</v>
      </c>
      <c r="BZ164" s="14">
        <f>BY164*VLOOKUP('Données projet'!$B$12,Paramètres!$A$1:$I$89,3,0)*VLOOKUP('Données projet'!$B$12,Paramètres!$A$1:$I$89,5,0)</f>
        <v>4.9942173063755036E-12</v>
      </c>
      <c r="CA164" s="14">
        <f t="shared" si="170"/>
        <v>4.7590239529202817E-11</v>
      </c>
      <c r="CB164" s="22">
        <f t="shared" si="171"/>
        <v>9.1584595655298897E-11</v>
      </c>
      <c r="CC164" s="62">
        <f t="shared" si="119"/>
        <v>293.33333333342489</v>
      </c>
      <c r="CD164" s="62">
        <f ca="1">AVERAGE(OFFSET($CC$3,0,0,'Données projet'!$E$12+1,1))-AVERAGE(OFFSET($H$3,0,0,'Données projet'!$E$12+1,1))</f>
        <v>2719.939926994799</v>
      </c>
      <c r="CE164" s="62">
        <f t="shared" si="148"/>
        <v>312.21824046329749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1267.9268083359584</v>
      </c>
      <c r="CL164" s="23">
        <f>EXP(-LN(2)/25)*CL163+(1-EXP(-LN(2)/25))/(LN(2)/25)*Calculateur!CG164*Calculateur!CI164*VLOOKUP('Données projet'!$B$12,Paramètres!$A$1:$I$89,3,0)*0.475*44/12</f>
        <v>54.013311138385831</v>
      </c>
      <c r="CM164" s="23">
        <f>EXP(-LN(2)/2)*CM163+(1-EXP(-LN(2)/2))/(LN(2)/2)*CG164*CJ164*VLOOKUP('Données projet'!$B$12,Paramètres!$A$1:$I$89,3,0)*0.475*44/12</f>
        <v>0.15728491031867886</v>
      </c>
      <c r="CN164" s="24">
        <f t="shared" si="172"/>
        <v>1322.0974043846629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1.1368683772161603E-12</v>
      </c>
      <c r="CU164" s="18">
        <f>CT164*VLOOKUP('Données projet'!$B$13,Paramètres!$A$1:$I$89,3,0)*VLOOKUP('Données projet'!$B$13,Paramètres!$A$1:$I$89,5,0)</f>
        <v>9.9316821433603771E-13</v>
      </c>
      <c r="CV164" s="14">
        <f t="shared" si="173"/>
        <v>1.1421454694498936E-11</v>
      </c>
      <c r="CW164" s="22">
        <f t="shared" si="174"/>
        <v>2.1622134899554243E-11</v>
      </c>
      <c r="CX164" s="62">
        <f t="shared" si="122"/>
        <v>293.33333333335491</v>
      </c>
      <c r="CY164" s="62">
        <f ca="1">AVERAGE(OFFSET($CX$3,0,0,'Données projet'!$E$13+1,1))-AVERAGE(OFFSET($H$3,0,0,'Données projet'!$E$13+1,1))</f>
        <v>1036.0130072090849</v>
      </c>
      <c r="CZ164" s="62">
        <f t="shared" si="150"/>
        <v>346.56593355696174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134.64751495789071</v>
      </c>
      <c r="DG164" s="23">
        <f>EXP(-LN(2)/25)*DG163+(1-EXP(-LN(2)/25))/(LN(2)/25)*Calculateur!DB164*Calculateur!DD164*VLOOKUP('Données projet'!$B$13,Paramètres!$A$1:$I$89,3,0)*0.475*44/12</f>
        <v>4.4794423629770845</v>
      </c>
      <c r="DH164" s="23">
        <f>EXP(-LN(2)/2)*DH163+(1-EXP(-LN(2)/2))/(LN(2)/2)*DB164*DE164*VLOOKUP('Données projet'!$B$13,Paramètres!$A$1:$I$89,3,0)*0.475*44/12</f>
        <v>5.8121064630225118E-11</v>
      </c>
      <c r="DI164" s="24">
        <f t="shared" si="175"/>
        <v>139.12695732092592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6.8212102632969618E-13</v>
      </c>
      <c r="DP164" s="18">
        <f>DO164*VLOOKUP('Données projet'!$B$14,Paramètres!$A$1:$I$89,3,0)*VLOOKUP('Données projet'!$B$14,Paramètres!$A$1:$I$89,5,0)</f>
        <v>3.8130565371830017E-13</v>
      </c>
      <c r="DQ164" s="14">
        <f t="shared" si="176"/>
        <v>4.9019074112354236E-12</v>
      </c>
      <c r="DR164" s="22">
        <f t="shared" si="177"/>
        <v>9.2015960881277352E-12</v>
      </c>
      <c r="DS164" s="62">
        <f t="shared" si="125"/>
        <v>293.33333333334252</v>
      </c>
      <c r="DT164" s="62">
        <f ca="1">AVERAGE(OFFSET($DS$3,0,0,'Données projet'!$E$14+1,1))-AVERAGE(OFFSET($H$3,0,0,'Données projet'!$E$14+1,1))</f>
        <v>446.48069057792151</v>
      </c>
      <c r="DU164" s="62">
        <f t="shared" si="152"/>
        <v>561.75656782935948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24.985504918538957</v>
      </c>
      <c r="EB164" s="23">
        <f>EXP(-LN(2)/25)*EB163+(1-EXP(-LN(2)/25))/(LN(2)/25)*Calculateur!DW164*Calculateur!DY164*VLOOKUP('Données projet'!$B$14,Paramètres!$A$1:$I$89,3,0)*0.475*44/12</f>
        <v>4.9261698052897946</v>
      </c>
      <c r="EC164" s="23">
        <f>EXP(-LN(2)/2)*EC163+(1-EXP(-LN(2)/2))/(LN(2)/2)*DW164*DZ164*VLOOKUP('Données projet'!$B$14,Paramètres!$A$1:$I$89,3,0)*0.475*44/12</f>
        <v>8.4273250588355206E-14</v>
      </c>
      <c r="ED164" s="24">
        <f t="shared" si="178"/>
        <v>29.911674723828838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1.7053025658242404E-13</v>
      </c>
      <c r="EK164" s="18">
        <f>EJ164*VLOOKUP('Données projet'!$B$15,Paramètres!$A$1:$I$89,3,0)*VLOOKUP('Données projet'!$B$15,Paramètres!$A$1:$I$89,5,0)</f>
        <v>1.6493686416652052E-13</v>
      </c>
      <c r="EL164" s="14">
        <f t="shared" si="179"/>
        <v>2.3376205369651282E-12</v>
      </c>
      <c r="EM164" s="22">
        <f t="shared" si="180"/>
        <v>4.3586208069709543E-12</v>
      </c>
      <c r="EN164" s="62">
        <f t="shared" si="128"/>
        <v>293.33333333333769</v>
      </c>
      <c r="EO164" s="62">
        <f ca="1">AVERAGE(OFFSET($EN$3,0,0,'Données projet'!$E$15+1,1))-AVERAGE(OFFSET($H$3,0,0,'Données projet'!$E$15+1,1))</f>
        <v>301.18531163828169</v>
      </c>
      <c r="EP164" s="62">
        <f t="shared" si="154"/>
        <v>192.30530273268101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32.265914932261701</v>
      </c>
      <c r="EW164" s="23">
        <f>EXP(-LN(2)/25)*EW163+(1-EXP(-LN(2)/25))/(LN(2)/25)*Calculateur!ER164*Calculateur!ET164*VLOOKUP('Données projet'!$B$15,Paramètres!$A$1:$I$89,3,0)*0.475*44/12</f>
        <v>1.4336254479634813</v>
      </c>
      <c r="EX164" s="23">
        <f>EXP(-LN(2)/2)*EX163+(1-EXP(-LN(2)/2))/(LN(2)/2)*ER164*EU164*VLOOKUP('Données projet'!$B$15,Paramètres!$A$1:$I$89,3,0)*0.475*44/12</f>
        <v>3.9773011722110485E-14</v>
      </c>
      <c r="EY164" s="24">
        <f t="shared" si="181"/>
        <v>33.699540380225223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1.7053025658242404E-13</v>
      </c>
      <c r="FF164" s="18">
        <f>FE164*VLOOKUP('Données projet'!$B$16,Paramètres!$A$1:$I$89,3,0)*VLOOKUP('Données projet'!$B$16,Paramètres!$A$1:$I$89,5,0)</f>
        <v>1.3301360013429075E-13</v>
      </c>
      <c r="FG164" s="14">
        <f t="shared" si="182"/>
        <v>1.9329766731057041E-12</v>
      </c>
      <c r="FH164" s="22">
        <f t="shared" si="183"/>
        <v>3.5982663925596575E-12</v>
      </c>
      <c r="FI164" s="62">
        <f t="shared" si="131"/>
        <v>293.3333333333369</v>
      </c>
      <c r="FJ164" s="62">
        <f ca="1">AVERAGE(OFFSET($FI$3,0,0,'Données projet'!$E$16+1,1))-AVERAGE(OFFSET($H$3,0,0,'Données projet'!$E$16+1,1))</f>
        <v>249.2899297828755</v>
      </c>
      <c r="FK164" s="62">
        <f t="shared" si="156"/>
        <v>162.88011837476813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26.020899138920733</v>
      </c>
      <c r="FR164" s="23">
        <f>EXP(-LN(2)/25)*FR163+(1-EXP(-LN(2)/25))/(LN(2)/25)*Calculateur!FM164*Calculateur!FO164*VLOOKUP('Données projet'!$B$16,Paramètres!$A$1:$I$89,3,0)*0.475*44/12</f>
        <v>1.1561495548092569</v>
      </c>
      <c r="FS164" s="23">
        <f>EXP(-LN(2)/2)*FS163+(1-EXP(-LN(2)/2))/(LN(2)/2)*FM164*FP164*VLOOKUP('Données projet'!$B$16,Paramètres!$A$1:$I$89,3,0)*0.475*44/12</f>
        <v>3.2075009453314662E-14</v>
      </c>
      <c r="FT164" s="24">
        <f t="shared" si="184"/>
        <v>27.177048693730022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1.7053025658242404E-13</v>
      </c>
      <c r="GA164" s="18">
        <f>FZ164*VLOOKUP('Données projet'!$B$17,Paramètres!$A$1:$I$89,3,0)*VLOOKUP('Données projet'!$B$17,Paramètres!$A$1:$I$89,5,0)</f>
        <v>1.1439169611549005E-13</v>
      </c>
      <c r="GB164" s="14">
        <f t="shared" si="185"/>
        <v>1.6918016515029816E-12</v>
      </c>
      <c r="GC164" s="22">
        <f t="shared" si="186"/>
        <v>3.1457867471021712E-12</v>
      </c>
      <c r="GD164" s="62">
        <f t="shared" si="134"/>
        <v>293.33333333333644</v>
      </c>
      <c r="GE164" s="62">
        <f ca="1">AVERAGE(OFFSET($GD$3,0,0,'Données projet'!$E$17+1,1))-AVERAGE(OFFSET($H$3,0,0,'Données projet'!$E$17+1,1))</f>
        <v>218.89895999738746</v>
      </c>
      <c r="GF164" s="62">
        <f t="shared" si="158"/>
        <v>145.64042897395763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27.582153087255943</v>
      </c>
      <c r="GM164" s="23">
        <f>EXP(-LN(2)/25)*GM163+(1-EXP(-LN(2)/25))/(LN(2)/25)*Calculateur!GH164*Calculateur!GJ164*VLOOKUP('Données projet'!$B$17,Paramètres!$A$1:$I$89,3,0)*0.475*44/12</f>
        <v>1.225518528097814</v>
      </c>
      <c r="GN164" s="23">
        <f>EXP(-LN(2)/2)*GN163+(1-EXP(-LN(2)/2))/(LN(2)/2)*GH164*GK164*VLOOKUP('Données projet'!$B$17,Paramètres!$A$1:$I$89,3,0)*0.475*44/12</f>
        <v>2.7584508129850825E-14</v>
      </c>
      <c r="GO164" s="23">
        <f t="shared" si="187"/>
        <v>28.807671615353787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1.7053025658242404E-13</v>
      </c>
      <c r="GV164" s="18">
        <f>GU164*VLOOKUP('Données projet'!$B$18,Paramètres!$A$1:$I$89,3,0)*VLOOKUP('Données projet'!$B$18,Paramètres!$A$1:$I$89,5,0)</f>
        <v>1.8355876818532125E-13</v>
      </c>
      <c r="GW164" s="14">
        <f t="shared" si="188"/>
        <v>2.5693529898865504E-12</v>
      </c>
      <c r="GX164" s="22">
        <f t="shared" si="189"/>
        <v>4.7946546453085093E-12</v>
      </c>
      <c r="GY164" s="62">
        <f t="shared" si="137"/>
        <v>293.33333333333809</v>
      </c>
      <c r="GZ164" s="62">
        <f ca="1">AVERAGE(OFFSET($GY$3,0,0,'Données projet'!$E$18+1,1))-AVERAGE(OFFSET($H$3,0,0,'Données projet'!$E$18+1,1))</f>
        <v>331.3579800635751</v>
      </c>
      <c r="HA164" s="62">
        <f t="shared" si="160"/>
        <v>209.40702003535273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35.90884081171059</v>
      </c>
      <c r="HH164" s="23">
        <f>EXP(-LN(2)/25)*HH163+(1-EXP(-LN(2)/25))/(LN(2)/25)*Calculateur!HC164*Calculateur!HE164*VLOOKUP('Données projet'!$B$18,Paramètres!$A$1:$I$89,3,0)*0.475*44/12</f>
        <v>1.5954863856367774</v>
      </c>
      <c r="HI164" s="23">
        <f>EXP(-LN(2)/2)*HI163+(1-EXP(-LN(2)/2))/(LN(2)/2)*HC164*HF164*VLOOKUP('Données projet'!$B$18,Paramètres!$A$1:$I$89,3,0)*0.475*44/12</f>
        <v>4.4263513045574246E-14</v>
      </c>
      <c r="HJ164" s="24">
        <f t="shared" si="190"/>
        <v>37.504327197347408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5.0022208597511053E-12</v>
      </c>
      <c r="O165" s="14">
        <f>N165*VLOOKUP('Données projet'!$B$9,Paramètres!$A$1:$I$89,3,0)*VLOOKUP('Données projet'!$B$9,Paramètres!$A$1:$I$89,5,0)</f>
        <v>4.5260094339028E-12</v>
      </c>
      <c r="P165" s="14">
        <f t="shared" si="141"/>
        <v>4.3625683148570328E-11</v>
      </c>
      <c r="Q165" s="22">
        <f t="shared" si="162"/>
        <v>8.3864197914474037E-11</v>
      </c>
      <c r="R165" s="62">
        <f t="shared" si="109"/>
        <v>293.33333333341716</v>
      </c>
      <c r="S165" s="62">
        <f ca="1">AVERAGE(OFFSET($R$3,0,0,'Données projet'!$E$9+1,1))-AVERAGE(OFFSET($H$3,0,0,'Données projet'!$E$9+1,1))</f>
        <v>2472.5049373954762</v>
      </c>
      <c r="T165" s="62">
        <f t="shared" si="142"/>
        <v>286.98388307318311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1126.5263303912789</v>
      </c>
      <c r="AA165" s="23">
        <f>EXP(-LN(2)/25)*AA164+(1-EXP(-LN(2)/25))/(LN(2)/25)*Calculateur!V165*Calculateur!X165*VLOOKUP('Données projet'!$B$9,Paramètres!$A$1:$I$89,3,0)*0.475*44/12</f>
        <v>47.611034838788498</v>
      </c>
      <c r="AB165" s="23">
        <f>EXP(-LN(2)/2)*AB164+(1-EXP(-LN(2)/2))/(LN(2)/2)*V165*Y165*VLOOKUP('Données projet'!$B$9,Paramètres!$A$1:$I$89,3,0)*0.475*44/12</f>
        <v>0.10079061166484436</v>
      </c>
      <c r="AC165" s="24">
        <f t="shared" si="163"/>
        <v>1174.2381558417324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5.0022208597511053E-12</v>
      </c>
      <c r="AJ165" s="14">
        <f>AI165*VLOOKUP('Données projet'!$B$10,Paramètres!$A$1:$I$89,3,0)*VLOOKUP('Données projet'!$B$10,Paramètres!$A$1:$I$89,5,0)</f>
        <v>5.0722519517876216E-12</v>
      </c>
      <c r="AK165" s="14">
        <f t="shared" si="164"/>
        <v>4.8246688221215311E-11</v>
      </c>
      <c r="AL165" s="22">
        <f t="shared" si="165"/>
        <v>9.2863820801313432E-11</v>
      </c>
      <c r="AM165" s="62">
        <f t="shared" si="113"/>
        <v>293.3333333334262</v>
      </c>
      <c r="AN165" s="62">
        <f ca="1">AVERAGE(OFFSET($AM$3,0,0,'Données projet'!$E$10+1,1))-AVERAGE(OFFSET($H$3,0,0,'Données projet'!$E$10+1,1))</f>
        <v>2761.1400657295467</v>
      </c>
      <c r="AO165" s="62">
        <f t="shared" si="144"/>
        <v>316.41877504316409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1262.4864047488468</v>
      </c>
      <c r="AV165" s="23">
        <f>EXP(-LN(2)/25)*AV164+(1-EXP(-LN(2)/25))/(LN(2)/25)*Calculateur!AQ165*Calculateur!AS165*VLOOKUP('Données projet'!$B$10,Paramètres!$A$1:$I$89,3,0)*0.475*44/12</f>
        <v>53.357194215883695</v>
      </c>
      <c r="AW165" s="23">
        <f>EXP(-LN(2)/2)*AW164+(1-EXP(-LN(2)/2))/(LN(2)/2)*AQ165*AT165*VLOOKUP('Données projet'!$B$10,Paramètres!$A$1:$I$89,3,0)*0.475*44/12</f>
        <v>0.11295499583129112</v>
      </c>
      <c r="AX165" s="23">
        <f t="shared" si="166"/>
        <v>1315.9565539605619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5.0022208597511053E-12</v>
      </c>
      <c r="BE165" s="14">
        <f>BD165*VLOOKUP('Données projet'!$B$11,Paramètres!$A$1:$I$89,3,0)*VLOOKUP('Données projet'!$B$11,Paramètres!$A$1:$I$89,5,0)</f>
        <v>5.2283212426118558E-12</v>
      </c>
      <c r="BF165" s="14">
        <f t="shared" si="167"/>
        <v>4.9556081821365385E-11</v>
      </c>
      <c r="BG165" s="22">
        <f t="shared" si="168"/>
        <v>9.5416168669760364E-11</v>
      </c>
      <c r="BH165" s="62">
        <f t="shared" si="116"/>
        <v>293.33333333342875</v>
      </c>
      <c r="BI165" s="62">
        <f ca="1">AVERAGE(OFFSET($BH$3,0,0,'Données projet'!$E$11+1,1))-AVERAGE(OFFSET($H$3,0,0,'Données projet'!$E$11+1,1))</f>
        <v>2843.5086223152098</v>
      </c>
      <c r="BJ165" s="62">
        <f t="shared" si="146"/>
        <v>324.81562437645522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1301.3321402795805</v>
      </c>
      <c r="BQ165" s="23">
        <f>EXP(-LN(2)/25)*BQ164+(1-EXP(-LN(2)/25))/(LN(2)/25)*Calculateur!BL165*Calculateur!BN165*VLOOKUP('Données projet'!$B$11,Paramètres!$A$1:$I$89,3,0)*0.475*44/12</f>
        <v>54.998954037910885</v>
      </c>
      <c r="BR165" s="23">
        <f>EXP(-LN(2)/2)*BR164+(1-EXP(-LN(2)/2))/(LN(2)/2)*BL165*BO165*VLOOKUP('Données projet'!$B$11,Paramètres!$A$1:$I$89,3,0)*0.475*44/12</f>
        <v>0.11643053416456171</v>
      </c>
      <c r="BS165" s="24">
        <f t="shared" si="169"/>
        <v>1356.4475248516558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5.0022208597511053E-12</v>
      </c>
      <c r="BZ165" s="14">
        <f>BY165*VLOOKUP('Données projet'!$B$12,Paramètres!$A$1:$I$89,3,0)*VLOOKUP('Données projet'!$B$12,Paramètres!$A$1:$I$89,5,0)</f>
        <v>4.9942173063755036E-12</v>
      </c>
      <c r="CA165" s="14">
        <f t="shared" si="170"/>
        <v>4.7590239529202817E-11</v>
      </c>
      <c r="CB165" s="22">
        <f t="shared" si="171"/>
        <v>9.1584595655298897E-11</v>
      </c>
      <c r="CC165" s="62">
        <f t="shared" si="119"/>
        <v>293.33333333342489</v>
      </c>
      <c r="CD165" s="62">
        <f ca="1">AVERAGE(OFFSET($CC$3,0,0,'Données projet'!$E$12+1,1))-AVERAGE(OFFSET($H$3,0,0,'Données projet'!$E$12+1,1))</f>
        <v>2719.939926994799</v>
      </c>
      <c r="CE165" s="62">
        <f t="shared" si="148"/>
        <v>312.21824046329749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1243.0635369834804</v>
      </c>
      <c r="CL165" s="23">
        <f>EXP(-LN(2)/25)*CL164+(1-EXP(-LN(2)/25))/(LN(2)/25)*Calculateur!CG165*Calculateur!CI165*VLOOKUP('Données projet'!$B$12,Paramètres!$A$1:$I$89,3,0)*0.475*44/12</f>
        <v>52.536314304870089</v>
      </c>
      <c r="CM165" s="23">
        <f>EXP(-LN(2)/2)*CM164+(1-EXP(-LN(2)/2))/(LN(2)/2)*CG165*CJ165*VLOOKUP('Données projet'!$B$12,Paramètres!$A$1:$I$89,3,0)*0.475*44/12</f>
        <v>0.1112172266646558</v>
      </c>
      <c r="CN165" s="24">
        <f t="shared" si="172"/>
        <v>1295.7110685150151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1.1368683772161603E-12</v>
      </c>
      <c r="CU165" s="18">
        <f>CT165*VLOOKUP('Données projet'!$B$13,Paramètres!$A$1:$I$89,3,0)*VLOOKUP('Données projet'!$B$13,Paramètres!$A$1:$I$89,5,0)</f>
        <v>9.9316821433603771E-13</v>
      </c>
      <c r="CV165" s="14">
        <f t="shared" si="173"/>
        <v>1.1421454694498936E-11</v>
      </c>
      <c r="CW165" s="22">
        <f t="shared" si="174"/>
        <v>2.1622134899554243E-11</v>
      </c>
      <c r="CX165" s="62">
        <f t="shared" si="122"/>
        <v>293.33333333335491</v>
      </c>
      <c r="CY165" s="62">
        <f ca="1">AVERAGE(OFFSET($CX$3,0,0,'Données projet'!$E$13+1,1))-AVERAGE(OFFSET($H$3,0,0,'Données projet'!$E$13+1,1))</f>
        <v>1036.0130072090849</v>
      </c>
      <c r="CZ165" s="62">
        <f t="shared" si="150"/>
        <v>346.56593355696174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132.00715931644123</v>
      </c>
      <c r="DG165" s="23">
        <f>EXP(-LN(2)/25)*DG164+(1-EXP(-LN(2)/25))/(LN(2)/25)*Calculateur!DB165*Calculateur!DD165*VLOOKUP('Données projet'!$B$13,Paramètres!$A$1:$I$89,3,0)*0.475*44/12</f>
        <v>4.3569517759978398</v>
      </c>
      <c r="DH165" s="23">
        <f>EXP(-LN(2)/2)*DH164+(1-EXP(-LN(2)/2))/(LN(2)/2)*DB165*DE165*VLOOKUP('Données projet'!$B$13,Paramètres!$A$1:$I$89,3,0)*0.475*44/12</f>
        <v>4.1097798929813785E-11</v>
      </c>
      <c r="DI165" s="24">
        <f t="shared" si="175"/>
        <v>136.36411109248016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6.8212102632969618E-13</v>
      </c>
      <c r="DP165" s="18">
        <f>DO165*VLOOKUP('Données projet'!$B$14,Paramètres!$A$1:$I$89,3,0)*VLOOKUP('Données projet'!$B$14,Paramètres!$A$1:$I$89,5,0)</f>
        <v>3.8130565371830017E-13</v>
      </c>
      <c r="DQ165" s="14">
        <f t="shared" si="176"/>
        <v>4.9019074112354236E-12</v>
      </c>
      <c r="DR165" s="22">
        <f t="shared" si="177"/>
        <v>9.2015960881277352E-12</v>
      </c>
      <c r="DS165" s="62">
        <f t="shared" si="125"/>
        <v>293.33333333334252</v>
      </c>
      <c r="DT165" s="62">
        <f ca="1">AVERAGE(OFFSET($DS$3,0,0,'Données projet'!$E$14+1,1))-AVERAGE(OFFSET($H$3,0,0,'Données projet'!$E$14+1,1))</f>
        <v>446.48069057792151</v>
      </c>
      <c r="DU165" s="62">
        <f t="shared" si="152"/>
        <v>561.75656782935948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24.495554406739618</v>
      </c>
      <c r="EB165" s="23">
        <f>EXP(-LN(2)/25)*EB164+(1-EXP(-LN(2)/25))/(LN(2)/25)*Calculateur!DW165*Calculateur!DY165*VLOOKUP('Données projet'!$B$14,Paramètres!$A$1:$I$89,3,0)*0.475*44/12</f>
        <v>4.7914634329081345</v>
      </c>
      <c r="EC165" s="23">
        <f>EXP(-LN(2)/2)*EC164+(1-EXP(-LN(2)/2))/(LN(2)/2)*DW165*DZ165*VLOOKUP('Données projet'!$B$14,Paramètres!$A$1:$I$89,3,0)*0.475*44/12</f>
        <v>5.9590186963659172E-14</v>
      </c>
      <c r="ED165" s="24">
        <f t="shared" si="178"/>
        <v>29.287017839647813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1.7053025658242404E-13</v>
      </c>
      <c r="EK165" s="18">
        <f>EJ165*VLOOKUP('Données projet'!$B$15,Paramètres!$A$1:$I$89,3,0)*VLOOKUP('Données projet'!$B$15,Paramètres!$A$1:$I$89,5,0)</f>
        <v>1.6493686416652052E-13</v>
      </c>
      <c r="EL165" s="14">
        <f t="shared" si="179"/>
        <v>2.3376205369651282E-12</v>
      </c>
      <c r="EM165" s="22">
        <f t="shared" si="180"/>
        <v>4.3586208069709543E-12</v>
      </c>
      <c r="EN165" s="62">
        <f t="shared" si="128"/>
        <v>293.33333333333769</v>
      </c>
      <c r="EO165" s="62">
        <f ca="1">AVERAGE(OFFSET($EN$3,0,0,'Données projet'!$E$15+1,1))-AVERAGE(OFFSET($H$3,0,0,'Données projet'!$E$15+1,1))</f>
        <v>301.18531163828169</v>
      </c>
      <c r="EP165" s="62">
        <f t="shared" si="154"/>
        <v>192.30530273268101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31.633200020704894</v>
      </c>
      <c r="EW165" s="23">
        <f>EXP(-LN(2)/25)*EW164+(1-EXP(-LN(2)/25))/(LN(2)/25)*Calculateur!ER165*Calculateur!ET165*VLOOKUP('Données projet'!$B$15,Paramètres!$A$1:$I$89,3,0)*0.475*44/12</f>
        <v>1.3944228846978342</v>
      </c>
      <c r="EX165" s="23">
        <f>EXP(-LN(2)/2)*EX164+(1-EXP(-LN(2)/2))/(LN(2)/2)*ER165*EU165*VLOOKUP('Données projet'!$B$15,Paramètres!$A$1:$I$89,3,0)*0.475*44/12</f>
        <v>2.8123766296916369E-14</v>
      </c>
      <c r="EY165" s="24">
        <f t="shared" si="181"/>
        <v>33.027622905402758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1.7053025658242404E-13</v>
      </c>
      <c r="FF165" s="18">
        <f>FE165*VLOOKUP('Données projet'!$B$16,Paramètres!$A$1:$I$89,3,0)*VLOOKUP('Données projet'!$B$16,Paramètres!$A$1:$I$89,5,0)</f>
        <v>1.3301360013429075E-13</v>
      </c>
      <c r="FG165" s="14">
        <f t="shared" si="182"/>
        <v>1.9329766731057041E-12</v>
      </c>
      <c r="FH165" s="22">
        <f t="shared" si="183"/>
        <v>3.5982663925596575E-12</v>
      </c>
      <c r="FI165" s="62">
        <f t="shared" si="131"/>
        <v>293.3333333333369</v>
      </c>
      <c r="FJ165" s="62">
        <f ca="1">AVERAGE(OFFSET($FI$3,0,0,'Données projet'!$E$16+1,1))-AVERAGE(OFFSET($H$3,0,0,'Données projet'!$E$16+1,1))</f>
        <v>249.2899297828755</v>
      </c>
      <c r="FK165" s="62">
        <f t="shared" si="156"/>
        <v>162.88011837476813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25.510645177987822</v>
      </c>
      <c r="FR165" s="23">
        <f>EXP(-LN(2)/25)*FR164+(1-EXP(-LN(2)/25))/(LN(2)/25)*Calculateur!FM165*Calculateur!FO165*VLOOKUP('Données projet'!$B$16,Paramètres!$A$1:$I$89,3,0)*0.475*44/12</f>
        <v>1.1245345844337351</v>
      </c>
      <c r="FS165" s="23">
        <f>EXP(-LN(2)/2)*FS164+(1-EXP(-LN(2)/2))/(LN(2)/2)*FM165*FP165*VLOOKUP('Données projet'!$B$16,Paramètres!$A$1:$I$89,3,0)*0.475*44/12</f>
        <v>2.2680456691061415E-14</v>
      </c>
      <c r="FT165" s="24">
        <f t="shared" si="184"/>
        <v>26.635179762421579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1.7053025658242404E-13</v>
      </c>
      <c r="GA165" s="18">
        <f>FZ165*VLOOKUP('Données projet'!$B$17,Paramètres!$A$1:$I$89,3,0)*VLOOKUP('Données projet'!$B$17,Paramètres!$A$1:$I$89,5,0)</f>
        <v>1.1439169611549005E-13</v>
      </c>
      <c r="GB165" s="14">
        <f t="shared" si="185"/>
        <v>1.6918016515029816E-12</v>
      </c>
      <c r="GC165" s="22">
        <f t="shared" si="186"/>
        <v>3.1457867471021712E-12</v>
      </c>
      <c r="GD165" s="62">
        <f t="shared" si="134"/>
        <v>293.33333333333644</v>
      </c>
      <c r="GE165" s="62">
        <f ca="1">AVERAGE(OFFSET($GD$3,0,0,'Données projet'!$E$17+1,1))-AVERAGE(OFFSET($H$3,0,0,'Données projet'!$E$17+1,1))</f>
        <v>218.89895999738746</v>
      </c>
      <c r="GF165" s="62">
        <f t="shared" si="158"/>
        <v>145.64042897395763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27.04128388866706</v>
      </c>
      <c r="GM165" s="23">
        <f>EXP(-LN(2)/25)*GM164+(1-EXP(-LN(2)/25))/(LN(2)/25)*Calculateur!GH165*Calculateur!GJ165*VLOOKUP('Données projet'!$B$17,Paramètres!$A$1:$I$89,3,0)*0.475*44/12</f>
        <v>1.1920066594997609</v>
      </c>
      <c r="GN165" s="23">
        <f>EXP(-LN(2)/2)*GN164+(1-EXP(-LN(2)/2))/(LN(2)/2)*GH165*GK165*VLOOKUP('Données projet'!$B$17,Paramètres!$A$1:$I$89,3,0)*0.475*44/12</f>
        <v>1.950519275431297E-14</v>
      </c>
      <c r="GO165" s="23">
        <f t="shared" si="187"/>
        <v>28.233290548166838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1.7053025658242404E-13</v>
      </c>
      <c r="GV165" s="18">
        <f>GU165*VLOOKUP('Données projet'!$B$18,Paramètres!$A$1:$I$89,3,0)*VLOOKUP('Données projet'!$B$18,Paramètres!$A$1:$I$89,5,0)</f>
        <v>1.8355876818532125E-13</v>
      </c>
      <c r="GW165" s="14">
        <f t="shared" si="188"/>
        <v>2.5693529898865504E-12</v>
      </c>
      <c r="GX165" s="22">
        <f t="shared" si="189"/>
        <v>4.7946546453085093E-12</v>
      </c>
      <c r="GY165" s="62">
        <f t="shared" si="137"/>
        <v>293.33333333333809</v>
      </c>
      <c r="GZ165" s="62">
        <f ca="1">AVERAGE(OFFSET($GY$3,0,0,'Données projet'!$E$18+1,1))-AVERAGE(OFFSET($H$3,0,0,'Données projet'!$E$18+1,1))</f>
        <v>331.3579800635751</v>
      </c>
      <c r="HA165" s="62">
        <f t="shared" si="160"/>
        <v>209.40702003535273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35.204690345623177</v>
      </c>
      <c r="HH165" s="23">
        <f>EXP(-LN(2)/25)*HH164+(1-EXP(-LN(2)/25))/(LN(2)/25)*Calculateur!HC165*Calculateur!HE165*VLOOKUP('Données projet'!$B$18,Paramètres!$A$1:$I$89,3,0)*0.475*44/12</f>
        <v>1.5518577265185571</v>
      </c>
      <c r="HI165" s="23">
        <f>EXP(-LN(2)/2)*HI164+(1-EXP(-LN(2)/2))/(LN(2)/2)*HC165*HF165*VLOOKUP('Données projet'!$B$18,Paramètres!$A$1:$I$89,3,0)*0.475*44/12</f>
        <v>3.129903023366476E-14</v>
      </c>
      <c r="HJ165" s="24">
        <f t="shared" si="190"/>
        <v>36.756548072141761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5.0022208597511053E-12</v>
      </c>
      <c r="O166" s="14">
        <f>N166*VLOOKUP('Données projet'!$B$9,Paramètres!$A$1:$I$89,3,0)*VLOOKUP('Données projet'!$B$9,Paramètres!$A$1:$I$89,5,0)</f>
        <v>4.5260094339028E-12</v>
      </c>
      <c r="P166" s="14">
        <f t="shared" si="141"/>
        <v>4.3625683148570328E-11</v>
      </c>
      <c r="Q166" s="22">
        <f t="shared" si="162"/>
        <v>8.3864197914474037E-11</v>
      </c>
      <c r="R166" s="62">
        <f t="shared" si="109"/>
        <v>293.33333333341716</v>
      </c>
      <c r="S166" s="62">
        <f ca="1">AVERAGE(OFFSET($R$3,0,0,'Données projet'!$E$9+1,1))-AVERAGE(OFFSET($H$3,0,0,'Données projet'!$E$9+1,1))</f>
        <v>2472.5049373954762</v>
      </c>
      <c r="T166" s="62">
        <f t="shared" si="142"/>
        <v>286.98388307318311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1104.4358361655206</v>
      </c>
      <c r="AA166" s="23">
        <f>EXP(-LN(2)/25)*AA165+(1-EXP(-LN(2)/25))/(LN(2)/25)*Calculateur!V166*Calculateur!X166*VLOOKUP('Données projet'!$B$9,Paramètres!$A$1:$I$89,3,0)*0.475*44/12</f>
        <v>46.309108587366325</v>
      </c>
      <c r="AB166" s="23">
        <f>EXP(-LN(2)/2)*AB165+(1-EXP(-LN(2)/2))/(LN(2)/2)*V166*Y166*VLOOKUP('Données projet'!$B$9,Paramètres!$A$1:$I$89,3,0)*0.475*44/12</f>
        <v>7.1269724988151387E-2</v>
      </c>
      <c r="AC166" s="24">
        <f t="shared" si="163"/>
        <v>1150.8162144778751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5.0022208597511053E-12</v>
      </c>
      <c r="AJ166" s="14">
        <f>AI166*VLOOKUP('Données projet'!$B$10,Paramètres!$A$1:$I$89,3,0)*VLOOKUP('Données projet'!$B$10,Paramètres!$A$1:$I$89,5,0)</f>
        <v>5.0722519517876216E-12</v>
      </c>
      <c r="AK166" s="14">
        <f t="shared" si="164"/>
        <v>4.8246688221215311E-11</v>
      </c>
      <c r="AL166" s="22">
        <f t="shared" si="165"/>
        <v>9.2863820801313432E-11</v>
      </c>
      <c r="AM166" s="62">
        <f t="shared" si="113"/>
        <v>293.3333333334262</v>
      </c>
      <c r="AN166" s="62">
        <f ca="1">AVERAGE(OFFSET($AM$3,0,0,'Données projet'!$E$10+1,1))-AVERAGE(OFFSET($H$3,0,0,'Données projet'!$E$10+1,1))</f>
        <v>2761.1400657295467</v>
      </c>
      <c r="AO166" s="62">
        <f t="shared" si="144"/>
        <v>316.41877504316409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1237.7298163923936</v>
      </c>
      <c r="AV166" s="23">
        <f>EXP(-LN(2)/25)*AV165+(1-EXP(-LN(2)/25))/(LN(2)/25)*Calculateur!AQ166*Calculateur!AS166*VLOOKUP('Données projet'!$B$10,Paramètres!$A$1:$I$89,3,0)*0.475*44/12</f>
        <v>51.898138934117462</v>
      </c>
      <c r="AW166" s="23">
        <f>EXP(-LN(2)/2)*AW165+(1-EXP(-LN(2)/2))/(LN(2)/2)*AQ166*AT166*VLOOKUP('Données projet'!$B$10,Paramètres!$A$1:$I$89,3,0)*0.475*44/12</f>
        <v>7.9871243521204158E-2</v>
      </c>
      <c r="AX166" s="23">
        <f t="shared" si="166"/>
        <v>1289.7078265700322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5.0022208597511053E-12</v>
      </c>
      <c r="BE166" s="14">
        <f>BD166*VLOOKUP('Données projet'!$B$11,Paramètres!$A$1:$I$89,3,0)*VLOOKUP('Données projet'!$B$11,Paramètres!$A$1:$I$89,5,0)</f>
        <v>5.2283212426118558E-12</v>
      </c>
      <c r="BF166" s="14">
        <f t="shared" si="167"/>
        <v>4.9556081821365385E-11</v>
      </c>
      <c r="BG166" s="22">
        <f t="shared" si="168"/>
        <v>9.5416168669760364E-11</v>
      </c>
      <c r="BH166" s="62">
        <f t="shared" si="116"/>
        <v>293.33333333342875</v>
      </c>
      <c r="BI166" s="62">
        <f ca="1">AVERAGE(OFFSET($BH$3,0,0,'Données projet'!$E$11+1,1))-AVERAGE(OFFSET($H$3,0,0,'Données projet'!$E$11+1,1))</f>
        <v>2843.5086223152098</v>
      </c>
      <c r="BJ166" s="62">
        <f t="shared" si="146"/>
        <v>324.81562437645522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1275.8138107429288</v>
      </c>
      <c r="BQ166" s="23">
        <f>EXP(-LN(2)/25)*BQ165+(1-EXP(-LN(2)/25))/(LN(2)/25)*Calculateur!BL166*Calculateur!BN166*VLOOKUP('Données projet'!$B$11,Paramètres!$A$1:$I$89,3,0)*0.475*44/12</f>
        <v>53.495004747474923</v>
      </c>
      <c r="BR166" s="23">
        <f>EXP(-LN(2)/2)*BR165+(1-EXP(-LN(2)/2))/(LN(2)/2)*BL166*BO166*VLOOKUP('Données projet'!$B$11,Paramètres!$A$1:$I$89,3,0)*0.475*44/12</f>
        <v>8.2328820244933584E-2</v>
      </c>
      <c r="BS166" s="24">
        <f t="shared" si="169"/>
        <v>1329.3911443106488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5.0022208597511053E-12</v>
      </c>
      <c r="BZ166" s="14">
        <f>BY166*VLOOKUP('Données projet'!$B$12,Paramètres!$A$1:$I$89,3,0)*VLOOKUP('Données projet'!$B$12,Paramètres!$A$1:$I$89,5,0)</f>
        <v>4.9942173063755036E-12</v>
      </c>
      <c r="CA166" s="14">
        <f t="shared" si="170"/>
        <v>4.7590239529202817E-11</v>
      </c>
      <c r="CB166" s="22">
        <f t="shared" si="171"/>
        <v>9.1584595655298897E-11</v>
      </c>
      <c r="CC166" s="62">
        <f t="shared" si="119"/>
        <v>293.33333333342489</v>
      </c>
      <c r="CD166" s="62">
        <f ca="1">AVERAGE(OFFSET($CC$3,0,0,'Données projet'!$E$12+1,1))-AVERAGE(OFFSET($H$3,0,0,'Données projet'!$E$12+1,1))</f>
        <v>2719.939926994799</v>
      </c>
      <c r="CE166" s="62">
        <f t="shared" si="148"/>
        <v>312.21824046329749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1218.6878192171264</v>
      </c>
      <c r="CL166" s="23">
        <f>EXP(-LN(2)/25)*CL165+(1-EXP(-LN(2)/25))/(LN(2)/25)*Calculateur!CG166*Calculateur!CI166*VLOOKUP('Données projet'!$B$12,Paramètres!$A$1:$I$89,3,0)*0.475*44/12</f>
        <v>51.099706027438721</v>
      </c>
      <c r="CM166" s="23">
        <f>EXP(-LN(2)/2)*CM165+(1-EXP(-LN(2)/2))/(LN(2)/2)*CG166*CJ166*VLOOKUP('Données projet'!$B$12,Paramètres!$A$1:$I$89,3,0)*0.475*44/12</f>
        <v>7.8642455159339431E-2</v>
      </c>
      <c r="CN166" s="24">
        <f t="shared" si="172"/>
        <v>1269.8661676997244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1.1368683772161603E-12</v>
      </c>
      <c r="CU166" s="18">
        <f>CT166*VLOOKUP('Données projet'!$B$13,Paramètres!$A$1:$I$89,3,0)*VLOOKUP('Données projet'!$B$13,Paramètres!$A$1:$I$89,5,0)</f>
        <v>9.9316821433603771E-13</v>
      </c>
      <c r="CV166" s="14">
        <f t="shared" si="173"/>
        <v>1.1421454694498936E-11</v>
      </c>
      <c r="CW166" s="22">
        <f t="shared" si="174"/>
        <v>2.1622134899554243E-11</v>
      </c>
      <c r="CX166" s="62">
        <f t="shared" si="122"/>
        <v>293.33333333335491</v>
      </c>
      <c r="CY166" s="62">
        <f ca="1">AVERAGE(OFFSET($CX$3,0,0,'Données projet'!$E$13+1,1))-AVERAGE(OFFSET($H$3,0,0,'Données projet'!$E$13+1,1))</f>
        <v>1036.0130072090849</v>
      </c>
      <c r="CZ166" s="62">
        <f t="shared" si="150"/>
        <v>346.56593355696174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129.41857943866268</v>
      </c>
      <c r="DG166" s="23">
        <f>EXP(-LN(2)/25)*DG165+(1-EXP(-LN(2)/25))/(LN(2)/25)*Calculateur!DB166*Calculateur!DD166*VLOOKUP('Données projet'!$B$13,Paramètres!$A$1:$I$89,3,0)*0.475*44/12</f>
        <v>4.2378107005610426</v>
      </c>
      <c r="DH166" s="23">
        <f>EXP(-LN(2)/2)*DH165+(1-EXP(-LN(2)/2))/(LN(2)/2)*DB166*DE166*VLOOKUP('Données projet'!$B$13,Paramètres!$A$1:$I$89,3,0)*0.475*44/12</f>
        <v>2.9060532315112565E-11</v>
      </c>
      <c r="DI166" s="24">
        <f t="shared" si="175"/>
        <v>133.65639013925278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6.8212102632969618E-13</v>
      </c>
      <c r="DP166" s="18">
        <f>DO166*VLOOKUP('Données projet'!$B$14,Paramètres!$A$1:$I$89,3,0)*VLOOKUP('Données projet'!$B$14,Paramètres!$A$1:$I$89,5,0)</f>
        <v>3.8130565371830017E-13</v>
      </c>
      <c r="DQ166" s="14">
        <f t="shared" si="176"/>
        <v>4.9019074112354236E-12</v>
      </c>
      <c r="DR166" s="22">
        <f t="shared" si="177"/>
        <v>9.2015960881277352E-12</v>
      </c>
      <c r="DS166" s="62">
        <f t="shared" si="125"/>
        <v>293.33333333334252</v>
      </c>
      <c r="DT166" s="62">
        <f ca="1">AVERAGE(OFFSET($DS$3,0,0,'Données projet'!$E$14+1,1))-AVERAGE(OFFSET($H$3,0,0,'Données projet'!$E$14+1,1))</f>
        <v>446.48069057792151</v>
      </c>
      <c r="DU166" s="62">
        <f t="shared" si="152"/>
        <v>561.75656782935948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24.01521152563636</v>
      </c>
      <c r="EB166" s="23">
        <f>EXP(-LN(2)/25)*EB165+(1-EXP(-LN(2)/25))/(LN(2)/25)*Calculateur!DW166*Calculateur!DY166*VLOOKUP('Données projet'!$B$14,Paramètres!$A$1:$I$89,3,0)*0.475*44/12</f>
        <v>4.6604406133631509</v>
      </c>
      <c r="EC166" s="23">
        <f>EXP(-LN(2)/2)*EC165+(1-EXP(-LN(2)/2))/(LN(2)/2)*DW166*DZ166*VLOOKUP('Données projet'!$B$14,Paramètres!$A$1:$I$89,3,0)*0.475*44/12</f>
        <v>4.2136625294177603E-14</v>
      </c>
      <c r="ED166" s="24">
        <f t="shared" si="178"/>
        <v>28.675652138999553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1.7053025658242404E-13</v>
      </c>
      <c r="EK166" s="18">
        <f>EJ166*VLOOKUP('Données projet'!$B$15,Paramètres!$A$1:$I$89,3,0)*VLOOKUP('Données projet'!$B$15,Paramètres!$A$1:$I$89,5,0)</f>
        <v>1.6493686416652052E-13</v>
      </c>
      <c r="EL166" s="14">
        <f t="shared" si="179"/>
        <v>2.3376205369651282E-12</v>
      </c>
      <c r="EM166" s="22">
        <f t="shared" si="180"/>
        <v>4.3586208069709543E-12</v>
      </c>
      <c r="EN166" s="62">
        <f t="shared" si="128"/>
        <v>293.33333333333769</v>
      </c>
      <c r="EO166" s="62">
        <f ca="1">AVERAGE(OFFSET($EN$3,0,0,'Données projet'!$E$15+1,1))-AVERAGE(OFFSET($H$3,0,0,'Données projet'!$E$15+1,1))</f>
        <v>301.18531163828169</v>
      </c>
      <c r="EP166" s="62">
        <f t="shared" si="154"/>
        <v>192.30530273268101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31.012892262645725</v>
      </c>
      <c r="EW166" s="23">
        <f>EXP(-LN(2)/25)*EW165+(1-EXP(-LN(2)/25))/(LN(2)/25)*Calculateur!ER166*Calculateur!ET166*VLOOKUP('Données projet'!$B$15,Paramètres!$A$1:$I$89,3,0)*0.475*44/12</f>
        <v>1.3562923175862593</v>
      </c>
      <c r="EX166" s="23">
        <f>EXP(-LN(2)/2)*EX165+(1-EXP(-LN(2)/2))/(LN(2)/2)*ER166*EU166*VLOOKUP('Données projet'!$B$15,Paramètres!$A$1:$I$89,3,0)*0.475*44/12</f>
        <v>1.9886505861055246E-14</v>
      </c>
      <c r="EY166" s="24">
        <f t="shared" si="181"/>
        <v>32.369184580232009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1.7053025658242404E-13</v>
      </c>
      <c r="FF166" s="18">
        <f>FE166*VLOOKUP('Données projet'!$B$16,Paramètres!$A$1:$I$89,3,0)*VLOOKUP('Données projet'!$B$16,Paramètres!$A$1:$I$89,5,0)</f>
        <v>1.3301360013429075E-13</v>
      </c>
      <c r="FG166" s="14">
        <f t="shared" si="182"/>
        <v>1.9329766731057041E-12</v>
      </c>
      <c r="FH166" s="22">
        <f t="shared" si="183"/>
        <v>3.5982663925596575E-12</v>
      </c>
      <c r="FI166" s="62">
        <f t="shared" si="131"/>
        <v>293.3333333333369</v>
      </c>
      <c r="FJ166" s="62">
        <f ca="1">AVERAGE(OFFSET($FI$3,0,0,'Données projet'!$E$16+1,1))-AVERAGE(OFFSET($H$3,0,0,'Données projet'!$E$16+1,1))</f>
        <v>249.2899297828755</v>
      </c>
      <c r="FK166" s="62">
        <f t="shared" si="156"/>
        <v>162.88011837476813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25.010396986004622</v>
      </c>
      <c r="FR166" s="23">
        <f>EXP(-LN(2)/25)*FR165+(1-EXP(-LN(2)/25))/(LN(2)/25)*Calculateur!FM166*Calculateur!FO166*VLOOKUP('Données projet'!$B$16,Paramètres!$A$1:$I$89,3,0)*0.475*44/12</f>
        <v>1.0937841270856909</v>
      </c>
      <c r="FS166" s="23">
        <f>EXP(-LN(2)/2)*FS165+(1-EXP(-LN(2)/2))/(LN(2)/2)*FM166*FP166*VLOOKUP('Données projet'!$B$16,Paramètres!$A$1:$I$89,3,0)*0.475*44/12</f>
        <v>1.6037504726657331E-14</v>
      </c>
      <c r="FT166" s="24">
        <f t="shared" si="184"/>
        <v>26.104181113090331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1.7053025658242404E-13</v>
      </c>
      <c r="GA166" s="18">
        <f>FZ166*VLOOKUP('Données projet'!$B$17,Paramètres!$A$1:$I$89,3,0)*VLOOKUP('Données projet'!$B$17,Paramètres!$A$1:$I$89,5,0)</f>
        <v>1.1439169611549005E-13</v>
      </c>
      <c r="GB166" s="14">
        <f t="shared" si="185"/>
        <v>1.6918016515029816E-12</v>
      </c>
      <c r="GC166" s="22">
        <f t="shared" si="186"/>
        <v>3.1457867471021712E-12</v>
      </c>
      <c r="GD166" s="62">
        <f t="shared" si="134"/>
        <v>293.33333333333644</v>
      </c>
      <c r="GE166" s="62">
        <f ca="1">AVERAGE(OFFSET($GD$3,0,0,'Données projet'!$E$17+1,1))-AVERAGE(OFFSET($H$3,0,0,'Données projet'!$E$17+1,1))</f>
        <v>218.89895999738746</v>
      </c>
      <c r="GF166" s="62">
        <f t="shared" si="158"/>
        <v>145.64042897395763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26.511020805164868</v>
      </c>
      <c r="GM166" s="23">
        <f>EXP(-LN(2)/25)*GM165+(1-EXP(-LN(2)/25))/(LN(2)/25)*Calculateur!GH166*Calculateur!GJ166*VLOOKUP('Données projet'!$B$17,Paramètres!$A$1:$I$89,3,0)*0.475*44/12</f>
        <v>1.1594111747108342</v>
      </c>
      <c r="GN166" s="23">
        <f>EXP(-LN(2)/2)*GN165+(1-EXP(-LN(2)/2))/(LN(2)/2)*GH166*GK166*VLOOKUP('Données projet'!$B$17,Paramètres!$A$1:$I$89,3,0)*0.475*44/12</f>
        <v>1.3792254064925414E-14</v>
      </c>
      <c r="GO166" s="23">
        <f t="shared" si="187"/>
        <v>27.670431979875715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1.7053025658242404E-13</v>
      </c>
      <c r="GV166" s="18">
        <f>GU166*VLOOKUP('Données projet'!$B$18,Paramètres!$A$1:$I$89,3,0)*VLOOKUP('Données projet'!$B$18,Paramètres!$A$1:$I$89,5,0)</f>
        <v>1.8355876818532125E-13</v>
      </c>
      <c r="GW166" s="14">
        <f t="shared" si="188"/>
        <v>2.5693529898865504E-12</v>
      </c>
      <c r="GX166" s="22">
        <f t="shared" si="189"/>
        <v>4.7946546453085093E-12</v>
      </c>
      <c r="GY166" s="62">
        <f t="shared" si="137"/>
        <v>293.33333333333809</v>
      </c>
      <c r="GZ166" s="62">
        <f ca="1">AVERAGE(OFFSET($GY$3,0,0,'Données projet'!$E$18+1,1))-AVERAGE(OFFSET($H$3,0,0,'Données projet'!$E$18+1,1))</f>
        <v>331.3579800635751</v>
      </c>
      <c r="HA166" s="62">
        <f t="shared" si="160"/>
        <v>209.40702003535273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34.514347840686362</v>
      </c>
      <c r="HH166" s="23">
        <f>EXP(-LN(2)/25)*HH165+(1-EXP(-LN(2)/25))/(LN(2)/25)*Calculateur!HC166*Calculateur!HE166*VLOOKUP('Données projet'!$B$18,Paramètres!$A$1:$I$89,3,0)*0.475*44/12</f>
        <v>1.5094220953782562</v>
      </c>
      <c r="HI166" s="23">
        <f>EXP(-LN(2)/2)*HI165+(1-EXP(-LN(2)/2))/(LN(2)/2)*HC166*HF166*VLOOKUP('Données projet'!$B$18,Paramètres!$A$1:$I$89,3,0)*0.475*44/12</f>
        <v>2.2131756522787123E-14</v>
      </c>
      <c r="HJ166" s="24">
        <f t="shared" si="190"/>
        <v>36.023769936064639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5.0022208597511053E-12</v>
      </c>
      <c r="O167" s="14">
        <f>N167*VLOOKUP('Données projet'!$B$9,Paramètres!$A$1:$I$89,3,0)*VLOOKUP('Données projet'!$B$9,Paramètres!$A$1:$I$89,5,0)</f>
        <v>4.5260094339028E-12</v>
      </c>
      <c r="P167" s="14">
        <f t="shared" si="141"/>
        <v>4.3625683148570328E-11</v>
      </c>
      <c r="Q167" s="22">
        <f t="shared" si="162"/>
        <v>8.3864197914474037E-11</v>
      </c>
      <c r="R167" s="62">
        <f t="shared" si="109"/>
        <v>293.33333333341716</v>
      </c>
      <c r="S167" s="62">
        <f ca="1">AVERAGE(OFFSET($R$3,0,0,'Données projet'!$E$9+1,1))-AVERAGE(OFFSET($H$3,0,0,'Données projet'!$E$9+1,1))</f>
        <v>2472.5049373954762</v>
      </c>
      <c r="T167" s="62">
        <f t="shared" si="142"/>
        <v>286.98388307318311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1082.7785230576585</v>
      </c>
      <c r="AA167" s="23">
        <f>EXP(-LN(2)/25)*AA166+(1-EXP(-LN(2)/25))/(LN(2)/25)*Calculateur!V167*Calculateur!X167*VLOOKUP('Données projet'!$B$9,Paramètres!$A$1:$I$89,3,0)*0.475*44/12</f>
        <v>45.042783577754612</v>
      </c>
      <c r="AB167" s="23">
        <f>EXP(-LN(2)/2)*AB166+(1-EXP(-LN(2)/2))/(LN(2)/2)*V167*Y167*VLOOKUP('Données projet'!$B$9,Paramètres!$A$1:$I$89,3,0)*0.475*44/12</f>
        <v>5.0395305832422181E-2</v>
      </c>
      <c r="AC167" s="24">
        <f t="shared" si="163"/>
        <v>1127.8717019412454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5.0022208597511053E-12</v>
      </c>
      <c r="AJ167" s="14">
        <f>AI167*VLOOKUP('Données projet'!$B$10,Paramètres!$A$1:$I$89,3,0)*VLOOKUP('Données projet'!$B$10,Paramètres!$A$1:$I$89,5,0)</f>
        <v>5.0722519517876216E-12</v>
      </c>
      <c r="AK167" s="14">
        <f t="shared" si="164"/>
        <v>4.8246688221215311E-11</v>
      </c>
      <c r="AL167" s="22">
        <f t="shared" si="165"/>
        <v>9.2863820801313432E-11</v>
      </c>
      <c r="AM167" s="62">
        <f t="shared" si="113"/>
        <v>293.3333333334262</v>
      </c>
      <c r="AN167" s="62">
        <f ca="1">AVERAGE(OFFSET($AM$3,0,0,'Données projet'!$E$10+1,1))-AVERAGE(OFFSET($H$3,0,0,'Données projet'!$E$10+1,1))</f>
        <v>2761.1400657295467</v>
      </c>
      <c r="AO167" s="62">
        <f t="shared" si="144"/>
        <v>316.41877504316409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1213.4586896335825</v>
      </c>
      <c r="AV167" s="23">
        <f>EXP(-LN(2)/25)*AV166+(1-EXP(-LN(2)/25))/(LN(2)/25)*Calculateur!AQ167*Calculateur!AS167*VLOOKUP('Données projet'!$B$10,Paramètres!$A$1:$I$89,3,0)*0.475*44/12</f>
        <v>50.478981595759507</v>
      </c>
      <c r="AW167" s="23">
        <f>EXP(-LN(2)/2)*AW166+(1-EXP(-LN(2)/2))/(LN(2)/2)*AQ167*AT167*VLOOKUP('Données projet'!$B$10,Paramètres!$A$1:$I$89,3,0)*0.475*44/12</f>
        <v>5.6477497915645561E-2</v>
      </c>
      <c r="AX167" s="23">
        <f t="shared" si="166"/>
        <v>1263.9941487272577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5.0022208597511053E-12</v>
      </c>
      <c r="BE167" s="14">
        <f>BD167*VLOOKUP('Données projet'!$B$11,Paramètres!$A$1:$I$89,3,0)*VLOOKUP('Données projet'!$B$11,Paramètres!$A$1:$I$89,5,0)</f>
        <v>5.2283212426118558E-12</v>
      </c>
      <c r="BF167" s="14">
        <f t="shared" si="167"/>
        <v>4.9556081821365385E-11</v>
      </c>
      <c r="BG167" s="22">
        <f t="shared" si="168"/>
        <v>9.5416168669760364E-11</v>
      </c>
      <c r="BH167" s="62">
        <f t="shared" si="116"/>
        <v>293.33333333342875</v>
      </c>
      <c r="BI167" s="62">
        <f ca="1">AVERAGE(OFFSET($BH$3,0,0,'Données projet'!$E$11+1,1))-AVERAGE(OFFSET($H$3,0,0,'Données projet'!$E$11+1,1))</f>
        <v>2843.5086223152098</v>
      </c>
      <c r="BJ167" s="62">
        <f t="shared" si="146"/>
        <v>324.81562437645522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1250.7958800838467</v>
      </c>
      <c r="BQ167" s="23">
        <f>EXP(-LN(2)/25)*BQ166+(1-EXP(-LN(2)/25))/(LN(2)/25)*Calculateur!BL167*Calculateur!BN167*VLOOKUP('Données projet'!$B$11,Paramètres!$A$1:$I$89,3,0)*0.475*44/12</f>
        <v>52.032181029475183</v>
      </c>
      <c r="BR167" s="23">
        <f>EXP(-LN(2)/2)*BR166+(1-EXP(-LN(2)/2))/(LN(2)/2)*BL167*BO167*VLOOKUP('Données projet'!$B$11,Paramètres!$A$1:$I$89,3,0)*0.475*44/12</f>
        <v>5.8215267082280857E-2</v>
      </c>
      <c r="BS167" s="24">
        <f t="shared" si="169"/>
        <v>1302.8862763804041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5.0022208597511053E-12</v>
      </c>
      <c r="BZ167" s="14">
        <f>BY167*VLOOKUP('Données projet'!$B$12,Paramètres!$A$1:$I$89,3,0)*VLOOKUP('Données projet'!$B$12,Paramètres!$A$1:$I$89,5,0)</f>
        <v>4.9942173063755036E-12</v>
      </c>
      <c r="CA167" s="14">
        <f t="shared" si="170"/>
        <v>4.7590239529202817E-11</v>
      </c>
      <c r="CB167" s="22">
        <f t="shared" si="171"/>
        <v>9.1584595655298897E-11</v>
      </c>
      <c r="CC167" s="62">
        <f t="shared" si="119"/>
        <v>293.33333333342489</v>
      </c>
      <c r="CD167" s="62">
        <f ca="1">AVERAGE(OFFSET($CC$3,0,0,'Données projet'!$E$12+1,1))-AVERAGE(OFFSET($H$3,0,0,'Données projet'!$E$12+1,1))</f>
        <v>2719.939926994799</v>
      </c>
      <c r="CE167" s="62">
        <f t="shared" si="148"/>
        <v>312.21824046329749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1194.7900944084508</v>
      </c>
      <c r="CL167" s="23">
        <f>EXP(-LN(2)/25)*CL166+(1-EXP(-LN(2)/25))/(LN(2)/25)*Calculateur!CG167*Calculateur!CI167*VLOOKUP('Données projet'!$B$12,Paramètres!$A$1:$I$89,3,0)*0.475*44/12</f>
        <v>49.702381878901662</v>
      </c>
      <c r="CM167" s="23">
        <f>EXP(-LN(2)/2)*CM166+(1-EXP(-LN(2)/2))/(LN(2)/2)*CG167*CJ167*VLOOKUP('Données projet'!$B$12,Paramètres!$A$1:$I$89,3,0)*0.475*44/12</f>
        <v>5.5608613332327902E-2</v>
      </c>
      <c r="CN167" s="24">
        <f t="shared" si="172"/>
        <v>1244.5480849006849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1.1368683772161603E-12</v>
      </c>
      <c r="CU167" s="18">
        <f>CT167*VLOOKUP('Données projet'!$B$13,Paramètres!$A$1:$I$89,3,0)*VLOOKUP('Données projet'!$B$13,Paramètres!$A$1:$I$89,5,0)</f>
        <v>9.9316821433603771E-13</v>
      </c>
      <c r="CV167" s="14">
        <f t="shared" si="173"/>
        <v>1.1421454694498936E-11</v>
      </c>
      <c r="CW167" s="22">
        <f t="shared" si="174"/>
        <v>2.1622134899554243E-11</v>
      </c>
      <c r="CX167" s="62">
        <f t="shared" si="122"/>
        <v>293.33333333335491</v>
      </c>
      <c r="CY167" s="62">
        <f ca="1">AVERAGE(OFFSET($CX$3,0,0,'Données projet'!$E$13+1,1))-AVERAGE(OFFSET($H$3,0,0,'Données projet'!$E$13+1,1))</f>
        <v>1036.0130072090849</v>
      </c>
      <c r="CZ167" s="62">
        <f t="shared" si="150"/>
        <v>346.56593355696174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126.88076003340953</v>
      </c>
      <c r="DG167" s="23">
        <f>EXP(-LN(2)/25)*DG166+(1-EXP(-LN(2)/25))/(LN(2)/25)*Calculateur!DB167*Calculateur!DD167*VLOOKUP('Données projet'!$B$13,Paramètres!$A$1:$I$89,3,0)*0.475*44/12</f>
        <v>4.1219275440974217</v>
      </c>
      <c r="DH167" s="23">
        <f>EXP(-LN(2)/2)*DH166+(1-EXP(-LN(2)/2))/(LN(2)/2)*DB167*DE167*VLOOKUP('Données projet'!$B$13,Paramètres!$A$1:$I$89,3,0)*0.475*44/12</f>
        <v>2.0548899464906896E-11</v>
      </c>
      <c r="DI167" s="24">
        <f t="shared" si="175"/>
        <v>131.0026875775275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6.8212102632969618E-13</v>
      </c>
      <c r="DP167" s="18">
        <f>DO167*VLOOKUP('Données projet'!$B$14,Paramètres!$A$1:$I$89,3,0)*VLOOKUP('Données projet'!$B$14,Paramètres!$A$1:$I$89,5,0)</f>
        <v>3.8130565371830017E-13</v>
      </c>
      <c r="DQ167" s="14">
        <f t="shared" si="176"/>
        <v>4.9019074112354236E-12</v>
      </c>
      <c r="DR167" s="22">
        <f t="shared" si="177"/>
        <v>9.2015960881277352E-12</v>
      </c>
      <c r="DS167" s="62">
        <f t="shared" si="125"/>
        <v>293.33333333334252</v>
      </c>
      <c r="DT167" s="62">
        <f ca="1">AVERAGE(OFFSET($DS$3,0,0,'Données projet'!$E$14+1,1))-AVERAGE(OFFSET($H$3,0,0,'Données projet'!$E$14+1,1))</f>
        <v>446.48069057792151</v>
      </c>
      <c r="DU167" s="62">
        <f t="shared" si="152"/>
        <v>561.75656782935948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23.544287875451307</v>
      </c>
      <c r="EB167" s="23">
        <f>EXP(-LN(2)/25)*EB166+(1-EXP(-LN(2)/25))/(LN(2)/25)*Calculateur!DW167*Calculateur!DY167*VLOOKUP('Données projet'!$B$14,Paramètres!$A$1:$I$89,3,0)*0.475*44/12</f>
        <v>4.5330006197088153</v>
      </c>
      <c r="EC167" s="23">
        <f>EXP(-LN(2)/2)*EC166+(1-EXP(-LN(2)/2))/(LN(2)/2)*DW167*DZ167*VLOOKUP('Données projet'!$B$14,Paramètres!$A$1:$I$89,3,0)*0.475*44/12</f>
        <v>2.9795093481829586E-14</v>
      </c>
      <c r="ED167" s="24">
        <f t="shared" si="178"/>
        <v>28.07728849516015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1.7053025658242404E-13</v>
      </c>
      <c r="EK167" s="18">
        <f>EJ167*VLOOKUP('Données projet'!$B$15,Paramètres!$A$1:$I$89,3,0)*VLOOKUP('Données projet'!$B$15,Paramètres!$A$1:$I$89,5,0)</f>
        <v>1.6493686416652052E-13</v>
      </c>
      <c r="EL167" s="14">
        <f t="shared" si="179"/>
        <v>2.3376205369651282E-12</v>
      </c>
      <c r="EM167" s="22">
        <f t="shared" si="180"/>
        <v>4.3586208069709543E-12</v>
      </c>
      <c r="EN167" s="62">
        <f t="shared" si="128"/>
        <v>293.33333333333769</v>
      </c>
      <c r="EO167" s="62">
        <f ca="1">AVERAGE(OFFSET($EN$3,0,0,'Données projet'!$E$15+1,1))-AVERAGE(OFFSET($H$3,0,0,'Données projet'!$E$15+1,1))</f>
        <v>301.18531163828169</v>
      </c>
      <c r="EP167" s="62">
        <f t="shared" si="154"/>
        <v>192.30530273268101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30.404748361371723</v>
      </c>
      <c r="EW167" s="23">
        <f>EXP(-LN(2)/25)*EW166+(1-EXP(-LN(2)/25))/(LN(2)/25)*Calculateur!ER167*Calculateur!ET167*VLOOKUP('Données projet'!$B$15,Paramètres!$A$1:$I$89,3,0)*0.475*44/12</f>
        <v>1.3192044328375498</v>
      </c>
      <c r="EX167" s="23">
        <f>EXP(-LN(2)/2)*EX166+(1-EXP(-LN(2)/2))/(LN(2)/2)*ER167*EU167*VLOOKUP('Données projet'!$B$15,Paramètres!$A$1:$I$89,3,0)*0.475*44/12</f>
        <v>1.4061883148458188E-14</v>
      </c>
      <c r="EY167" s="24">
        <f t="shared" si="181"/>
        <v>31.723952794209289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1.7053025658242404E-13</v>
      </c>
      <c r="FF167" s="18">
        <f>FE167*VLOOKUP('Données projet'!$B$16,Paramètres!$A$1:$I$89,3,0)*VLOOKUP('Données projet'!$B$16,Paramètres!$A$1:$I$89,5,0)</f>
        <v>1.3301360013429075E-13</v>
      </c>
      <c r="FG167" s="14">
        <f t="shared" si="182"/>
        <v>1.9329766731057041E-12</v>
      </c>
      <c r="FH167" s="22">
        <f t="shared" si="183"/>
        <v>3.5982663925596575E-12</v>
      </c>
      <c r="FI167" s="62">
        <f t="shared" si="131"/>
        <v>293.3333333333369</v>
      </c>
      <c r="FJ167" s="62">
        <f ca="1">AVERAGE(OFFSET($FI$3,0,0,'Données projet'!$E$16+1,1))-AVERAGE(OFFSET($H$3,0,0,'Données projet'!$E$16+1,1))</f>
        <v>249.2899297828755</v>
      </c>
      <c r="FK167" s="62">
        <f t="shared" si="156"/>
        <v>162.88011837476813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24.519958355944944</v>
      </c>
      <c r="FR167" s="23">
        <f>EXP(-LN(2)/25)*FR166+(1-EXP(-LN(2)/25))/(LN(2)/25)*Calculateur!FM167*Calculateur!FO167*VLOOKUP('Données projet'!$B$16,Paramètres!$A$1:$I$89,3,0)*0.475*44/12</f>
        <v>1.0638745426109253</v>
      </c>
      <c r="FS167" s="23">
        <f>EXP(-LN(2)/2)*FS166+(1-EXP(-LN(2)/2))/(LN(2)/2)*FM167*FP167*VLOOKUP('Données projet'!$B$16,Paramètres!$A$1:$I$89,3,0)*0.475*44/12</f>
        <v>1.1340228345530707E-14</v>
      </c>
      <c r="FT167" s="24">
        <f t="shared" si="184"/>
        <v>25.58383289855588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1.7053025658242404E-13</v>
      </c>
      <c r="GA167" s="18">
        <f>FZ167*VLOOKUP('Données projet'!$B$17,Paramètres!$A$1:$I$89,3,0)*VLOOKUP('Données projet'!$B$17,Paramètres!$A$1:$I$89,5,0)</f>
        <v>1.1439169611549005E-13</v>
      </c>
      <c r="GB167" s="14">
        <f t="shared" si="185"/>
        <v>1.6918016515029816E-12</v>
      </c>
      <c r="GC167" s="22">
        <f t="shared" si="186"/>
        <v>3.1457867471021712E-12</v>
      </c>
      <c r="GD167" s="62">
        <f t="shared" si="134"/>
        <v>293.33333333333644</v>
      </c>
      <c r="GE167" s="62">
        <f ca="1">AVERAGE(OFFSET($GD$3,0,0,'Données projet'!$E$17+1,1))-AVERAGE(OFFSET($H$3,0,0,'Données projet'!$E$17+1,1))</f>
        <v>218.89895999738746</v>
      </c>
      <c r="GF167" s="62">
        <f t="shared" si="158"/>
        <v>145.64042897395763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25.99115585730161</v>
      </c>
      <c r="GM167" s="23">
        <f>EXP(-LN(2)/25)*GM166+(1-EXP(-LN(2)/25))/(LN(2)/25)*Calculateur!GH167*Calculateur!GJ167*VLOOKUP('Données projet'!$B$17,Paramètres!$A$1:$I$89,3,0)*0.475*44/12</f>
        <v>1.1277070151675825</v>
      </c>
      <c r="GN167" s="23">
        <f>EXP(-LN(2)/2)*GN166+(1-EXP(-LN(2)/2))/(LN(2)/2)*GH167*GK167*VLOOKUP('Données projet'!$B$17,Paramètres!$A$1:$I$89,3,0)*0.475*44/12</f>
        <v>9.7525963771564868E-15</v>
      </c>
      <c r="GO167" s="23">
        <f t="shared" si="187"/>
        <v>27.118862872469204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1.7053025658242404E-13</v>
      </c>
      <c r="GV167" s="18">
        <f>GU167*VLOOKUP('Données projet'!$B$18,Paramètres!$A$1:$I$89,3,0)*VLOOKUP('Données projet'!$B$18,Paramètres!$A$1:$I$89,5,0)</f>
        <v>1.8355876818532125E-13</v>
      </c>
      <c r="GW167" s="14">
        <f t="shared" si="188"/>
        <v>2.5693529898865504E-12</v>
      </c>
      <c r="GX167" s="22">
        <f t="shared" si="189"/>
        <v>4.7946546453085093E-12</v>
      </c>
      <c r="GY167" s="62">
        <f t="shared" si="137"/>
        <v>293.33333333333809</v>
      </c>
      <c r="GZ167" s="62">
        <f ca="1">AVERAGE(OFFSET($GY$3,0,0,'Données projet'!$E$18+1,1))-AVERAGE(OFFSET($H$3,0,0,'Données projet'!$E$18+1,1))</f>
        <v>331.3579800635751</v>
      </c>
      <c r="HA167" s="62">
        <f t="shared" si="160"/>
        <v>209.40702003535273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33.837542531204008</v>
      </c>
      <c r="HH167" s="23">
        <f>EXP(-LN(2)/25)*HH166+(1-EXP(-LN(2)/25))/(LN(2)/25)*Calculateur!HC167*Calculateur!HE167*VLOOKUP('Données projet'!$B$18,Paramètres!$A$1:$I$89,3,0)*0.475*44/12</f>
        <v>1.4681468688030797</v>
      </c>
      <c r="HI167" s="23">
        <f>EXP(-LN(2)/2)*HI166+(1-EXP(-LN(2)/2))/(LN(2)/2)*HC167*HF167*VLOOKUP('Données projet'!$B$18,Paramètres!$A$1:$I$89,3,0)*0.475*44/12</f>
        <v>1.564951511683238E-14</v>
      </c>
      <c r="HJ167" s="24">
        <f t="shared" si="190"/>
        <v>35.305689400007104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5.0022208597511053E-12</v>
      </c>
      <c r="O168" s="14">
        <f>N168*VLOOKUP('Données projet'!$B$9,Paramètres!$A$1:$I$89,3,0)*VLOOKUP('Données projet'!$B$9,Paramètres!$A$1:$I$89,5,0)</f>
        <v>4.5260094339028E-12</v>
      </c>
      <c r="P168" s="14">
        <f t="shared" si="141"/>
        <v>4.3625683148570328E-11</v>
      </c>
      <c r="Q168" s="22">
        <f t="shared" si="162"/>
        <v>8.3864197914474037E-11</v>
      </c>
      <c r="R168" s="62">
        <f t="shared" si="109"/>
        <v>293.33333333341716</v>
      </c>
      <c r="S168" s="62">
        <f ca="1">AVERAGE(OFFSET($R$3,0,0,'Données projet'!$E$9+1,1))-AVERAGE(OFFSET($H$3,0,0,'Données projet'!$E$9+1,1))</f>
        <v>2472.5049373954762</v>
      </c>
      <c r="T168" s="62">
        <f t="shared" si="142"/>
        <v>286.98388307318311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1061.5458966501849</v>
      </c>
      <c r="AA168" s="23">
        <f>EXP(-LN(2)/25)*AA167+(1-EXP(-LN(2)/25))/(LN(2)/25)*Calculateur!V168*Calculateur!X168*VLOOKUP('Données projet'!$B$9,Paramètres!$A$1:$I$89,3,0)*0.475*44/12</f>
        <v>43.811086292123868</v>
      </c>
      <c r="AB168" s="23">
        <f>EXP(-LN(2)/2)*AB167+(1-EXP(-LN(2)/2))/(LN(2)/2)*V168*Y168*VLOOKUP('Données projet'!$B$9,Paramètres!$A$1:$I$89,3,0)*0.475*44/12</f>
        <v>3.5634862494075693E-2</v>
      </c>
      <c r="AC168" s="24">
        <f t="shared" si="163"/>
        <v>1105.392617804803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5.0022208597511053E-12</v>
      </c>
      <c r="AJ168" s="14">
        <f>AI168*VLOOKUP('Données projet'!$B$10,Paramètres!$A$1:$I$89,3,0)*VLOOKUP('Données projet'!$B$10,Paramètres!$A$1:$I$89,5,0)</f>
        <v>5.0722519517876216E-12</v>
      </c>
      <c r="AK168" s="14">
        <f t="shared" si="164"/>
        <v>4.8246688221215311E-11</v>
      </c>
      <c r="AL168" s="22">
        <f t="shared" si="165"/>
        <v>9.2863820801313432E-11</v>
      </c>
      <c r="AM168" s="62">
        <f t="shared" si="113"/>
        <v>293.3333333334262</v>
      </c>
      <c r="AN168" s="62">
        <f ca="1">AVERAGE(OFFSET($AM$3,0,0,'Données projet'!$E$10+1,1))-AVERAGE(OFFSET($H$3,0,0,'Données projet'!$E$10+1,1))</f>
        <v>2761.1400657295467</v>
      </c>
      <c r="AO168" s="62">
        <f t="shared" si="144"/>
        <v>316.41877504316409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1189.6635048665862</v>
      </c>
      <c r="AV168" s="23">
        <f>EXP(-LN(2)/25)*AV167+(1-EXP(-LN(2)/25))/(LN(2)/25)*Calculateur!AQ168*Calculateur!AS168*VLOOKUP('Données projet'!$B$10,Paramètres!$A$1:$I$89,3,0)*0.475*44/12</f>
        <v>49.098631189449193</v>
      </c>
      <c r="AW168" s="23">
        <f>EXP(-LN(2)/2)*AW167+(1-EXP(-LN(2)/2))/(LN(2)/2)*AQ168*AT168*VLOOKUP('Données projet'!$B$10,Paramètres!$A$1:$I$89,3,0)*0.475*44/12</f>
        <v>3.9935621760602079E-2</v>
      </c>
      <c r="AX168" s="23">
        <f t="shared" si="166"/>
        <v>1238.802071677796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5.0022208597511053E-12</v>
      </c>
      <c r="BE168" s="14">
        <f>BD168*VLOOKUP('Données projet'!$B$11,Paramètres!$A$1:$I$89,3,0)*VLOOKUP('Données projet'!$B$11,Paramètres!$A$1:$I$89,5,0)</f>
        <v>5.2283212426118558E-12</v>
      </c>
      <c r="BF168" s="14">
        <f t="shared" si="167"/>
        <v>4.9556081821365385E-11</v>
      </c>
      <c r="BG168" s="22">
        <f t="shared" si="168"/>
        <v>9.5416168669760364E-11</v>
      </c>
      <c r="BH168" s="62">
        <f t="shared" si="116"/>
        <v>293.33333333342875</v>
      </c>
      <c r="BI168" s="62">
        <f ca="1">AVERAGE(OFFSET($BH$3,0,0,'Données projet'!$E$11+1,1))-AVERAGE(OFFSET($H$3,0,0,'Données projet'!$E$11+1,1))</f>
        <v>2843.5086223152098</v>
      </c>
      <c r="BJ168" s="62">
        <f t="shared" si="146"/>
        <v>324.81562437645522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1226.2685357855582</v>
      </c>
      <c r="BQ168" s="23">
        <f>EXP(-LN(2)/25)*BQ167+(1-EXP(-LN(2)/25))/(LN(2)/25)*Calculateur!BL168*Calculateur!BN168*VLOOKUP('Données projet'!$B$11,Paramètres!$A$1:$I$89,3,0)*0.475*44/12</f>
        <v>50.609358302970705</v>
      </c>
      <c r="BR168" s="23">
        <f>EXP(-LN(2)/2)*BR167+(1-EXP(-LN(2)/2))/(LN(2)/2)*BL168*BO168*VLOOKUP('Données projet'!$B$11,Paramètres!$A$1:$I$89,3,0)*0.475*44/12</f>
        <v>4.1164410122466792E-2</v>
      </c>
      <c r="BS168" s="24">
        <f t="shared" si="169"/>
        <v>1276.9190584986516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5.0022208597511053E-12</v>
      </c>
      <c r="BZ168" s="14">
        <f>BY168*VLOOKUP('Données projet'!$B$12,Paramètres!$A$1:$I$89,3,0)*VLOOKUP('Données projet'!$B$12,Paramètres!$A$1:$I$89,5,0)</f>
        <v>4.9942173063755036E-12</v>
      </c>
      <c r="CA168" s="14">
        <f t="shared" si="170"/>
        <v>4.7590239529202817E-11</v>
      </c>
      <c r="CB168" s="22">
        <f t="shared" si="171"/>
        <v>9.1584595655298897E-11</v>
      </c>
      <c r="CC168" s="62">
        <f t="shared" si="119"/>
        <v>293.33333333342489</v>
      </c>
      <c r="CD168" s="62">
        <f ca="1">AVERAGE(OFFSET($CC$3,0,0,'Données projet'!$E$12+1,1))-AVERAGE(OFFSET($H$3,0,0,'Données projet'!$E$12+1,1))</f>
        <v>2719.939926994799</v>
      </c>
      <c r="CE168" s="62">
        <f t="shared" si="148"/>
        <v>312.21824046329749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1171.3609894071005</v>
      </c>
      <c r="CL168" s="23">
        <f>EXP(-LN(2)/25)*CL167+(1-EXP(-LN(2)/25))/(LN(2)/25)*Calculateur!CG168*Calculateur!CI168*VLOOKUP('Données projet'!$B$12,Paramètres!$A$1:$I$89,3,0)*0.475*44/12</f>
        <v>48.343267632688431</v>
      </c>
      <c r="CM168" s="23">
        <f>EXP(-LN(2)/2)*CM167+(1-EXP(-LN(2)/2))/(LN(2)/2)*CG168*CJ168*VLOOKUP('Données projet'!$B$12,Paramètres!$A$1:$I$89,3,0)*0.475*44/12</f>
        <v>3.9321227579669715E-2</v>
      </c>
      <c r="CN168" s="24">
        <f t="shared" si="172"/>
        <v>1219.7435782673685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1.1368683772161603E-12</v>
      </c>
      <c r="CU168" s="18">
        <f>CT168*VLOOKUP('Données projet'!$B$13,Paramètres!$A$1:$I$89,3,0)*VLOOKUP('Données projet'!$B$13,Paramètres!$A$1:$I$89,5,0)</f>
        <v>9.9316821433603771E-13</v>
      </c>
      <c r="CV168" s="14">
        <f t="shared" si="173"/>
        <v>1.1421454694498936E-11</v>
      </c>
      <c r="CW168" s="22">
        <f t="shared" si="174"/>
        <v>2.1622134899554243E-11</v>
      </c>
      <c r="CX168" s="62">
        <f t="shared" si="122"/>
        <v>293.33333333335491</v>
      </c>
      <c r="CY168" s="62">
        <f ca="1">AVERAGE(OFFSET($CX$3,0,0,'Données projet'!$E$13+1,1))-AVERAGE(OFFSET($H$3,0,0,'Données projet'!$E$13+1,1))</f>
        <v>1036.0130072090849</v>
      </c>
      <c r="CZ168" s="62">
        <f t="shared" si="150"/>
        <v>346.56593355696174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124.3927057187764</v>
      </c>
      <c r="DG168" s="23">
        <f>EXP(-LN(2)/25)*DG167+(1-EXP(-LN(2)/25))/(LN(2)/25)*Calculateur!DB168*Calculateur!DD168*VLOOKUP('Données projet'!$B$13,Paramètres!$A$1:$I$89,3,0)*0.475*44/12</f>
        <v>4.009213218641329</v>
      </c>
      <c r="DH168" s="23">
        <f>EXP(-LN(2)/2)*DH167+(1-EXP(-LN(2)/2))/(LN(2)/2)*DB168*DE168*VLOOKUP('Données projet'!$B$13,Paramètres!$A$1:$I$89,3,0)*0.475*44/12</f>
        <v>1.4530266157556284E-11</v>
      </c>
      <c r="DI168" s="24">
        <f t="shared" si="175"/>
        <v>128.40191893743224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6.8212102632969618E-13</v>
      </c>
      <c r="DP168" s="18">
        <f>DO168*VLOOKUP('Données projet'!$B$14,Paramètres!$A$1:$I$89,3,0)*VLOOKUP('Données projet'!$B$14,Paramètres!$A$1:$I$89,5,0)</f>
        <v>3.8130565371830017E-13</v>
      </c>
      <c r="DQ168" s="14">
        <f t="shared" si="176"/>
        <v>4.9019074112354236E-12</v>
      </c>
      <c r="DR168" s="22">
        <f t="shared" si="177"/>
        <v>9.2015960881277352E-12</v>
      </c>
      <c r="DS168" s="62">
        <f t="shared" si="125"/>
        <v>293.33333333334252</v>
      </c>
      <c r="DT168" s="62">
        <f ca="1">AVERAGE(OFFSET($DS$3,0,0,'Données projet'!$E$14+1,1))-AVERAGE(OFFSET($H$3,0,0,'Données projet'!$E$14+1,1))</f>
        <v>446.48069057792151</v>
      </c>
      <c r="DU168" s="62">
        <f t="shared" si="152"/>
        <v>561.75656782935948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23.082598750811318</v>
      </c>
      <c r="EB168" s="23">
        <f>EXP(-LN(2)/25)*EB167+(1-EXP(-LN(2)/25))/(LN(2)/25)*Calculateur!DW168*Calculateur!DY168*VLOOKUP('Données projet'!$B$14,Paramètres!$A$1:$I$89,3,0)*0.475*44/12</f>
        <v>4.4090454793827352</v>
      </c>
      <c r="EC168" s="23">
        <f>EXP(-LN(2)/2)*EC167+(1-EXP(-LN(2)/2))/(LN(2)/2)*DW168*DZ168*VLOOKUP('Données projet'!$B$14,Paramètres!$A$1:$I$89,3,0)*0.475*44/12</f>
        <v>2.1068312647088802E-14</v>
      </c>
      <c r="ED168" s="24">
        <f t="shared" si="178"/>
        <v>27.491644230194076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1.7053025658242404E-13</v>
      </c>
      <c r="EK168" s="18">
        <f>EJ168*VLOOKUP('Données projet'!$B$15,Paramètres!$A$1:$I$89,3,0)*VLOOKUP('Données projet'!$B$15,Paramètres!$A$1:$I$89,5,0)</f>
        <v>1.6493686416652052E-13</v>
      </c>
      <c r="EL168" s="14">
        <f t="shared" si="179"/>
        <v>2.3376205369651282E-12</v>
      </c>
      <c r="EM168" s="22">
        <f t="shared" si="180"/>
        <v>4.3586208069709543E-12</v>
      </c>
      <c r="EN168" s="62">
        <f t="shared" si="128"/>
        <v>293.33333333333769</v>
      </c>
      <c r="EO168" s="62">
        <f ca="1">AVERAGE(OFFSET($EN$3,0,0,'Données projet'!$E$15+1,1))-AVERAGE(OFFSET($H$3,0,0,'Données projet'!$E$15+1,1))</f>
        <v>301.18531163828169</v>
      </c>
      <c r="EP168" s="62">
        <f t="shared" si="154"/>
        <v>192.30530273268101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29.808529791070551</v>
      </c>
      <c r="EW168" s="23">
        <f>EXP(-LN(2)/25)*EW167+(1-EXP(-LN(2)/25))/(LN(2)/25)*Calculateur!ER168*Calculateur!ET168*VLOOKUP('Données projet'!$B$15,Paramètres!$A$1:$I$89,3,0)*0.475*44/12</f>
        <v>1.283130718247661</v>
      </c>
      <c r="EX168" s="23">
        <f>EXP(-LN(2)/2)*EX167+(1-EXP(-LN(2)/2))/(LN(2)/2)*ER168*EU168*VLOOKUP('Données projet'!$B$15,Paramètres!$A$1:$I$89,3,0)*0.475*44/12</f>
        <v>9.9432529305276244E-15</v>
      </c>
      <c r="EY168" s="24">
        <f t="shared" si="181"/>
        <v>31.091660509318224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1.7053025658242404E-13</v>
      </c>
      <c r="FF168" s="18">
        <f>FE168*VLOOKUP('Données projet'!$B$16,Paramètres!$A$1:$I$89,3,0)*VLOOKUP('Données projet'!$B$16,Paramètres!$A$1:$I$89,5,0)</f>
        <v>1.3301360013429075E-13</v>
      </c>
      <c r="FG168" s="14">
        <f t="shared" si="182"/>
        <v>1.9329766731057041E-12</v>
      </c>
      <c r="FH168" s="22">
        <f t="shared" si="183"/>
        <v>3.5982663925596575E-12</v>
      </c>
      <c r="FI168" s="62">
        <f t="shared" si="131"/>
        <v>293.3333333333369</v>
      </c>
      <c r="FJ168" s="62">
        <f ca="1">AVERAGE(OFFSET($FI$3,0,0,'Données projet'!$E$16+1,1))-AVERAGE(OFFSET($H$3,0,0,'Données projet'!$E$16+1,1))</f>
        <v>249.2899297828755</v>
      </c>
      <c r="FK168" s="62">
        <f t="shared" si="156"/>
        <v>162.88011837476813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24.039136928282709</v>
      </c>
      <c r="FR168" s="23">
        <f>EXP(-LN(2)/25)*FR167+(1-EXP(-LN(2)/25))/(LN(2)/25)*Calculateur!FM168*Calculateur!FO168*VLOOKUP('Données projet'!$B$16,Paramètres!$A$1:$I$89,3,0)*0.475*44/12</f>
        <v>1.0347828372964989</v>
      </c>
      <c r="FS168" s="23">
        <f>EXP(-LN(2)/2)*FS167+(1-EXP(-LN(2)/2))/(LN(2)/2)*FM168*FP168*VLOOKUP('Données projet'!$B$16,Paramètres!$A$1:$I$89,3,0)*0.475*44/12</f>
        <v>8.0187523633286656E-15</v>
      </c>
      <c r="FT168" s="24">
        <f t="shared" si="184"/>
        <v>25.073919765579216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1.7053025658242404E-13</v>
      </c>
      <c r="GA168" s="18">
        <f>FZ168*VLOOKUP('Données projet'!$B$17,Paramètres!$A$1:$I$89,3,0)*VLOOKUP('Données projet'!$B$17,Paramètres!$A$1:$I$89,5,0)</f>
        <v>1.1439169611549005E-13</v>
      </c>
      <c r="GB168" s="14">
        <f t="shared" si="185"/>
        <v>1.6918016515029816E-12</v>
      </c>
      <c r="GC168" s="22">
        <f t="shared" si="186"/>
        <v>3.1457867471021712E-12</v>
      </c>
      <c r="GD168" s="62">
        <f t="shared" si="134"/>
        <v>293.33333333333644</v>
      </c>
      <c r="GE168" s="62">
        <f ca="1">AVERAGE(OFFSET($GD$3,0,0,'Données projet'!$E$17+1,1))-AVERAGE(OFFSET($H$3,0,0,'Données projet'!$E$17+1,1))</f>
        <v>218.89895999738746</v>
      </c>
      <c r="GF168" s="62">
        <f t="shared" si="158"/>
        <v>145.64042897395763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25.48148514397964</v>
      </c>
      <c r="GM168" s="23">
        <f>EXP(-LN(2)/25)*GM167+(1-EXP(-LN(2)/25))/(LN(2)/25)*Calculateur!GH168*Calculateur!GJ168*VLOOKUP('Données projet'!$B$17,Paramètres!$A$1:$I$89,3,0)*0.475*44/12</f>
        <v>1.0968698075342904</v>
      </c>
      <c r="GN168" s="23">
        <f>EXP(-LN(2)/2)*GN167+(1-EXP(-LN(2)/2))/(LN(2)/2)*GH168*GK168*VLOOKUP('Données projet'!$B$17,Paramètres!$A$1:$I$89,3,0)*0.475*44/12</f>
        <v>6.8961270324627086E-15</v>
      </c>
      <c r="GO168" s="23">
        <f t="shared" si="187"/>
        <v>26.578354951513937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1.7053025658242404E-13</v>
      </c>
      <c r="GV168" s="18">
        <f>GU168*VLOOKUP('Données projet'!$B$18,Paramètres!$A$1:$I$89,3,0)*VLOOKUP('Données projet'!$B$18,Paramètres!$A$1:$I$89,5,0)</f>
        <v>1.8355876818532125E-13</v>
      </c>
      <c r="GW168" s="14">
        <f t="shared" si="188"/>
        <v>2.5693529898865504E-12</v>
      </c>
      <c r="GX168" s="22">
        <f t="shared" si="189"/>
        <v>4.7946546453085093E-12</v>
      </c>
      <c r="GY168" s="62">
        <f t="shared" si="137"/>
        <v>293.33333333333809</v>
      </c>
      <c r="GZ168" s="62">
        <f ca="1">AVERAGE(OFFSET($GY$3,0,0,'Données projet'!$E$18+1,1))-AVERAGE(OFFSET($H$3,0,0,'Données projet'!$E$18+1,1))</f>
        <v>331.3579800635751</v>
      </c>
      <c r="HA168" s="62">
        <f t="shared" si="160"/>
        <v>209.40702003535273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33.174008961030125</v>
      </c>
      <c r="HH168" s="23">
        <f>EXP(-LN(2)/25)*HH167+(1-EXP(-LN(2)/25))/(LN(2)/25)*Calculateur!HC168*Calculateur!HE168*VLOOKUP('Données projet'!$B$18,Paramètres!$A$1:$I$89,3,0)*0.475*44/12</f>
        <v>1.4280003154691712</v>
      </c>
      <c r="HI168" s="23">
        <f>EXP(-LN(2)/2)*HI167+(1-EXP(-LN(2)/2))/(LN(2)/2)*HC168*HF168*VLOOKUP('Données projet'!$B$18,Paramètres!$A$1:$I$89,3,0)*0.475*44/12</f>
        <v>1.1065878261393562E-14</v>
      </c>
      <c r="HJ168" s="24">
        <f t="shared" si="190"/>
        <v>34.602009276499309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5.0022208597511053E-12</v>
      </c>
      <c r="O169" s="14">
        <f>N169*VLOOKUP('Données projet'!$B$9,Paramètres!$A$1:$I$89,3,0)*VLOOKUP('Données projet'!$B$9,Paramètres!$A$1:$I$89,5,0)</f>
        <v>4.5260094339028E-12</v>
      </c>
      <c r="P169" s="14">
        <f t="shared" si="141"/>
        <v>4.3625683148570328E-11</v>
      </c>
      <c r="Q169" s="22">
        <f t="shared" si="162"/>
        <v>8.3864197914474037E-11</v>
      </c>
      <c r="R169" s="62">
        <f t="shared" si="109"/>
        <v>293.33333333341716</v>
      </c>
      <c r="S169" s="62">
        <f ca="1">AVERAGE(OFFSET($R$3,0,0,'Données projet'!$E$9+1,1))-AVERAGE(OFFSET($H$3,0,0,'Données projet'!$E$9+1,1))</f>
        <v>2472.5049373954762</v>
      </c>
      <c r="T169" s="62">
        <f t="shared" si="142"/>
        <v>286.98388307318311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1040.7296290959384</v>
      </c>
      <c r="AA169" s="23">
        <f>EXP(-LN(2)/25)*AA168+(1-EXP(-LN(2)/25))/(LN(2)/25)*Calculateur!V169*Calculateur!X169*VLOOKUP('Données projet'!$B$9,Paramètres!$A$1:$I$89,3,0)*0.475*44/12</f>
        <v>42.613069833540841</v>
      </c>
      <c r="AB169" s="23">
        <f>EXP(-LN(2)/2)*AB168+(1-EXP(-LN(2)/2))/(LN(2)/2)*V169*Y169*VLOOKUP('Données projet'!$B$9,Paramètres!$A$1:$I$89,3,0)*0.475*44/12</f>
        <v>2.5197652916211091E-2</v>
      </c>
      <c r="AC169" s="24">
        <f t="shared" si="163"/>
        <v>1083.3678965823954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5.0022208597511053E-12</v>
      </c>
      <c r="AJ169" s="14">
        <f>AI169*VLOOKUP('Données projet'!$B$10,Paramètres!$A$1:$I$89,3,0)*VLOOKUP('Données projet'!$B$10,Paramètres!$A$1:$I$89,5,0)</f>
        <v>5.0722519517876216E-12</v>
      </c>
      <c r="AK169" s="14">
        <f t="shared" si="164"/>
        <v>4.8246688221215311E-11</v>
      </c>
      <c r="AL169" s="22">
        <f t="shared" si="165"/>
        <v>9.2863820801313432E-11</v>
      </c>
      <c r="AM169" s="62">
        <f t="shared" si="113"/>
        <v>293.3333333334262</v>
      </c>
      <c r="AN169" s="62">
        <f ca="1">AVERAGE(OFFSET($AM$3,0,0,'Données projet'!$E$10+1,1))-AVERAGE(OFFSET($H$3,0,0,'Données projet'!$E$10+1,1))</f>
        <v>2761.1400657295467</v>
      </c>
      <c r="AO169" s="62">
        <f t="shared" si="144"/>
        <v>316.41877504316409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1166.334929159241</v>
      </c>
      <c r="AV169" s="23">
        <f>EXP(-LN(2)/25)*AV168+(1-EXP(-LN(2)/25))/(LN(2)/25)*Calculateur!AQ169*Calculateur!AS169*VLOOKUP('Données projet'!$B$10,Paramètres!$A$1:$I$89,3,0)*0.475*44/12</f>
        <v>47.756026537588909</v>
      </c>
      <c r="AW169" s="23">
        <f>EXP(-LN(2)/2)*AW168+(1-EXP(-LN(2)/2))/(LN(2)/2)*AQ169*AT169*VLOOKUP('Données projet'!$B$10,Paramètres!$A$1:$I$89,3,0)*0.475*44/12</f>
        <v>2.823874895782278E-2</v>
      </c>
      <c r="AX169" s="23">
        <f t="shared" si="166"/>
        <v>1214.1191944457878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5.0022208597511053E-12</v>
      </c>
      <c r="BE169" s="14">
        <f>BD169*VLOOKUP('Données projet'!$B$11,Paramètres!$A$1:$I$89,3,0)*VLOOKUP('Données projet'!$B$11,Paramètres!$A$1:$I$89,5,0)</f>
        <v>5.2283212426118558E-12</v>
      </c>
      <c r="BF169" s="14">
        <f t="shared" si="167"/>
        <v>4.9556081821365385E-11</v>
      </c>
      <c r="BG169" s="22">
        <f t="shared" si="168"/>
        <v>9.5416168669760364E-11</v>
      </c>
      <c r="BH169" s="62">
        <f t="shared" si="116"/>
        <v>293.33333333342875</v>
      </c>
      <c r="BI169" s="62">
        <f ca="1">AVERAGE(OFFSET($BH$3,0,0,'Données projet'!$E$11+1,1))-AVERAGE(OFFSET($H$3,0,0,'Données projet'!$E$11+1,1))</f>
        <v>2843.5086223152098</v>
      </c>
      <c r="BJ169" s="62">
        <f t="shared" si="146"/>
        <v>324.81562437645522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1202.2221577487564</v>
      </c>
      <c r="BQ169" s="23">
        <f>EXP(-LN(2)/25)*BQ168+(1-EXP(-LN(2)/25))/(LN(2)/25)*Calculateur!BL169*Calculateur!BN169*VLOOKUP('Données projet'!$B$11,Paramètres!$A$1:$I$89,3,0)*0.475*44/12</f>
        <v>49.225442738745485</v>
      </c>
      <c r="BR169" s="23">
        <f>EXP(-LN(2)/2)*BR168+(1-EXP(-LN(2)/2))/(LN(2)/2)*BL169*BO169*VLOOKUP('Données projet'!$B$11,Paramètres!$A$1:$I$89,3,0)*0.475*44/12</f>
        <v>2.9107633541140428E-2</v>
      </c>
      <c r="BS169" s="24">
        <f t="shared" si="169"/>
        <v>1251.476708121043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5.0022208597511053E-12</v>
      </c>
      <c r="BZ169" s="14">
        <f>BY169*VLOOKUP('Données projet'!$B$12,Paramètres!$A$1:$I$89,3,0)*VLOOKUP('Données projet'!$B$12,Paramètres!$A$1:$I$89,5,0)</f>
        <v>4.9942173063755036E-12</v>
      </c>
      <c r="CA169" s="14">
        <f t="shared" si="170"/>
        <v>4.7590239529202817E-11</v>
      </c>
      <c r="CB169" s="22">
        <f t="shared" si="171"/>
        <v>9.1584595655298897E-11</v>
      </c>
      <c r="CC169" s="62">
        <f t="shared" si="119"/>
        <v>293.33333333342489</v>
      </c>
      <c r="CD169" s="62">
        <f ca="1">AVERAGE(OFFSET($CC$3,0,0,'Données projet'!$E$12+1,1))-AVERAGE(OFFSET($H$3,0,0,'Données projet'!$E$12+1,1))</f>
        <v>2719.939926994799</v>
      </c>
      <c r="CE169" s="62">
        <f t="shared" si="148"/>
        <v>312.21824046329749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1148.3913148644838</v>
      </c>
      <c r="CL169" s="23">
        <f>EXP(-LN(2)/25)*CL168+(1-EXP(-LN(2)/25))/(LN(2)/25)*Calculateur!CG169*Calculateur!CI169*VLOOKUP('Données projet'!$B$12,Paramètres!$A$1:$I$89,3,0)*0.475*44/12</f>
        <v>47.021318437010613</v>
      </c>
      <c r="CM169" s="23">
        <f>EXP(-LN(2)/2)*CM168+(1-EXP(-LN(2)/2))/(LN(2)/2)*CG169*CJ169*VLOOKUP('Données projet'!$B$12,Paramètres!$A$1:$I$89,3,0)*0.475*44/12</f>
        <v>2.7804306666163951E-2</v>
      </c>
      <c r="CN169" s="24">
        <f t="shared" si="172"/>
        <v>1195.4404376081607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1.1368683772161603E-12</v>
      </c>
      <c r="CU169" s="18">
        <f>CT169*VLOOKUP('Données projet'!$B$13,Paramètres!$A$1:$I$89,3,0)*VLOOKUP('Données projet'!$B$13,Paramètres!$A$1:$I$89,5,0)</f>
        <v>9.9316821433603771E-13</v>
      </c>
      <c r="CV169" s="14">
        <f t="shared" si="173"/>
        <v>1.1421454694498936E-11</v>
      </c>
      <c r="CW169" s="22">
        <f t="shared" si="174"/>
        <v>2.1622134899554243E-11</v>
      </c>
      <c r="CX169" s="62">
        <f t="shared" si="122"/>
        <v>293.33333333335491</v>
      </c>
      <c r="CY169" s="62">
        <f ca="1">AVERAGE(OFFSET($CX$3,0,0,'Données projet'!$E$13+1,1))-AVERAGE(OFFSET($H$3,0,0,'Données projet'!$E$13+1,1))</f>
        <v>1036.0130072090849</v>
      </c>
      <c r="CZ169" s="62">
        <f t="shared" si="150"/>
        <v>346.56593355696174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121.95344063168994</v>
      </c>
      <c r="DG169" s="23">
        <f>EXP(-LN(2)/25)*DG168+(1-EXP(-LN(2)/25))/(LN(2)/25)*Calculateur!DB169*Calculateur!DD169*VLOOKUP('Données projet'!$B$13,Paramètres!$A$1:$I$89,3,0)*0.475*44/12</f>
        <v>3.899581072342222</v>
      </c>
      <c r="DH169" s="23">
        <f>EXP(-LN(2)/2)*DH168+(1-EXP(-LN(2)/2))/(LN(2)/2)*DB169*DE169*VLOOKUP('Données projet'!$B$13,Paramètres!$A$1:$I$89,3,0)*0.475*44/12</f>
        <v>1.0274449732453449E-11</v>
      </c>
      <c r="DI169" s="24">
        <f t="shared" si="175"/>
        <v>125.85302170404243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6.8212102632969618E-13</v>
      </c>
      <c r="DP169" s="18">
        <f>DO169*VLOOKUP('Données projet'!$B$14,Paramètres!$A$1:$I$89,3,0)*VLOOKUP('Données projet'!$B$14,Paramètres!$A$1:$I$89,5,0)</f>
        <v>3.8130565371830017E-13</v>
      </c>
      <c r="DQ169" s="14">
        <f t="shared" si="176"/>
        <v>4.9019074112354236E-12</v>
      </c>
      <c r="DR169" s="22">
        <f t="shared" si="177"/>
        <v>9.2015960881277352E-12</v>
      </c>
      <c r="DS169" s="62">
        <f t="shared" si="125"/>
        <v>293.33333333334252</v>
      </c>
      <c r="DT169" s="62">
        <f ca="1">AVERAGE(OFFSET($DS$3,0,0,'Données projet'!$E$14+1,1))-AVERAGE(OFFSET($H$3,0,0,'Données projet'!$E$14+1,1))</f>
        <v>446.48069057792151</v>
      </c>
      <c r="DU169" s="62">
        <f t="shared" si="152"/>
        <v>561.75656782935948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22.62996306830296</v>
      </c>
      <c r="EB169" s="23">
        <f>EXP(-LN(2)/25)*EB168+(1-EXP(-LN(2)/25))/(LN(2)/25)*Calculateur!DW169*Calculateur!DY169*VLOOKUP('Données projet'!$B$14,Paramètres!$A$1:$I$89,3,0)*0.475*44/12</f>
        <v>4.2884798988873891</v>
      </c>
      <c r="EC169" s="23">
        <f>EXP(-LN(2)/2)*EC168+(1-EXP(-LN(2)/2))/(LN(2)/2)*DW169*DZ169*VLOOKUP('Données projet'!$B$14,Paramètres!$A$1:$I$89,3,0)*0.475*44/12</f>
        <v>1.4897546740914793E-14</v>
      </c>
      <c r="ED169" s="24">
        <f t="shared" si="178"/>
        <v>26.918442967190362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1.7053025658242404E-13</v>
      </c>
      <c r="EK169" s="18">
        <f>EJ169*VLOOKUP('Données projet'!$B$15,Paramètres!$A$1:$I$89,3,0)*VLOOKUP('Données projet'!$B$15,Paramètres!$A$1:$I$89,5,0)</f>
        <v>1.6493686416652052E-13</v>
      </c>
      <c r="EL169" s="14">
        <f t="shared" si="179"/>
        <v>2.3376205369651282E-12</v>
      </c>
      <c r="EM169" s="22">
        <f t="shared" si="180"/>
        <v>4.3586208069709543E-12</v>
      </c>
      <c r="EN169" s="62">
        <f t="shared" si="128"/>
        <v>293.33333333333769</v>
      </c>
      <c r="EO169" s="62">
        <f ca="1">AVERAGE(OFFSET($EN$3,0,0,'Données projet'!$E$15+1,1))-AVERAGE(OFFSET($H$3,0,0,'Données projet'!$E$15+1,1))</f>
        <v>301.18531163828169</v>
      </c>
      <c r="EP169" s="62">
        <f t="shared" si="154"/>
        <v>192.30530273268101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29.224002703275566</v>
      </c>
      <c r="EW169" s="23">
        <f>EXP(-LN(2)/25)*EW168+(1-EXP(-LN(2)/25))/(LN(2)/25)*Calculateur!ER169*Calculateur!ET169*VLOOKUP('Données projet'!$B$15,Paramètres!$A$1:$I$89,3,0)*0.475*44/12</f>
        <v>1.2480434412802668</v>
      </c>
      <c r="EX169" s="23">
        <f>EXP(-LN(2)/2)*EX168+(1-EXP(-LN(2)/2))/(LN(2)/2)*ER169*EU169*VLOOKUP('Données projet'!$B$15,Paramètres!$A$1:$I$89,3,0)*0.475*44/12</f>
        <v>7.0309415742290947E-15</v>
      </c>
      <c r="EY169" s="24">
        <f t="shared" si="181"/>
        <v>30.47204614455584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1.7053025658242404E-13</v>
      </c>
      <c r="FF169" s="18">
        <f>FE169*VLOOKUP('Données projet'!$B$16,Paramètres!$A$1:$I$89,3,0)*VLOOKUP('Données projet'!$B$16,Paramètres!$A$1:$I$89,5,0)</f>
        <v>1.3301360013429075E-13</v>
      </c>
      <c r="FG169" s="14">
        <f t="shared" si="182"/>
        <v>1.9329766731057041E-12</v>
      </c>
      <c r="FH169" s="22">
        <f t="shared" si="183"/>
        <v>3.5982663925596575E-12</v>
      </c>
      <c r="FI169" s="62">
        <f t="shared" si="131"/>
        <v>293.3333333333369</v>
      </c>
      <c r="FJ169" s="62">
        <f ca="1">AVERAGE(OFFSET($FI$3,0,0,'Données projet'!$E$16+1,1))-AVERAGE(OFFSET($H$3,0,0,'Données projet'!$E$16+1,1))</f>
        <v>249.2899297828755</v>
      </c>
      <c r="FK169" s="62">
        <f t="shared" si="156"/>
        <v>162.88011837476813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23.567744115544816</v>
      </c>
      <c r="FR169" s="23">
        <f>EXP(-LN(2)/25)*FR168+(1-EXP(-LN(2)/25))/(LN(2)/25)*Calculateur!FM169*Calculateur!FO169*VLOOKUP('Données projet'!$B$16,Paramètres!$A$1:$I$89,3,0)*0.475*44/12</f>
        <v>1.0064866461937618</v>
      </c>
      <c r="FS169" s="23">
        <f>EXP(-LN(2)/2)*FS168+(1-EXP(-LN(2)/2))/(LN(2)/2)*FM169*FP169*VLOOKUP('Données projet'!$B$16,Paramètres!$A$1:$I$89,3,0)*0.475*44/12</f>
        <v>5.6701141727653537E-15</v>
      </c>
      <c r="FT169" s="24">
        <f t="shared" si="184"/>
        <v>24.574230761738583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1.7053025658242404E-13</v>
      </c>
      <c r="GA169" s="18">
        <f>FZ169*VLOOKUP('Données projet'!$B$17,Paramètres!$A$1:$I$89,3,0)*VLOOKUP('Données projet'!$B$17,Paramètres!$A$1:$I$89,5,0)</f>
        <v>1.1439169611549005E-13</v>
      </c>
      <c r="GB169" s="14">
        <f t="shared" si="185"/>
        <v>1.6918016515029816E-12</v>
      </c>
      <c r="GC169" s="22">
        <f t="shared" si="186"/>
        <v>3.1457867471021712E-12</v>
      </c>
      <c r="GD169" s="62">
        <f t="shared" si="134"/>
        <v>293.33333333333644</v>
      </c>
      <c r="GE169" s="62">
        <f ca="1">AVERAGE(OFFSET($GD$3,0,0,'Données projet'!$E$17+1,1))-AVERAGE(OFFSET($H$3,0,0,'Données projet'!$E$17+1,1))</f>
        <v>218.89895999738746</v>
      </c>
      <c r="GF169" s="62">
        <f t="shared" si="158"/>
        <v>145.64042897395763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24.981808762477474</v>
      </c>
      <c r="GM169" s="23">
        <f>EXP(-LN(2)/25)*GM168+(1-EXP(-LN(2)/25))/(LN(2)/25)*Calculateur!GH169*Calculateur!GJ169*VLOOKUP('Données projet'!$B$17,Paramètres!$A$1:$I$89,3,0)*0.475*44/12</f>
        <v>1.066875844965389</v>
      </c>
      <c r="GN169" s="23">
        <f>EXP(-LN(2)/2)*GN168+(1-EXP(-LN(2)/2))/(LN(2)/2)*GH169*GK169*VLOOKUP('Données projet'!$B$17,Paramètres!$A$1:$I$89,3,0)*0.475*44/12</f>
        <v>4.8762981885782442E-15</v>
      </c>
      <c r="GO169" s="23">
        <f t="shared" si="187"/>
        <v>26.048684607442866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1.7053025658242404E-13</v>
      </c>
      <c r="GV169" s="18">
        <f>GU169*VLOOKUP('Données projet'!$B$18,Paramètres!$A$1:$I$89,3,0)*VLOOKUP('Données projet'!$B$18,Paramètres!$A$1:$I$89,5,0)</f>
        <v>1.8355876818532125E-13</v>
      </c>
      <c r="GW169" s="14">
        <f t="shared" si="188"/>
        <v>2.5693529898865504E-12</v>
      </c>
      <c r="GX169" s="22">
        <f t="shared" si="189"/>
        <v>4.7946546453085093E-12</v>
      </c>
      <c r="GY169" s="62">
        <f t="shared" si="137"/>
        <v>293.33333333333809</v>
      </c>
      <c r="GZ169" s="62">
        <f ca="1">AVERAGE(OFFSET($GY$3,0,0,'Données projet'!$E$18+1,1))-AVERAGE(OFFSET($H$3,0,0,'Données projet'!$E$18+1,1))</f>
        <v>331.3579800635751</v>
      </c>
      <c r="HA169" s="62">
        <f t="shared" si="160"/>
        <v>209.40702003535273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32.523486879451838</v>
      </c>
      <c r="HH169" s="23">
        <f>EXP(-LN(2)/25)*HH168+(1-EXP(-LN(2)/25))/(LN(2)/25)*Calculateur!HC169*Calculateur!HE169*VLOOKUP('Données projet'!$B$18,Paramètres!$A$1:$I$89,3,0)*0.475*44/12</f>
        <v>1.3889515717473939</v>
      </c>
      <c r="HI169" s="23">
        <f>EXP(-LN(2)/2)*HI168+(1-EXP(-LN(2)/2))/(LN(2)/2)*HC169*HF169*VLOOKUP('Données projet'!$B$18,Paramètres!$A$1:$I$89,3,0)*0.475*44/12</f>
        <v>7.82475755841619E-15</v>
      </c>
      <c r="HJ169" s="24">
        <f t="shared" si="190"/>
        <v>33.912438451199236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5.0022208597511053E-12</v>
      </c>
      <c r="O170" s="14">
        <f>N170*VLOOKUP('Données projet'!$B$9,Paramètres!$A$1:$I$89,3,0)*VLOOKUP('Données projet'!$B$9,Paramètres!$A$1:$I$89,5,0)</f>
        <v>4.5260094339028E-12</v>
      </c>
      <c r="P170" s="14">
        <f t="shared" si="141"/>
        <v>4.3625683148570328E-11</v>
      </c>
      <c r="Q170" s="22">
        <f t="shared" si="162"/>
        <v>8.3864197914474037E-11</v>
      </c>
      <c r="R170" s="62">
        <f t="shared" si="109"/>
        <v>293.33333333341716</v>
      </c>
      <c r="S170" s="62">
        <f ca="1">AVERAGE(OFFSET($R$3,0,0,'Données projet'!$E$9+1,1))-AVERAGE(OFFSET($H$3,0,0,'Données projet'!$E$9+1,1))</f>
        <v>2472.5049373954762</v>
      </c>
      <c r="T170" s="62">
        <f t="shared" si="142"/>
        <v>286.98388307318311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1020.3215558517613</v>
      </c>
      <c r="AA170" s="23">
        <f>EXP(-LN(2)/25)*AA169+(1-EXP(-LN(2)/25))/(LN(2)/25)*Calculateur!V170*Calculateur!X170*VLOOKUP('Données projet'!$B$9,Paramètres!$A$1:$I$89,3,0)*0.475*44/12</f>
        <v>41.447813198018714</v>
      </c>
      <c r="AB170" s="23">
        <f>EXP(-LN(2)/2)*AB169+(1-EXP(-LN(2)/2))/(LN(2)/2)*V170*Y170*VLOOKUP('Données projet'!$B$9,Paramètres!$A$1:$I$89,3,0)*0.475*44/12</f>
        <v>1.7817431247037847E-2</v>
      </c>
      <c r="AC170" s="24">
        <f t="shared" si="163"/>
        <v>1061.7871864810272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5.0022208597511053E-12</v>
      </c>
      <c r="AJ170" s="14">
        <f>AI170*VLOOKUP('Données projet'!$B$10,Paramètres!$A$1:$I$89,3,0)*VLOOKUP('Données projet'!$B$10,Paramètres!$A$1:$I$89,5,0)</f>
        <v>5.0722519517876216E-12</v>
      </c>
      <c r="AK170" s="14">
        <f t="shared" si="164"/>
        <v>4.8246688221215311E-11</v>
      </c>
      <c r="AL170" s="22">
        <f t="shared" si="165"/>
        <v>9.2863820801313432E-11</v>
      </c>
      <c r="AM170" s="62">
        <f t="shared" si="113"/>
        <v>293.3333333334262</v>
      </c>
      <c r="AN170" s="62">
        <f ca="1">AVERAGE(OFFSET($AM$3,0,0,'Données projet'!$E$10+1,1))-AVERAGE(OFFSET($H$3,0,0,'Données projet'!$E$10+1,1))</f>
        <v>2761.1400657295467</v>
      </c>
      <c r="AO170" s="62">
        <f t="shared" si="144"/>
        <v>316.41877504316409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1143.4638125924907</v>
      </c>
      <c r="AV170" s="23">
        <f>EXP(-LN(2)/25)*AV169+(1-EXP(-LN(2)/25))/(LN(2)/25)*Calculateur!AQ170*Calculateur!AS170*VLOOKUP('Données projet'!$B$10,Paramètres!$A$1:$I$89,3,0)*0.475*44/12</f>
        <v>46.45013548053825</v>
      </c>
      <c r="AW170" s="23">
        <f>EXP(-LN(2)/2)*AW169+(1-EXP(-LN(2)/2))/(LN(2)/2)*AQ170*AT170*VLOOKUP('Données projet'!$B$10,Paramètres!$A$1:$I$89,3,0)*0.475*44/12</f>
        <v>1.9967810880301039E-2</v>
      </c>
      <c r="AX170" s="23">
        <f t="shared" si="166"/>
        <v>1189.9339158839091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5.0022208597511053E-12</v>
      </c>
      <c r="BE170" s="14">
        <f>BD170*VLOOKUP('Données projet'!$B$11,Paramètres!$A$1:$I$89,3,0)*VLOOKUP('Données projet'!$B$11,Paramètres!$A$1:$I$89,5,0)</f>
        <v>5.2283212426118558E-12</v>
      </c>
      <c r="BF170" s="14">
        <f t="shared" si="167"/>
        <v>4.9556081821365385E-11</v>
      </c>
      <c r="BG170" s="22">
        <f t="shared" si="168"/>
        <v>9.5416168669760364E-11</v>
      </c>
      <c r="BH170" s="62">
        <f t="shared" si="116"/>
        <v>293.33333333342875</v>
      </c>
      <c r="BI170" s="62">
        <f ca="1">AVERAGE(OFFSET($BH$3,0,0,'Données projet'!$E$11+1,1))-AVERAGE(OFFSET($H$3,0,0,'Données projet'!$E$11+1,1))</f>
        <v>2843.5086223152098</v>
      </c>
      <c r="BJ170" s="62">
        <f t="shared" si="146"/>
        <v>324.81562437645522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1178.6473145184139</v>
      </c>
      <c r="BQ170" s="23">
        <f>EXP(-LN(2)/25)*BQ169+(1-EXP(-LN(2)/25))/(LN(2)/25)*Calculateur!BL170*Calculateur!BN170*VLOOKUP('Données projet'!$B$11,Paramètres!$A$1:$I$89,3,0)*0.475*44/12</f>
        <v>47.87937041840096</v>
      </c>
      <c r="BR170" s="23">
        <f>EXP(-LN(2)/2)*BR169+(1-EXP(-LN(2)/2))/(LN(2)/2)*BL170*BO170*VLOOKUP('Données projet'!$B$11,Paramètres!$A$1:$I$89,3,0)*0.475*44/12</f>
        <v>2.0582205061233396E-2</v>
      </c>
      <c r="BS170" s="24">
        <f t="shared" si="169"/>
        <v>1226.5472671418759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5.0022208597511053E-12</v>
      </c>
      <c r="BZ170" s="14">
        <f>BY170*VLOOKUP('Données projet'!$B$12,Paramètres!$A$1:$I$89,3,0)*VLOOKUP('Données projet'!$B$12,Paramètres!$A$1:$I$89,5,0)</f>
        <v>4.9942173063755036E-12</v>
      </c>
      <c r="CA170" s="14">
        <f t="shared" si="170"/>
        <v>4.7590239529202817E-11</v>
      </c>
      <c r="CB170" s="22">
        <f t="shared" si="171"/>
        <v>9.1584595655298897E-11</v>
      </c>
      <c r="CC170" s="62">
        <f t="shared" si="119"/>
        <v>293.33333333342489</v>
      </c>
      <c r="CD170" s="62">
        <f ca="1">AVERAGE(OFFSET($CC$3,0,0,'Données projet'!$E$12+1,1))-AVERAGE(OFFSET($H$3,0,0,'Données projet'!$E$12+1,1))</f>
        <v>2719.939926994799</v>
      </c>
      <c r="CE170" s="62">
        <f t="shared" si="148"/>
        <v>312.21824046329749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1125.8720616295298</v>
      </c>
      <c r="CL170" s="23">
        <f>EXP(-LN(2)/25)*CL169+(1-EXP(-LN(2)/25))/(LN(2)/25)*Calculateur!CG170*Calculateur!CI170*VLOOKUP('Données projet'!$B$12,Paramètres!$A$1:$I$89,3,0)*0.475*44/12</f>
        <v>45.735518011606892</v>
      </c>
      <c r="CM170" s="23">
        <f>EXP(-LN(2)/2)*CM169+(1-EXP(-LN(2)/2))/(LN(2)/2)*CG170*CJ170*VLOOKUP('Données projet'!$B$12,Paramètres!$A$1:$I$89,3,0)*0.475*44/12</f>
        <v>1.9660613789834858E-2</v>
      </c>
      <c r="CN170" s="24">
        <f t="shared" si="172"/>
        <v>1171.6272402549266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1.1368683772161603E-12</v>
      </c>
      <c r="CU170" s="18">
        <f>CT170*VLOOKUP('Données projet'!$B$13,Paramètres!$A$1:$I$89,3,0)*VLOOKUP('Données projet'!$B$13,Paramètres!$A$1:$I$89,5,0)</f>
        <v>9.9316821433603771E-13</v>
      </c>
      <c r="CV170" s="14">
        <f t="shared" si="173"/>
        <v>1.1421454694498936E-11</v>
      </c>
      <c r="CW170" s="22">
        <f t="shared" si="174"/>
        <v>2.1622134899554243E-11</v>
      </c>
      <c r="CX170" s="62">
        <f t="shared" si="122"/>
        <v>293.33333333335491</v>
      </c>
      <c r="CY170" s="62">
        <f ca="1">AVERAGE(OFFSET($CX$3,0,0,'Données projet'!$E$13+1,1))-AVERAGE(OFFSET($H$3,0,0,'Données projet'!$E$13+1,1))</f>
        <v>1036.0130072090849</v>
      </c>
      <c r="CZ170" s="62">
        <f t="shared" si="150"/>
        <v>346.56593355696174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119.56200804515646</v>
      </c>
      <c r="DG170" s="23">
        <f>EXP(-LN(2)/25)*DG169+(1-EXP(-LN(2)/25))/(LN(2)/25)*Calculateur!DB170*Calculateur!DD170*VLOOKUP('Données projet'!$B$13,Paramètres!$A$1:$I$89,3,0)*0.475*44/12</f>
        <v>3.7929468228489678</v>
      </c>
      <c r="DH170" s="23">
        <f>EXP(-LN(2)/2)*DH169+(1-EXP(-LN(2)/2))/(LN(2)/2)*DB170*DE170*VLOOKUP('Données projet'!$B$13,Paramètres!$A$1:$I$89,3,0)*0.475*44/12</f>
        <v>7.2651330787781437E-12</v>
      </c>
      <c r="DI170" s="24">
        <f t="shared" si="175"/>
        <v>123.35495486801268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6.8212102632969618E-13</v>
      </c>
      <c r="DP170" s="18">
        <f>DO170*VLOOKUP('Données projet'!$B$14,Paramètres!$A$1:$I$89,3,0)*VLOOKUP('Données projet'!$B$14,Paramètres!$A$1:$I$89,5,0)</f>
        <v>3.8130565371830017E-13</v>
      </c>
      <c r="DQ170" s="14">
        <f t="shared" si="176"/>
        <v>4.9019074112354236E-12</v>
      </c>
      <c r="DR170" s="22">
        <f t="shared" si="177"/>
        <v>9.2015960881277352E-12</v>
      </c>
      <c r="DS170" s="62">
        <f t="shared" si="125"/>
        <v>293.33333333334252</v>
      </c>
      <c r="DT170" s="62">
        <f ca="1">AVERAGE(OFFSET($DS$3,0,0,'Données projet'!$E$14+1,1))-AVERAGE(OFFSET($H$3,0,0,'Données projet'!$E$14+1,1))</f>
        <v>446.48069057792151</v>
      </c>
      <c r="DU170" s="62">
        <f t="shared" si="152"/>
        <v>561.75656782935948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22.186203295448085</v>
      </c>
      <c r="EB170" s="23">
        <f>EXP(-LN(2)/25)*EB169+(1-EXP(-LN(2)/25))/(LN(2)/25)*Calculateur!DW170*Calculateur!DY170*VLOOKUP('Données projet'!$B$14,Paramètres!$A$1:$I$89,3,0)*0.475*44/12</f>
        <v>4.1712111905309568</v>
      </c>
      <c r="EC170" s="23">
        <f>EXP(-LN(2)/2)*EC169+(1-EXP(-LN(2)/2))/(LN(2)/2)*DW170*DZ170*VLOOKUP('Données projet'!$B$14,Paramètres!$A$1:$I$89,3,0)*0.475*44/12</f>
        <v>1.0534156323544401E-14</v>
      </c>
      <c r="ED170" s="24">
        <f t="shared" si="178"/>
        <v>26.357414485979053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1.7053025658242404E-13</v>
      </c>
      <c r="EK170" s="18">
        <f>EJ170*VLOOKUP('Données projet'!$B$15,Paramètres!$A$1:$I$89,3,0)*VLOOKUP('Données projet'!$B$15,Paramètres!$A$1:$I$89,5,0)</f>
        <v>1.6493686416652052E-13</v>
      </c>
      <c r="EL170" s="14">
        <f t="shared" si="179"/>
        <v>2.3376205369651282E-12</v>
      </c>
      <c r="EM170" s="22">
        <f t="shared" si="180"/>
        <v>4.3586208069709543E-12</v>
      </c>
      <c r="EN170" s="62">
        <f t="shared" si="128"/>
        <v>293.33333333333769</v>
      </c>
      <c r="EO170" s="62">
        <f ca="1">AVERAGE(OFFSET($EN$3,0,0,'Données projet'!$E$15+1,1))-AVERAGE(OFFSET($H$3,0,0,'Données projet'!$E$15+1,1))</f>
        <v>301.18531163828169</v>
      </c>
      <c r="EP170" s="62">
        <f t="shared" si="154"/>
        <v>192.30530273268101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28.650937835145921</v>
      </c>
      <c r="EW170" s="23">
        <f>EXP(-LN(2)/25)*EW169+(1-EXP(-LN(2)/25))/(LN(2)/25)*Calculateur!ER170*Calculateur!ET170*VLOOKUP('Données projet'!$B$15,Paramètres!$A$1:$I$89,3,0)*0.475*44/12</f>
        <v>1.2139156277467058</v>
      </c>
      <c r="EX170" s="23">
        <f>EXP(-LN(2)/2)*EX169+(1-EXP(-LN(2)/2))/(LN(2)/2)*ER170*EU170*VLOOKUP('Données projet'!$B$15,Paramètres!$A$1:$I$89,3,0)*0.475*44/12</f>
        <v>4.971626465263813E-15</v>
      </c>
      <c r="EY170" s="24">
        <f t="shared" si="181"/>
        <v>29.864853462892629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1.7053025658242404E-13</v>
      </c>
      <c r="FF170" s="18">
        <f>FE170*VLOOKUP('Données projet'!$B$16,Paramètres!$A$1:$I$89,3,0)*VLOOKUP('Données projet'!$B$16,Paramètres!$A$1:$I$89,5,0)</f>
        <v>1.3301360013429075E-13</v>
      </c>
      <c r="FG170" s="14">
        <f t="shared" si="182"/>
        <v>1.9329766731057041E-12</v>
      </c>
      <c r="FH170" s="22">
        <f t="shared" si="183"/>
        <v>3.5982663925596575E-12</v>
      </c>
      <c r="FI170" s="62">
        <f t="shared" si="131"/>
        <v>293.3333333333369</v>
      </c>
      <c r="FJ170" s="62">
        <f ca="1">AVERAGE(OFFSET($FI$3,0,0,'Données projet'!$E$16+1,1))-AVERAGE(OFFSET($H$3,0,0,'Données projet'!$E$16+1,1))</f>
        <v>249.2899297828755</v>
      </c>
      <c r="FK170" s="62">
        <f t="shared" si="156"/>
        <v>162.88011837476813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23.105595028343487</v>
      </c>
      <c r="FR170" s="23">
        <f>EXP(-LN(2)/25)*FR169+(1-EXP(-LN(2)/25))/(LN(2)/25)*Calculateur!FM170*Calculateur!FO170*VLOOKUP('Données projet'!$B$16,Paramètres!$A$1:$I$89,3,0)*0.475*44/12</f>
        <v>0.97896421592476102</v>
      </c>
      <c r="FS170" s="23">
        <f>EXP(-LN(2)/2)*FS169+(1-EXP(-LN(2)/2))/(LN(2)/2)*FM170*FP170*VLOOKUP('Données projet'!$B$16,Paramètres!$A$1:$I$89,3,0)*0.475*44/12</f>
        <v>4.0093761816643328E-15</v>
      </c>
      <c r="FT170" s="24">
        <f t="shared" si="184"/>
        <v>24.084559244268252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1.7053025658242404E-13</v>
      </c>
      <c r="GA170" s="18">
        <f>FZ170*VLOOKUP('Données projet'!$B$17,Paramètres!$A$1:$I$89,3,0)*VLOOKUP('Données projet'!$B$17,Paramètres!$A$1:$I$89,5,0)</f>
        <v>1.1439169611549005E-13</v>
      </c>
      <c r="GB170" s="14">
        <f t="shared" si="185"/>
        <v>1.6918016515029816E-12</v>
      </c>
      <c r="GC170" s="22">
        <f t="shared" si="186"/>
        <v>3.1457867471021712E-12</v>
      </c>
      <c r="GD170" s="62">
        <f t="shared" si="134"/>
        <v>293.33333333333644</v>
      </c>
      <c r="GE170" s="62">
        <f ca="1">AVERAGE(OFFSET($GD$3,0,0,'Données projet'!$E$17+1,1))-AVERAGE(OFFSET($H$3,0,0,'Données projet'!$E$17+1,1))</f>
        <v>218.89895999738746</v>
      </c>
      <c r="GF170" s="62">
        <f t="shared" si="158"/>
        <v>145.64042897395763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24.491930730044068</v>
      </c>
      <c r="GM170" s="23">
        <f>EXP(-LN(2)/25)*GM169+(1-EXP(-LN(2)/25))/(LN(2)/25)*Calculateur!GH170*Calculateur!GJ170*VLOOKUP('Données projet'!$B$17,Paramètres!$A$1:$I$89,3,0)*0.475*44/12</f>
        <v>1.0377020688802481</v>
      </c>
      <c r="GN170" s="23">
        <f>EXP(-LN(2)/2)*GN169+(1-EXP(-LN(2)/2))/(LN(2)/2)*GH170*GK170*VLOOKUP('Données projet'!$B$17,Paramètres!$A$1:$I$89,3,0)*0.475*44/12</f>
        <v>3.4480635162313547E-15</v>
      </c>
      <c r="GO170" s="23">
        <f t="shared" si="187"/>
        <v>25.529632798924318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1.7053025658242404E-13</v>
      </c>
      <c r="GV170" s="18">
        <f>GU170*VLOOKUP('Données projet'!$B$18,Paramètres!$A$1:$I$89,3,0)*VLOOKUP('Données projet'!$B$18,Paramètres!$A$1:$I$89,5,0)</f>
        <v>1.8355876818532125E-13</v>
      </c>
      <c r="GW170" s="14">
        <f t="shared" si="188"/>
        <v>2.5693529898865504E-12</v>
      </c>
      <c r="GX170" s="22">
        <f t="shared" si="189"/>
        <v>4.7946546453085093E-12</v>
      </c>
      <c r="GY170" s="62">
        <f t="shared" si="137"/>
        <v>293.33333333333809</v>
      </c>
      <c r="GZ170" s="62">
        <f ca="1">AVERAGE(OFFSET($GY$3,0,0,'Données projet'!$E$18+1,1))-AVERAGE(OFFSET($H$3,0,0,'Données projet'!$E$18+1,1))</f>
        <v>331.3579800635751</v>
      </c>
      <c r="HA170" s="62">
        <f t="shared" si="160"/>
        <v>209.40702003535273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31.885721139114008</v>
      </c>
      <c r="HH170" s="23">
        <f>EXP(-LN(2)/25)*HH169+(1-EXP(-LN(2)/25))/(LN(2)/25)*Calculateur!HC170*Calculateur!HE170*VLOOKUP('Données projet'!$B$18,Paramètres!$A$1:$I$89,3,0)*0.475*44/12</f>
        <v>1.3509706179761727</v>
      </c>
      <c r="HI170" s="23">
        <f>EXP(-LN(2)/2)*HI169+(1-EXP(-LN(2)/2))/(LN(2)/2)*HC170*HF170*VLOOKUP('Données projet'!$B$18,Paramètres!$A$1:$I$89,3,0)*0.475*44/12</f>
        <v>5.5329391306967808E-15</v>
      </c>
      <c r="HJ170" s="24">
        <f t="shared" si="190"/>
        <v>33.236691757090185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5.0022208597511053E-12</v>
      </c>
      <c r="O171" s="14">
        <f>N171*VLOOKUP('Données projet'!$B$9,Paramètres!$A$1:$I$89,3,0)*VLOOKUP('Données projet'!$B$9,Paramètres!$A$1:$I$89,5,0)</f>
        <v>4.5260094339028E-12</v>
      </c>
      <c r="P171" s="14">
        <f t="shared" si="141"/>
        <v>4.3625683148570328E-11</v>
      </c>
      <c r="Q171" s="22">
        <f t="shared" si="162"/>
        <v>8.3864197914474037E-11</v>
      </c>
      <c r="R171" s="62">
        <f t="shared" si="109"/>
        <v>293.33333333341716</v>
      </c>
      <c r="S171" s="62">
        <f ca="1">AVERAGE(OFFSET($R$3,0,0,'Données projet'!$E$9+1,1))-AVERAGE(OFFSET($H$3,0,0,'Données projet'!$E$9+1,1))</f>
        <v>2472.5049373954762</v>
      </c>
      <c r="T171" s="62">
        <f t="shared" si="142"/>
        <v>286.98388307318311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1000.3136724762069</v>
      </c>
      <c r="AA171" s="23">
        <f>EXP(-LN(2)/25)*AA170+(1-EXP(-LN(2)/25))/(LN(2)/25)*Calculateur!V171*Calculateur!X171*VLOOKUP('Données projet'!$B$9,Paramètres!$A$1:$I$89,3,0)*0.475*44/12</f>
        <v>40.314420566473125</v>
      </c>
      <c r="AB171" s="23">
        <f>EXP(-LN(2)/2)*AB170+(1-EXP(-LN(2)/2))/(LN(2)/2)*V171*Y171*VLOOKUP('Données projet'!$B$9,Paramètres!$A$1:$I$89,3,0)*0.475*44/12</f>
        <v>1.2598826458105545E-2</v>
      </c>
      <c r="AC171" s="24">
        <f t="shared" si="163"/>
        <v>1040.640691869138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5.0022208597511053E-12</v>
      </c>
      <c r="AJ171" s="14">
        <f>AI171*VLOOKUP('Données projet'!$B$10,Paramètres!$A$1:$I$89,3,0)*VLOOKUP('Données projet'!$B$10,Paramètres!$A$1:$I$89,5,0)</f>
        <v>5.0722519517876216E-12</v>
      </c>
      <c r="AK171" s="14">
        <f t="shared" si="164"/>
        <v>4.8246688221215311E-11</v>
      </c>
      <c r="AL171" s="22">
        <f t="shared" si="165"/>
        <v>9.2863820801313432E-11</v>
      </c>
      <c r="AM171" s="62">
        <f t="shared" si="113"/>
        <v>293.3333333334262</v>
      </c>
      <c r="AN171" s="62">
        <f ca="1">AVERAGE(OFFSET($AM$3,0,0,'Données projet'!$E$10+1,1))-AVERAGE(OFFSET($H$3,0,0,'Données projet'!$E$10+1,1))</f>
        <v>2761.1400657295467</v>
      </c>
      <c r="AO171" s="62">
        <f t="shared" si="144"/>
        <v>316.41877504316409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1121.0411846716108</v>
      </c>
      <c r="AV171" s="23">
        <f>EXP(-LN(2)/25)*AV170+(1-EXP(-LN(2)/25))/(LN(2)/25)*Calculateur!AQ171*Calculateur!AS171*VLOOKUP('Données projet'!$B$10,Paramètres!$A$1:$I$89,3,0)*0.475*44/12</f>
        <v>45.179954083116471</v>
      </c>
      <c r="AW171" s="23">
        <f>EXP(-LN(2)/2)*AW170+(1-EXP(-LN(2)/2))/(LN(2)/2)*AQ171*AT171*VLOOKUP('Données projet'!$B$10,Paramètres!$A$1:$I$89,3,0)*0.475*44/12</f>
        <v>1.411937447891139E-2</v>
      </c>
      <c r="AX171" s="23">
        <f t="shared" si="166"/>
        <v>1166.2352581292062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5.0022208597511053E-12</v>
      </c>
      <c r="BE171" s="14">
        <f>BD171*VLOOKUP('Données projet'!$B$11,Paramètres!$A$1:$I$89,3,0)*VLOOKUP('Données projet'!$B$11,Paramètres!$A$1:$I$89,5,0)</f>
        <v>5.2283212426118558E-12</v>
      </c>
      <c r="BF171" s="14">
        <f t="shared" si="167"/>
        <v>4.9556081821365385E-11</v>
      </c>
      <c r="BG171" s="22">
        <f t="shared" si="168"/>
        <v>9.5416168669760364E-11</v>
      </c>
      <c r="BH171" s="62">
        <f t="shared" si="116"/>
        <v>293.33333333342875</v>
      </c>
      <c r="BI171" s="62">
        <f ca="1">AVERAGE(OFFSET($BH$3,0,0,'Données projet'!$E$11+1,1))-AVERAGE(OFFSET($H$3,0,0,'Données projet'!$E$11+1,1))</f>
        <v>2843.5086223152098</v>
      </c>
      <c r="BJ171" s="62">
        <f t="shared" si="146"/>
        <v>324.81562437645522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1155.5347595845838</v>
      </c>
      <c r="BQ171" s="23">
        <f>EXP(-LN(2)/25)*BQ170+(1-EXP(-LN(2)/25))/(LN(2)/25)*Calculateur!BL171*Calculateur!BN171*VLOOKUP('Données projet'!$B$11,Paramètres!$A$1:$I$89,3,0)*0.475*44/12</f>
        <v>46.570106516443126</v>
      </c>
      <c r="BR171" s="23">
        <f>EXP(-LN(2)/2)*BR170+(1-EXP(-LN(2)/2))/(LN(2)/2)*BL171*BO171*VLOOKUP('Données projet'!$B$11,Paramètres!$A$1:$I$89,3,0)*0.475*44/12</f>
        <v>1.4553816770570214E-2</v>
      </c>
      <c r="BS171" s="24">
        <f t="shared" si="169"/>
        <v>1202.1194199177974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5.0022208597511053E-12</v>
      </c>
      <c r="BZ171" s="14">
        <f>BY171*VLOOKUP('Données projet'!$B$12,Paramètres!$A$1:$I$89,3,0)*VLOOKUP('Données projet'!$B$12,Paramètres!$A$1:$I$89,5,0)</f>
        <v>4.9942173063755036E-12</v>
      </c>
      <c r="CA171" s="14">
        <f t="shared" si="170"/>
        <v>4.7590239529202817E-11</v>
      </c>
      <c r="CB171" s="22">
        <f t="shared" si="171"/>
        <v>9.1584595655298897E-11</v>
      </c>
      <c r="CC171" s="62">
        <f t="shared" si="119"/>
        <v>293.33333333342489</v>
      </c>
      <c r="CD171" s="62">
        <f ca="1">AVERAGE(OFFSET($CC$3,0,0,'Données projet'!$E$12+1,1))-AVERAGE(OFFSET($H$3,0,0,'Données projet'!$E$12+1,1))</f>
        <v>2719.939926994799</v>
      </c>
      <c r="CE171" s="62">
        <f t="shared" si="148"/>
        <v>312.21824046329749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1103.7943972151249</v>
      </c>
      <c r="CL171" s="23">
        <f>EXP(-LN(2)/25)*CL170+(1-EXP(-LN(2)/25))/(LN(2)/25)*Calculateur!CG171*Calculateur!CI171*VLOOKUP('Données projet'!$B$12,Paramètres!$A$1:$I$89,3,0)*0.475*44/12</f>
        <v>44.484877866453139</v>
      </c>
      <c r="CM171" s="23">
        <f>EXP(-LN(2)/2)*CM170+(1-EXP(-LN(2)/2))/(LN(2)/2)*CG171*CJ171*VLOOKUP('Données projet'!$B$12,Paramètres!$A$1:$I$89,3,0)*0.475*44/12</f>
        <v>1.3902153333081976E-2</v>
      </c>
      <c r="CN171" s="24">
        <f t="shared" si="172"/>
        <v>1148.2931772349111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1.1368683772161603E-12</v>
      </c>
      <c r="CU171" s="18">
        <f>CT171*VLOOKUP('Données projet'!$B$13,Paramètres!$A$1:$I$89,3,0)*VLOOKUP('Données projet'!$B$13,Paramètres!$A$1:$I$89,5,0)</f>
        <v>9.9316821433603771E-13</v>
      </c>
      <c r="CV171" s="14">
        <f t="shared" si="173"/>
        <v>1.1421454694498936E-11</v>
      </c>
      <c r="CW171" s="22">
        <f t="shared" si="174"/>
        <v>2.1622134899554243E-11</v>
      </c>
      <c r="CX171" s="62">
        <f t="shared" si="122"/>
        <v>293.33333333335491</v>
      </c>
      <c r="CY171" s="62">
        <f ca="1">AVERAGE(OFFSET($CX$3,0,0,'Données projet'!$E$13+1,1))-AVERAGE(OFFSET($H$3,0,0,'Données projet'!$E$13+1,1))</f>
        <v>1036.0130072090849</v>
      </c>
      <c r="CZ171" s="62">
        <f t="shared" si="150"/>
        <v>346.56593355696174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117.21746999301504</v>
      </c>
      <c r="DG171" s="23">
        <f>EXP(-LN(2)/25)*DG170+(1-EXP(-LN(2)/25))/(LN(2)/25)*Calculateur!DB171*Calculateur!DD171*VLOOKUP('Données projet'!$B$13,Paramètres!$A$1:$I$89,3,0)*0.475*44/12</f>
        <v>3.6892284925157584</v>
      </c>
      <c r="DH171" s="23">
        <f>EXP(-LN(2)/2)*DH170+(1-EXP(-LN(2)/2))/(LN(2)/2)*DB171*DE171*VLOOKUP('Données projet'!$B$13,Paramètres!$A$1:$I$89,3,0)*0.475*44/12</f>
        <v>5.1372248662267255E-12</v>
      </c>
      <c r="DI171" s="24">
        <f t="shared" si="175"/>
        <v>120.90669848553594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6.8212102632969618E-13</v>
      </c>
      <c r="DP171" s="18">
        <f>DO171*VLOOKUP('Données projet'!$B$14,Paramètres!$A$1:$I$89,3,0)*VLOOKUP('Données projet'!$B$14,Paramètres!$A$1:$I$89,5,0)</f>
        <v>3.8130565371830017E-13</v>
      </c>
      <c r="DQ171" s="14">
        <f t="shared" si="176"/>
        <v>4.9019074112354236E-12</v>
      </c>
      <c r="DR171" s="22">
        <f t="shared" si="177"/>
        <v>9.2015960881277352E-12</v>
      </c>
      <c r="DS171" s="62">
        <f t="shared" si="125"/>
        <v>293.33333333334252</v>
      </c>
      <c r="DT171" s="62">
        <f ca="1">AVERAGE(OFFSET($DS$3,0,0,'Données projet'!$E$14+1,1))-AVERAGE(OFFSET($H$3,0,0,'Données projet'!$E$14+1,1))</f>
        <v>446.48069057792151</v>
      </c>
      <c r="DU171" s="62">
        <f t="shared" si="152"/>
        <v>561.75656782935948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21.75114538107216</v>
      </c>
      <c r="EB171" s="23">
        <f>EXP(-LN(2)/25)*EB170+(1-EXP(-LN(2)/25))/(LN(2)/25)*Calculateur!DW171*Calculateur!DY171*VLOOKUP('Données projet'!$B$14,Paramètres!$A$1:$I$89,3,0)*0.475*44/12</f>
        <v>4.0571492011714243</v>
      </c>
      <c r="EC171" s="23">
        <f>EXP(-LN(2)/2)*EC170+(1-EXP(-LN(2)/2))/(LN(2)/2)*DW171*DZ171*VLOOKUP('Données projet'!$B$14,Paramètres!$A$1:$I$89,3,0)*0.475*44/12</f>
        <v>7.4487733704573965E-15</v>
      </c>
      <c r="ED171" s="24">
        <f t="shared" si="178"/>
        <v>25.80829458224359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1.7053025658242404E-13</v>
      </c>
      <c r="EK171" s="18">
        <f>EJ171*VLOOKUP('Données projet'!$B$15,Paramètres!$A$1:$I$89,3,0)*VLOOKUP('Données projet'!$B$15,Paramètres!$A$1:$I$89,5,0)</f>
        <v>1.6493686416652052E-13</v>
      </c>
      <c r="EL171" s="14">
        <f t="shared" si="179"/>
        <v>2.3376205369651282E-12</v>
      </c>
      <c r="EM171" s="22">
        <f t="shared" si="180"/>
        <v>4.3586208069709543E-12</v>
      </c>
      <c r="EN171" s="62">
        <f t="shared" si="128"/>
        <v>293.33333333333769</v>
      </c>
      <c r="EO171" s="62">
        <f ca="1">AVERAGE(OFFSET($EN$3,0,0,'Données projet'!$E$15+1,1))-AVERAGE(OFFSET($H$3,0,0,'Données projet'!$E$15+1,1))</f>
        <v>301.18531163828169</v>
      </c>
      <c r="EP171" s="62">
        <f t="shared" si="154"/>
        <v>192.30530273268101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28.089110419545243</v>
      </c>
      <c r="EW171" s="23">
        <f>EXP(-LN(2)/25)*EW170+(1-EXP(-LN(2)/25))/(LN(2)/25)*Calculateur!ER171*Calculateur!ET171*VLOOKUP('Données projet'!$B$15,Paramètres!$A$1:$I$89,3,0)*0.475*44/12</f>
        <v>1.1807210410689237</v>
      </c>
      <c r="EX171" s="23">
        <f>EXP(-LN(2)/2)*EX170+(1-EXP(-LN(2)/2))/(LN(2)/2)*ER171*EU171*VLOOKUP('Données projet'!$B$15,Paramètres!$A$1:$I$89,3,0)*0.475*44/12</f>
        <v>3.5154707871145481E-15</v>
      </c>
      <c r="EY171" s="24">
        <f t="shared" si="181"/>
        <v>29.269831460614171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1.7053025658242404E-13</v>
      </c>
      <c r="FF171" s="18">
        <f>FE171*VLOOKUP('Données projet'!$B$16,Paramètres!$A$1:$I$89,3,0)*VLOOKUP('Données projet'!$B$16,Paramètres!$A$1:$I$89,5,0)</f>
        <v>1.3301360013429075E-13</v>
      </c>
      <c r="FG171" s="14">
        <f t="shared" si="182"/>
        <v>1.9329766731057041E-12</v>
      </c>
      <c r="FH171" s="22">
        <f t="shared" si="183"/>
        <v>3.5982663925596575E-12</v>
      </c>
      <c r="FI171" s="62">
        <f t="shared" si="131"/>
        <v>293.3333333333369</v>
      </c>
      <c r="FJ171" s="62">
        <f ca="1">AVERAGE(OFFSET($FI$3,0,0,'Données projet'!$E$16+1,1))-AVERAGE(OFFSET($H$3,0,0,'Données projet'!$E$16+1,1))</f>
        <v>249.2899297828755</v>
      </c>
      <c r="FK171" s="62">
        <f t="shared" si="156"/>
        <v>162.88011837476813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22.65250840285907</v>
      </c>
      <c r="FR171" s="23">
        <f>EXP(-LN(2)/25)*FR170+(1-EXP(-LN(2)/25))/(LN(2)/25)*Calculateur!FM171*Calculateur!FO171*VLOOKUP('Données projet'!$B$16,Paramètres!$A$1:$I$89,3,0)*0.475*44/12</f>
        <v>0.95219438795880773</v>
      </c>
      <c r="FS171" s="23">
        <f>EXP(-LN(2)/2)*FS170+(1-EXP(-LN(2)/2))/(LN(2)/2)*FM171*FP171*VLOOKUP('Données projet'!$B$16,Paramètres!$A$1:$I$89,3,0)*0.475*44/12</f>
        <v>2.8350570863826768E-15</v>
      </c>
      <c r="FT171" s="24">
        <f t="shared" si="184"/>
        <v>23.604702790817882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1.7053025658242404E-13</v>
      </c>
      <c r="GA171" s="18">
        <f>FZ171*VLOOKUP('Données projet'!$B$17,Paramètres!$A$1:$I$89,3,0)*VLOOKUP('Données projet'!$B$17,Paramètres!$A$1:$I$89,5,0)</f>
        <v>1.1439169611549005E-13</v>
      </c>
      <c r="GB171" s="14">
        <f t="shared" si="185"/>
        <v>1.6918016515029816E-12</v>
      </c>
      <c r="GC171" s="22">
        <f t="shared" si="186"/>
        <v>3.1457867471021712E-12</v>
      </c>
      <c r="GD171" s="62">
        <f t="shared" si="134"/>
        <v>293.33333333333644</v>
      </c>
      <c r="GE171" s="62">
        <f ca="1">AVERAGE(OFFSET($GD$3,0,0,'Données projet'!$E$17+1,1))-AVERAGE(OFFSET($H$3,0,0,'Données projet'!$E$17+1,1))</f>
        <v>218.89895999738746</v>
      </c>
      <c r="GF171" s="62">
        <f t="shared" si="158"/>
        <v>145.64042897395763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24.011658907030583</v>
      </c>
      <c r="GM171" s="23">
        <f>EXP(-LN(2)/25)*GM170+(1-EXP(-LN(2)/25))/(LN(2)/25)*Calculateur!GH171*Calculateur!GJ171*VLOOKUP('Données projet'!$B$17,Paramètres!$A$1:$I$89,3,0)*0.475*44/12</f>
        <v>1.0093260512363376</v>
      </c>
      <c r="GN171" s="23">
        <f>EXP(-LN(2)/2)*GN170+(1-EXP(-LN(2)/2))/(LN(2)/2)*GH171*GK171*VLOOKUP('Données projet'!$B$17,Paramètres!$A$1:$I$89,3,0)*0.475*44/12</f>
        <v>2.4381490942891225E-15</v>
      </c>
      <c r="GO171" s="23">
        <f t="shared" si="187"/>
        <v>25.020984958266926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1.7053025658242404E-13</v>
      </c>
      <c r="GV171" s="18">
        <f>GU171*VLOOKUP('Données projet'!$B$18,Paramètres!$A$1:$I$89,3,0)*VLOOKUP('Données projet'!$B$18,Paramètres!$A$1:$I$89,5,0)</f>
        <v>1.8355876818532125E-13</v>
      </c>
      <c r="GW171" s="14">
        <f t="shared" si="188"/>
        <v>2.5693529898865504E-12</v>
      </c>
      <c r="GX171" s="22">
        <f t="shared" si="189"/>
        <v>4.7946546453085093E-12</v>
      </c>
      <c r="GY171" s="62">
        <f t="shared" si="137"/>
        <v>293.33333333333809</v>
      </c>
      <c r="GZ171" s="62">
        <f ca="1">AVERAGE(OFFSET($GY$3,0,0,'Données projet'!$E$18+1,1))-AVERAGE(OFFSET($H$3,0,0,'Données projet'!$E$18+1,1))</f>
        <v>331.3579800635751</v>
      </c>
      <c r="HA171" s="62">
        <f t="shared" si="160"/>
        <v>209.40702003535273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31.260461595945511</v>
      </c>
      <c r="HH171" s="23">
        <f>EXP(-LN(2)/25)*HH170+(1-EXP(-LN(2)/25))/(LN(2)/25)*Calculateur!HC171*Calculateur!HE171*VLOOKUP('Données projet'!$B$18,Paramètres!$A$1:$I$89,3,0)*0.475*44/12</f>
        <v>1.314028255383157</v>
      </c>
      <c r="HI171" s="23">
        <f>EXP(-LN(2)/2)*HI170+(1-EXP(-LN(2)/2))/(LN(2)/2)*HC171*HF171*VLOOKUP('Données projet'!$B$18,Paramètres!$A$1:$I$89,3,0)*0.475*44/12</f>
        <v>3.912378779208095E-15</v>
      </c>
      <c r="HJ171" s="24">
        <f t="shared" si="190"/>
        <v>32.574489851328678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5.0022208597511053E-12</v>
      </c>
      <c r="O172" s="14">
        <f>N172*VLOOKUP('Données projet'!$B$9,Paramètres!$A$1:$I$89,3,0)*VLOOKUP('Données projet'!$B$9,Paramètres!$A$1:$I$89,5,0)</f>
        <v>4.5260094339028E-12</v>
      </c>
      <c r="P172" s="14">
        <f t="shared" si="141"/>
        <v>4.3625683148570328E-11</v>
      </c>
      <c r="Q172" s="22">
        <f t="shared" si="162"/>
        <v>8.3864197914474037E-11</v>
      </c>
      <c r="R172" s="62">
        <f t="shared" si="109"/>
        <v>293.33333333341716</v>
      </c>
      <c r="S172" s="62">
        <f ca="1">AVERAGE(OFFSET($R$3,0,0,'Données projet'!$E$9+1,1))-AVERAGE(OFFSET($H$3,0,0,'Données projet'!$E$9+1,1))</f>
        <v>2472.5049373954762</v>
      </c>
      <c r="T172" s="62">
        <f t="shared" si="142"/>
        <v>286.98388307318311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980.69813149004324</v>
      </c>
      <c r="AA172" s="23">
        <f>EXP(-LN(2)/25)*AA171+(1-EXP(-LN(2)/25))/(LN(2)/25)*Calculateur!V172*Calculateur!X172*VLOOKUP('Données projet'!$B$9,Paramètres!$A$1:$I$89,3,0)*0.475*44/12</f>
        <v>39.21202061603968</v>
      </c>
      <c r="AB172" s="23">
        <f>EXP(-LN(2)/2)*AB171+(1-EXP(-LN(2)/2))/(LN(2)/2)*V172*Y172*VLOOKUP('Données projet'!$B$9,Paramètres!$A$1:$I$89,3,0)*0.475*44/12</f>
        <v>8.9087156235189233E-3</v>
      </c>
      <c r="AC172" s="24">
        <f t="shared" si="163"/>
        <v>1019.9190608217065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5.0022208597511053E-12</v>
      </c>
      <c r="AJ172" s="14">
        <f>AI172*VLOOKUP('Données projet'!$B$10,Paramètres!$A$1:$I$89,3,0)*VLOOKUP('Données projet'!$B$10,Paramètres!$A$1:$I$89,5,0)</f>
        <v>5.0722519517876216E-12</v>
      </c>
      <c r="AK172" s="14">
        <f t="shared" si="164"/>
        <v>4.8246688221215311E-11</v>
      </c>
      <c r="AL172" s="22">
        <f t="shared" si="165"/>
        <v>9.2863820801313432E-11</v>
      </c>
      <c r="AM172" s="62">
        <f t="shared" si="113"/>
        <v>293.3333333334262</v>
      </c>
      <c r="AN172" s="62">
        <f ca="1">AVERAGE(OFFSET($AM$3,0,0,'Données projet'!$E$10+1,1))-AVERAGE(OFFSET($H$3,0,0,'Données projet'!$E$10+1,1))</f>
        <v>2761.1400657295467</v>
      </c>
      <c r="AO172" s="62">
        <f t="shared" si="144"/>
        <v>316.41877504316409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1099.0582508078066</v>
      </c>
      <c r="AV172" s="23">
        <f>EXP(-LN(2)/25)*AV171+(1-EXP(-LN(2)/25))/(LN(2)/25)*Calculateur!AQ172*Calculateur!AS172*VLOOKUP('Données projet'!$B$10,Paramètres!$A$1:$I$89,3,0)*0.475*44/12</f>
        <v>43.944505862803126</v>
      </c>
      <c r="AW172" s="23">
        <f>EXP(-LN(2)/2)*AW171+(1-EXP(-LN(2)/2))/(LN(2)/2)*AQ172*AT172*VLOOKUP('Données projet'!$B$10,Paramètres!$A$1:$I$89,3,0)*0.475*44/12</f>
        <v>9.9839054401505197E-3</v>
      </c>
      <c r="AX172" s="23">
        <f t="shared" si="166"/>
        <v>1143.01274057605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5.0022208597511053E-12</v>
      </c>
      <c r="BE172" s="14">
        <f>BD172*VLOOKUP('Données projet'!$B$11,Paramètres!$A$1:$I$89,3,0)*VLOOKUP('Données projet'!$B$11,Paramètres!$A$1:$I$89,5,0)</f>
        <v>5.2283212426118558E-12</v>
      </c>
      <c r="BF172" s="14">
        <f t="shared" si="167"/>
        <v>4.9556081821365385E-11</v>
      </c>
      <c r="BG172" s="22">
        <f t="shared" si="168"/>
        <v>9.5416168669760364E-11</v>
      </c>
      <c r="BH172" s="62">
        <f t="shared" si="116"/>
        <v>293.33333333342875</v>
      </c>
      <c r="BI172" s="62">
        <f ca="1">AVERAGE(OFFSET($BH$3,0,0,'Données projet'!$E$11+1,1))-AVERAGE(OFFSET($H$3,0,0,'Données projet'!$E$11+1,1))</f>
        <v>2843.5086223152098</v>
      </c>
      <c r="BJ172" s="62">
        <f t="shared" si="146"/>
        <v>324.81562437645522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1132.8754277557396</v>
      </c>
      <c r="BQ172" s="23">
        <f>EXP(-LN(2)/25)*BQ171+(1-EXP(-LN(2)/25))/(LN(2)/25)*Calculateur!BL172*Calculateur!BN172*VLOOKUP('Données projet'!$B$11,Paramètres!$A$1:$I$89,3,0)*0.475*44/12</f>
        <v>45.296644504735525</v>
      </c>
      <c r="BR172" s="23">
        <f>EXP(-LN(2)/2)*BR171+(1-EXP(-LN(2)/2))/(LN(2)/2)*BL172*BO172*VLOOKUP('Données projet'!$B$11,Paramètres!$A$1:$I$89,3,0)*0.475*44/12</f>
        <v>1.0291102530616698E-2</v>
      </c>
      <c r="BS172" s="24">
        <f t="shared" si="169"/>
        <v>1178.1823633630056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5.0022208597511053E-12</v>
      </c>
      <c r="BZ172" s="14">
        <f>BY172*VLOOKUP('Données projet'!$B$12,Paramètres!$A$1:$I$89,3,0)*VLOOKUP('Données projet'!$B$12,Paramètres!$A$1:$I$89,5,0)</f>
        <v>4.9942173063755036E-12</v>
      </c>
      <c r="CA172" s="14">
        <f t="shared" si="170"/>
        <v>4.7590239529202817E-11</v>
      </c>
      <c r="CB172" s="22">
        <f t="shared" si="171"/>
        <v>9.1584595655298897E-11</v>
      </c>
      <c r="CC172" s="62">
        <f t="shared" si="119"/>
        <v>293.33333333342489</v>
      </c>
      <c r="CD172" s="62">
        <f ca="1">AVERAGE(OFFSET($CC$3,0,0,'Données projet'!$E$12+1,1))-AVERAGE(OFFSET($H$3,0,0,'Données projet'!$E$12+1,1))</f>
        <v>2719.939926994799</v>
      </c>
      <c r="CE172" s="62">
        <f t="shared" si="148"/>
        <v>312.21824046329749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1082.149662333841</v>
      </c>
      <c r="CL172" s="23">
        <f>EXP(-LN(2)/25)*CL171+(1-EXP(-LN(2)/25))/(LN(2)/25)*Calculateur!CG172*Calculateur!CI172*VLOOKUP('Données projet'!$B$12,Paramètres!$A$1:$I$89,3,0)*0.475*44/12</f>
        <v>43.26843654183692</v>
      </c>
      <c r="CM172" s="23">
        <f>EXP(-LN(2)/2)*CM171+(1-EXP(-LN(2)/2))/(LN(2)/2)*CG172*CJ172*VLOOKUP('Données projet'!$B$12,Paramètres!$A$1:$I$89,3,0)*0.475*44/12</f>
        <v>9.8303068949174288E-3</v>
      </c>
      <c r="CN172" s="24">
        <f t="shared" si="172"/>
        <v>1125.4279291825728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1.1368683772161603E-12</v>
      </c>
      <c r="CU172" s="18">
        <f>CT172*VLOOKUP('Données projet'!$B$13,Paramètres!$A$1:$I$89,3,0)*VLOOKUP('Données projet'!$B$13,Paramètres!$A$1:$I$89,5,0)</f>
        <v>9.9316821433603771E-13</v>
      </c>
      <c r="CV172" s="14">
        <f t="shared" si="173"/>
        <v>1.1421454694498936E-11</v>
      </c>
      <c r="CW172" s="22">
        <f t="shared" si="174"/>
        <v>2.1622134899554243E-11</v>
      </c>
      <c r="CX172" s="62">
        <f t="shared" si="122"/>
        <v>293.33333333335491</v>
      </c>
      <c r="CY172" s="62">
        <f ca="1">AVERAGE(OFFSET($CX$3,0,0,'Données projet'!$E$13+1,1))-AVERAGE(OFFSET($H$3,0,0,'Données projet'!$E$13+1,1))</f>
        <v>1036.0130072090849</v>
      </c>
      <c r="CZ172" s="62">
        <f t="shared" si="150"/>
        <v>346.56593355696174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114.91890690204912</v>
      </c>
      <c r="DG172" s="23">
        <f>EXP(-LN(2)/25)*DG171+(1-EXP(-LN(2)/25))/(LN(2)/25)*Calculateur!DB172*Calculateur!DD172*VLOOKUP('Données projet'!$B$13,Paramètres!$A$1:$I$89,3,0)*0.475*44/12</f>
        <v>3.5883463453798203</v>
      </c>
      <c r="DH172" s="23">
        <f>EXP(-LN(2)/2)*DH171+(1-EXP(-LN(2)/2))/(LN(2)/2)*DB172*DE172*VLOOKUP('Données projet'!$B$13,Paramètres!$A$1:$I$89,3,0)*0.475*44/12</f>
        <v>3.6325665393890723E-12</v>
      </c>
      <c r="DI172" s="24">
        <f t="shared" si="175"/>
        <v>118.50725324743257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6.8212102632969618E-13</v>
      </c>
      <c r="DP172" s="18">
        <f>DO172*VLOOKUP('Données projet'!$B$14,Paramètres!$A$1:$I$89,3,0)*VLOOKUP('Données projet'!$B$14,Paramètres!$A$1:$I$89,5,0)</f>
        <v>3.8130565371830017E-13</v>
      </c>
      <c r="DQ172" s="14">
        <f t="shared" si="176"/>
        <v>4.9019074112354236E-12</v>
      </c>
      <c r="DR172" s="22">
        <f t="shared" si="177"/>
        <v>9.2015960881277352E-12</v>
      </c>
      <c r="DS172" s="62">
        <f t="shared" si="125"/>
        <v>293.33333333334252</v>
      </c>
      <c r="DT172" s="62">
        <f ca="1">AVERAGE(OFFSET($DS$3,0,0,'Données projet'!$E$14+1,1))-AVERAGE(OFFSET($H$3,0,0,'Données projet'!$E$14+1,1))</f>
        <v>446.48069057792151</v>
      </c>
      <c r="DU172" s="62">
        <f t="shared" si="152"/>
        <v>561.75656782935948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21.324618687038022</v>
      </c>
      <c r="EB172" s="23">
        <f>EXP(-LN(2)/25)*EB171+(1-EXP(-LN(2)/25))/(LN(2)/25)*Calculateur!DW172*Calculateur!DY172*VLOOKUP('Données projet'!$B$14,Paramètres!$A$1:$I$89,3,0)*0.475*44/12</f>
        <v>3.946206242909188</v>
      </c>
      <c r="EC172" s="23">
        <f>EXP(-LN(2)/2)*EC171+(1-EXP(-LN(2)/2))/(LN(2)/2)*DW172*DZ172*VLOOKUP('Données projet'!$B$14,Paramètres!$A$1:$I$89,3,0)*0.475*44/12</f>
        <v>5.2670781617722004E-15</v>
      </c>
      <c r="ED172" s="24">
        <f t="shared" si="178"/>
        <v>25.270824929947214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1.7053025658242404E-13</v>
      </c>
      <c r="EK172" s="18">
        <f>EJ172*VLOOKUP('Données projet'!$B$15,Paramètres!$A$1:$I$89,3,0)*VLOOKUP('Données projet'!$B$15,Paramètres!$A$1:$I$89,5,0)</f>
        <v>1.6493686416652052E-13</v>
      </c>
      <c r="EL172" s="14">
        <f t="shared" si="179"/>
        <v>2.3376205369651282E-12</v>
      </c>
      <c r="EM172" s="22">
        <f t="shared" si="180"/>
        <v>4.3586208069709543E-12</v>
      </c>
      <c r="EN172" s="62">
        <f t="shared" si="128"/>
        <v>293.33333333333769</v>
      </c>
      <c r="EO172" s="62">
        <f ca="1">AVERAGE(OFFSET($EN$3,0,0,'Données projet'!$E$15+1,1))-AVERAGE(OFFSET($H$3,0,0,'Données projet'!$E$15+1,1))</f>
        <v>301.18531163828169</v>
      </c>
      <c r="EP172" s="62">
        <f t="shared" si="154"/>
        <v>192.30530273268101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27.538300096883606</v>
      </c>
      <c r="EW172" s="23">
        <f>EXP(-LN(2)/25)*EW171+(1-EXP(-LN(2)/25))/(LN(2)/25)*Calculateur!ER172*Calculateur!ET172*VLOOKUP('Données projet'!$B$15,Paramètres!$A$1:$I$89,3,0)*0.475*44/12</f>
        <v>1.1484341621094731</v>
      </c>
      <c r="EX172" s="23">
        <f>EXP(-LN(2)/2)*EX171+(1-EXP(-LN(2)/2))/(LN(2)/2)*ER172*EU172*VLOOKUP('Données projet'!$B$15,Paramètres!$A$1:$I$89,3,0)*0.475*44/12</f>
        <v>2.4858132326319069E-15</v>
      </c>
      <c r="EY172" s="24">
        <f t="shared" si="181"/>
        <v>28.686734258993084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1.7053025658242404E-13</v>
      </c>
      <c r="FF172" s="18">
        <f>FE172*VLOOKUP('Données projet'!$B$16,Paramètres!$A$1:$I$89,3,0)*VLOOKUP('Données projet'!$B$16,Paramètres!$A$1:$I$89,5,0)</f>
        <v>1.3301360013429075E-13</v>
      </c>
      <c r="FG172" s="14">
        <f t="shared" si="182"/>
        <v>1.9329766731057041E-12</v>
      </c>
      <c r="FH172" s="22">
        <f t="shared" si="183"/>
        <v>3.5982663925596575E-12</v>
      </c>
      <c r="FI172" s="62">
        <f t="shared" si="131"/>
        <v>293.3333333333369</v>
      </c>
      <c r="FJ172" s="62">
        <f ca="1">AVERAGE(OFFSET($FI$3,0,0,'Données projet'!$E$16+1,1))-AVERAGE(OFFSET($H$3,0,0,'Données projet'!$E$16+1,1))</f>
        <v>249.2899297828755</v>
      </c>
      <c r="FK172" s="62">
        <f t="shared" si="156"/>
        <v>162.88011837476813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22.208306529744846</v>
      </c>
      <c r="FR172" s="23">
        <f>EXP(-LN(2)/25)*FR171+(1-EXP(-LN(2)/25))/(LN(2)/25)*Calculateur!FM172*Calculateur!FO172*VLOOKUP('Données projet'!$B$16,Paramètres!$A$1:$I$89,3,0)*0.475*44/12</f>
        <v>0.92615658234634757</v>
      </c>
      <c r="FS172" s="23">
        <f>EXP(-LN(2)/2)*FS171+(1-EXP(-LN(2)/2))/(LN(2)/2)*FM172*FP172*VLOOKUP('Données projet'!$B$16,Paramètres!$A$1:$I$89,3,0)*0.475*44/12</f>
        <v>2.0046880908321664E-15</v>
      </c>
      <c r="FT172" s="24">
        <f t="shared" si="184"/>
        <v>23.134463112091197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1.7053025658242404E-13</v>
      </c>
      <c r="GA172" s="18">
        <f>FZ172*VLOOKUP('Données projet'!$B$17,Paramètres!$A$1:$I$89,3,0)*VLOOKUP('Données projet'!$B$17,Paramètres!$A$1:$I$89,5,0)</f>
        <v>1.1439169611549005E-13</v>
      </c>
      <c r="GB172" s="14">
        <f t="shared" si="185"/>
        <v>1.6918016515029816E-12</v>
      </c>
      <c r="GC172" s="22">
        <f t="shared" si="186"/>
        <v>3.1457867471021712E-12</v>
      </c>
      <c r="GD172" s="62">
        <f t="shared" si="134"/>
        <v>293.33333333333644</v>
      </c>
      <c r="GE172" s="62">
        <f ca="1">AVERAGE(OFFSET($GD$3,0,0,'Données projet'!$E$17+1,1))-AVERAGE(OFFSET($H$3,0,0,'Données projet'!$E$17+1,1))</f>
        <v>218.89895999738746</v>
      </c>
      <c r="GF172" s="62">
        <f t="shared" si="158"/>
        <v>145.64042897395763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23.540804921529507</v>
      </c>
      <c r="GM172" s="23">
        <f>EXP(-LN(2)/25)*GM171+(1-EXP(-LN(2)/25))/(LN(2)/25)*Calculateur!GH172*Calculateur!GJ172*VLOOKUP('Données projet'!$B$17,Paramètres!$A$1:$I$89,3,0)*0.475*44/12</f>
        <v>0.98172597728712974</v>
      </c>
      <c r="GN172" s="23">
        <f>EXP(-LN(2)/2)*GN171+(1-EXP(-LN(2)/2))/(LN(2)/2)*GH172*GK172*VLOOKUP('Données projet'!$B$17,Paramètres!$A$1:$I$89,3,0)*0.475*44/12</f>
        <v>1.7240317581156777E-15</v>
      </c>
      <c r="GO172" s="23">
        <f t="shared" si="187"/>
        <v>24.522530898816637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1.7053025658242404E-13</v>
      </c>
      <c r="GV172" s="18">
        <f>GU172*VLOOKUP('Données projet'!$B$18,Paramètres!$A$1:$I$89,3,0)*VLOOKUP('Données projet'!$B$18,Paramètres!$A$1:$I$89,5,0)</f>
        <v>1.8355876818532125E-13</v>
      </c>
      <c r="GW172" s="14">
        <f t="shared" si="188"/>
        <v>2.5693529898865504E-12</v>
      </c>
      <c r="GX172" s="22">
        <f t="shared" si="189"/>
        <v>4.7946546453085093E-12</v>
      </c>
      <c r="GY172" s="62">
        <f t="shared" si="137"/>
        <v>293.33333333333809</v>
      </c>
      <c r="GZ172" s="62">
        <f ca="1">AVERAGE(OFFSET($GY$3,0,0,'Données projet'!$E$18+1,1))-AVERAGE(OFFSET($H$3,0,0,'Données projet'!$E$18+1,1))</f>
        <v>331.3579800635751</v>
      </c>
      <c r="HA172" s="62">
        <f t="shared" si="160"/>
        <v>209.40702003535273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30.647463011047883</v>
      </c>
      <c r="HH172" s="23">
        <f>EXP(-LN(2)/25)*HH171+(1-EXP(-LN(2)/25))/(LN(2)/25)*Calculateur!HC172*Calculateur!HE172*VLOOKUP('Données projet'!$B$18,Paramètres!$A$1:$I$89,3,0)*0.475*44/12</f>
        <v>1.278096083637962</v>
      </c>
      <c r="HI172" s="23">
        <f>EXP(-LN(2)/2)*HI171+(1-EXP(-LN(2)/2))/(LN(2)/2)*HC172*HF172*VLOOKUP('Données projet'!$B$18,Paramètres!$A$1:$I$89,3,0)*0.475*44/12</f>
        <v>2.7664695653483904E-15</v>
      </c>
      <c r="HJ172" s="24">
        <f t="shared" si="190"/>
        <v>31.925559094685848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5.0022208597511053E-12</v>
      </c>
      <c r="O173" s="14">
        <f>N173*VLOOKUP('Données projet'!$B$9,Paramètres!$A$1:$I$89,3,0)*VLOOKUP('Données projet'!$B$9,Paramètres!$A$1:$I$89,5,0)</f>
        <v>4.5260094339028E-12</v>
      </c>
      <c r="P173" s="14">
        <f t="shared" si="141"/>
        <v>4.3625683148570328E-11</v>
      </c>
      <c r="Q173" s="22">
        <f t="shared" si="162"/>
        <v>8.3864197914474037E-11</v>
      </c>
      <c r="R173" s="62">
        <f t="shared" si="109"/>
        <v>293.33333333341716</v>
      </c>
      <c r="S173" s="62">
        <f ca="1">AVERAGE(OFFSET($R$3,0,0,'Données projet'!$E$9+1,1))-AVERAGE(OFFSET($H$3,0,0,'Données projet'!$E$9+1,1))</f>
        <v>2472.5049373954762</v>
      </c>
      <c r="T173" s="62">
        <f t="shared" si="142"/>
        <v>286.98388307318311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961.46723929831967</v>
      </c>
      <c r="AA173" s="23">
        <f>EXP(-LN(2)/25)*AA172+(1-EXP(-LN(2)/25))/(LN(2)/25)*Calculateur!V173*Calculateur!X173*VLOOKUP('Données projet'!$B$9,Paramètres!$A$1:$I$89,3,0)*0.475*44/12</f>
        <v>38.139765850223533</v>
      </c>
      <c r="AB173" s="23">
        <f>EXP(-LN(2)/2)*AB172+(1-EXP(-LN(2)/2))/(LN(2)/2)*V173*Y173*VLOOKUP('Données projet'!$B$9,Paramètres!$A$1:$I$89,3,0)*0.475*44/12</f>
        <v>6.2994132290527726E-3</v>
      </c>
      <c r="AC173" s="24">
        <f t="shared" si="163"/>
        <v>999.61330456177222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5.0022208597511053E-12</v>
      </c>
      <c r="AJ173" s="14">
        <f>AI173*VLOOKUP('Données projet'!$B$10,Paramètres!$A$1:$I$89,3,0)*VLOOKUP('Données projet'!$B$10,Paramètres!$A$1:$I$89,5,0)</f>
        <v>5.0722519517876216E-12</v>
      </c>
      <c r="AK173" s="14">
        <f t="shared" si="164"/>
        <v>4.8246688221215311E-11</v>
      </c>
      <c r="AL173" s="22">
        <f t="shared" si="165"/>
        <v>9.2863820801313432E-11</v>
      </c>
      <c r="AM173" s="62">
        <f t="shared" si="113"/>
        <v>293.3333333334262</v>
      </c>
      <c r="AN173" s="62">
        <f ca="1">AVERAGE(OFFSET($AM$3,0,0,'Données projet'!$E$10+1,1))-AVERAGE(OFFSET($H$3,0,0,'Données projet'!$E$10+1,1))</f>
        <v>2761.1400657295467</v>
      </c>
      <c r="AO173" s="62">
        <f t="shared" si="144"/>
        <v>316.41877504316409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1077.506388868806</v>
      </c>
      <c r="AV173" s="23">
        <f>EXP(-LN(2)/25)*AV172+(1-EXP(-LN(2)/25))/(LN(2)/25)*Calculateur!AQ173*Calculateur!AS173*VLOOKUP('Données projet'!$B$10,Paramètres!$A$1:$I$89,3,0)*0.475*44/12</f>
        <v>42.742841039043647</v>
      </c>
      <c r="AW173" s="23">
        <f>EXP(-LN(2)/2)*AW172+(1-EXP(-LN(2)/2))/(LN(2)/2)*AQ173*AT173*VLOOKUP('Données projet'!$B$10,Paramètres!$A$1:$I$89,3,0)*0.475*44/12</f>
        <v>7.0596872394556951E-3</v>
      </c>
      <c r="AX173" s="23">
        <f t="shared" si="166"/>
        <v>1120.2562895950891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5.0022208597511053E-12</v>
      </c>
      <c r="BE173" s="14">
        <f>BD173*VLOOKUP('Données projet'!$B$11,Paramètres!$A$1:$I$89,3,0)*VLOOKUP('Données projet'!$B$11,Paramètres!$A$1:$I$89,5,0)</f>
        <v>5.2283212426118558E-12</v>
      </c>
      <c r="BF173" s="14">
        <f t="shared" si="167"/>
        <v>4.9556081821365385E-11</v>
      </c>
      <c r="BG173" s="22">
        <f t="shared" si="168"/>
        <v>9.5416168669760364E-11</v>
      </c>
      <c r="BH173" s="62">
        <f t="shared" si="116"/>
        <v>293.33333333342875</v>
      </c>
      <c r="BI173" s="62">
        <f ca="1">AVERAGE(OFFSET($BH$3,0,0,'Données projet'!$E$11+1,1))-AVERAGE(OFFSET($H$3,0,0,'Données projet'!$E$11+1,1))</f>
        <v>2843.5086223152098</v>
      </c>
      <c r="BJ173" s="62">
        <f t="shared" si="146"/>
        <v>324.81562437645522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1110.6604316032312</v>
      </c>
      <c r="BQ173" s="23">
        <f>EXP(-LN(2)/25)*BQ172+(1-EXP(-LN(2)/25))/(LN(2)/25)*Calculateur!BL173*Calculateur!BN173*VLOOKUP('Données projet'!$B$11,Paramètres!$A$1:$I$89,3,0)*0.475*44/12</f>
        <v>44.058005378706525</v>
      </c>
      <c r="BR173" s="23">
        <f>EXP(-LN(2)/2)*BR172+(1-EXP(-LN(2)/2))/(LN(2)/2)*BL173*BO173*VLOOKUP('Données projet'!$B$11,Paramètres!$A$1:$I$89,3,0)*0.475*44/12</f>
        <v>7.2769083852851071E-3</v>
      </c>
      <c r="BS173" s="24">
        <f t="shared" si="169"/>
        <v>1154.7257138903233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5.0022208597511053E-12</v>
      </c>
      <c r="BZ173" s="14">
        <f>BY173*VLOOKUP('Données projet'!$B$12,Paramètres!$A$1:$I$89,3,0)*VLOOKUP('Données projet'!$B$12,Paramètres!$A$1:$I$89,5,0)</f>
        <v>4.9942173063755036E-12</v>
      </c>
      <c r="CA173" s="14">
        <f t="shared" si="170"/>
        <v>4.7590239529202817E-11</v>
      </c>
      <c r="CB173" s="22">
        <f t="shared" si="171"/>
        <v>9.1584595655298897E-11</v>
      </c>
      <c r="CC173" s="62">
        <f t="shared" si="119"/>
        <v>293.33333333342489</v>
      </c>
      <c r="CD173" s="62">
        <f ca="1">AVERAGE(OFFSET($CC$3,0,0,'Données projet'!$E$12+1,1))-AVERAGE(OFFSET($H$3,0,0,'Données projet'!$E$12+1,1))</f>
        <v>2719.939926994799</v>
      </c>
      <c r="CE173" s="62">
        <f t="shared" si="148"/>
        <v>312.21824046329749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1060.9293675015942</v>
      </c>
      <c r="CL173" s="23">
        <f>EXP(-LN(2)/25)*CL172+(1-EXP(-LN(2)/25))/(LN(2)/25)*Calculateur!CG173*Calculateur!CI173*VLOOKUP('Données projet'!$B$12,Paramètres!$A$1:$I$89,3,0)*0.475*44/12</f>
        <v>42.085258869212204</v>
      </c>
      <c r="CM173" s="23">
        <f>EXP(-LN(2)/2)*CM172+(1-EXP(-LN(2)/2))/(LN(2)/2)*CG173*CJ173*VLOOKUP('Données projet'!$B$12,Paramètres!$A$1:$I$89,3,0)*0.475*44/12</f>
        <v>6.9510766665409878E-3</v>
      </c>
      <c r="CN173" s="24">
        <f t="shared" si="172"/>
        <v>1103.021577447473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1.1368683772161603E-12</v>
      </c>
      <c r="CU173" s="18">
        <f>CT173*VLOOKUP('Données projet'!$B$13,Paramètres!$A$1:$I$89,3,0)*VLOOKUP('Données projet'!$B$13,Paramètres!$A$1:$I$89,5,0)</f>
        <v>9.9316821433603771E-13</v>
      </c>
      <c r="CV173" s="14">
        <f t="shared" si="173"/>
        <v>1.1421454694498936E-11</v>
      </c>
      <c r="CW173" s="22">
        <f t="shared" si="174"/>
        <v>2.1622134899554243E-11</v>
      </c>
      <c r="CX173" s="62">
        <f t="shared" si="122"/>
        <v>293.33333333335491</v>
      </c>
      <c r="CY173" s="62">
        <f ca="1">AVERAGE(OFFSET($CX$3,0,0,'Données projet'!$E$13+1,1))-AVERAGE(OFFSET($H$3,0,0,'Données projet'!$E$13+1,1))</f>
        <v>1036.0130072090849</v>
      </c>
      <c r="CZ173" s="62">
        <f t="shared" si="150"/>
        <v>346.56593355696174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112.66541723131198</v>
      </c>
      <c r="DG173" s="23">
        <f>EXP(-LN(2)/25)*DG172+(1-EXP(-LN(2)/25))/(LN(2)/25)*Calculateur!DB173*Calculateur!DD173*VLOOKUP('Données projet'!$B$13,Paramètres!$A$1:$I$89,3,0)*0.475*44/12</f>
        <v>3.4902228258624763</v>
      </c>
      <c r="DH173" s="23">
        <f>EXP(-LN(2)/2)*DH172+(1-EXP(-LN(2)/2))/(LN(2)/2)*DB173*DE173*VLOOKUP('Données projet'!$B$13,Paramètres!$A$1:$I$89,3,0)*0.475*44/12</f>
        <v>2.5686124331133632E-12</v>
      </c>
      <c r="DI173" s="24">
        <f t="shared" si="175"/>
        <v>116.15564005717702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6.8212102632969618E-13</v>
      </c>
      <c r="DP173" s="18">
        <f>DO173*VLOOKUP('Données projet'!$B$14,Paramètres!$A$1:$I$89,3,0)*VLOOKUP('Données projet'!$B$14,Paramètres!$A$1:$I$89,5,0)</f>
        <v>3.8130565371830017E-13</v>
      </c>
      <c r="DQ173" s="14">
        <f t="shared" si="176"/>
        <v>4.9019074112354236E-12</v>
      </c>
      <c r="DR173" s="22">
        <f t="shared" si="177"/>
        <v>9.2015960881277352E-12</v>
      </c>
      <c r="DS173" s="62">
        <f t="shared" si="125"/>
        <v>293.33333333334252</v>
      </c>
      <c r="DT173" s="62">
        <f ca="1">AVERAGE(OFFSET($DS$3,0,0,'Données projet'!$E$14+1,1))-AVERAGE(OFFSET($H$3,0,0,'Données projet'!$E$14+1,1))</f>
        <v>446.48069057792151</v>
      </c>
      <c r="DU173" s="62">
        <f t="shared" si="152"/>
        <v>561.75656782935948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20.906455921318297</v>
      </c>
      <c r="EB173" s="23">
        <f>EXP(-LN(2)/25)*EB172+(1-EXP(-LN(2)/25))/(LN(2)/25)*Calculateur!DW173*Calculateur!DY173*VLOOKUP('Données projet'!$B$14,Paramètres!$A$1:$I$89,3,0)*0.475*44/12</f>
        <v>3.8382970256748692</v>
      </c>
      <c r="EC173" s="23">
        <f>EXP(-LN(2)/2)*EC172+(1-EXP(-LN(2)/2))/(LN(2)/2)*DW173*DZ173*VLOOKUP('Données projet'!$B$14,Paramètres!$A$1:$I$89,3,0)*0.475*44/12</f>
        <v>3.7243866852286982E-15</v>
      </c>
      <c r="ED173" s="24">
        <f t="shared" si="178"/>
        <v>24.74475294699317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1.7053025658242404E-13</v>
      </c>
      <c r="EK173" s="18">
        <f>EJ173*VLOOKUP('Données projet'!$B$15,Paramètres!$A$1:$I$89,3,0)*VLOOKUP('Données projet'!$B$15,Paramètres!$A$1:$I$89,5,0)</f>
        <v>1.6493686416652052E-13</v>
      </c>
      <c r="EL173" s="14">
        <f t="shared" si="179"/>
        <v>2.3376205369651282E-12</v>
      </c>
      <c r="EM173" s="22">
        <f t="shared" si="180"/>
        <v>4.3586208069709543E-12</v>
      </c>
      <c r="EN173" s="62">
        <f t="shared" si="128"/>
        <v>293.33333333333769</v>
      </c>
      <c r="EO173" s="62">
        <f ca="1">AVERAGE(OFFSET($EN$3,0,0,'Données projet'!$E$15+1,1))-AVERAGE(OFFSET($H$3,0,0,'Données projet'!$E$15+1,1))</f>
        <v>301.18531163828169</v>
      </c>
      <c r="EP173" s="62">
        <f t="shared" si="154"/>
        <v>192.30530273268101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26.998290828688241</v>
      </c>
      <c r="EW173" s="23">
        <f>EXP(-LN(2)/25)*EW172+(1-EXP(-LN(2)/25))/(LN(2)/25)*Calculateur!ER173*Calculateur!ET173*VLOOKUP('Données projet'!$B$15,Paramètres!$A$1:$I$89,3,0)*0.475*44/12</f>
        <v>1.1170301695530618</v>
      </c>
      <c r="EX173" s="23">
        <f>EXP(-LN(2)/2)*EX172+(1-EXP(-LN(2)/2))/(LN(2)/2)*ER173*EU173*VLOOKUP('Données projet'!$B$15,Paramètres!$A$1:$I$89,3,0)*0.475*44/12</f>
        <v>1.7577353935572743E-15</v>
      </c>
      <c r="EY173" s="24">
        <f t="shared" si="181"/>
        <v>28.115320998241302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1.7053025658242404E-13</v>
      </c>
      <c r="FF173" s="18">
        <f>FE173*VLOOKUP('Données projet'!$B$16,Paramètres!$A$1:$I$89,3,0)*VLOOKUP('Données projet'!$B$16,Paramètres!$A$1:$I$89,5,0)</f>
        <v>1.3301360013429075E-13</v>
      </c>
      <c r="FG173" s="14">
        <f t="shared" si="182"/>
        <v>1.9329766731057041E-12</v>
      </c>
      <c r="FH173" s="22">
        <f t="shared" si="183"/>
        <v>3.5982663925596575E-12</v>
      </c>
      <c r="FI173" s="62">
        <f t="shared" si="131"/>
        <v>293.3333333333369</v>
      </c>
      <c r="FJ173" s="62">
        <f ca="1">AVERAGE(OFFSET($FI$3,0,0,'Données projet'!$E$16+1,1))-AVERAGE(OFFSET($H$3,0,0,'Données projet'!$E$16+1,1))</f>
        <v>249.2899297828755</v>
      </c>
      <c r="FK173" s="62">
        <f t="shared" si="156"/>
        <v>162.88011837476813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21.772815184426001</v>
      </c>
      <c r="FR173" s="23">
        <f>EXP(-LN(2)/25)*FR172+(1-EXP(-LN(2)/25))/(LN(2)/25)*Calculateur!FM173*Calculateur!FO173*VLOOKUP('Données projet'!$B$16,Paramètres!$A$1:$I$89,3,0)*0.475*44/12</f>
        <v>0.90083078189762877</v>
      </c>
      <c r="FS173" s="23">
        <f>EXP(-LN(2)/2)*FS172+(1-EXP(-LN(2)/2))/(LN(2)/2)*FM173*FP173*VLOOKUP('Données projet'!$B$16,Paramètres!$A$1:$I$89,3,0)*0.475*44/12</f>
        <v>1.4175285431913384E-15</v>
      </c>
      <c r="FT173" s="24">
        <f t="shared" si="184"/>
        <v>22.67364596632363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1.7053025658242404E-13</v>
      </c>
      <c r="GA173" s="18">
        <f>FZ173*VLOOKUP('Données projet'!$B$17,Paramètres!$A$1:$I$89,3,0)*VLOOKUP('Données projet'!$B$17,Paramètres!$A$1:$I$89,5,0)</f>
        <v>1.1439169611549005E-13</v>
      </c>
      <c r="GB173" s="14">
        <f t="shared" si="185"/>
        <v>1.6918016515029816E-12</v>
      </c>
      <c r="GC173" s="22">
        <f t="shared" si="186"/>
        <v>3.1457867471021712E-12</v>
      </c>
      <c r="GD173" s="62">
        <f t="shared" si="134"/>
        <v>293.33333333333644</v>
      </c>
      <c r="GE173" s="62">
        <f ca="1">AVERAGE(OFFSET($GD$3,0,0,'Données projet'!$E$17+1,1))-AVERAGE(OFFSET($H$3,0,0,'Données projet'!$E$17+1,1))</f>
        <v>218.89895999738746</v>
      </c>
      <c r="GF173" s="62">
        <f t="shared" si="158"/>
        <v>145.64042897395763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23.079184095491534</v>
      </c>
      <c r="GM173" s="23">
        <f>EXP(-LN(2)/25)*GM172+(1-EXP(-LN(2)/25))/(LN(2)/25)*Calculateur!GH173*Calculateur!GJ173*VLOOKUP('Données projet'!$B$17,Paramètres!$A$1:$I$89,3,0)*0.475*44/12</f>
        <v>0.95488062881148783</v>
      </c>
      <c r="GN173" s="23">
        <f>EXP(-LN(2)/2)*GN172+(1-EXP(-LN(2)/2))/(LN(2)/2)*GH173*GK173*VLOOKUP('Données projet'!$B$17,Paramètres!$A$1:$I$89,3,0)*0.475*44/12</f>
        <v>1.2190745471445614E-15</v>
      </c>
      <c r="GO173" s="23">
        <f t="shared" si="187"/>
        <v>24.034064724303022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1.7053025658242404E-13</v>
      </c>
      <c r="GV173" s="18">
        <f>GU173*VLOOKUP('Données projet'!$B$18,Paramètres!$A$1:$I$89,3,0)*VLOOKUP('Données projet'!$B$18,Paramètres!$A$1:$I$89,5,0)</f>
        <v>1.8355876818532125E-13</v>
      </c>
      <c r="GW173" s="14">
        <f t="shared" si="188"/>
        <v>2.5693529898865504E-12</v>
      </c>
      <c r="GX173" s="22">
        <f t="shared" si="189"/>
        <v>4.7946546453085093E-12</v>
      </c>
      <c r="GY173" s="62">
        <f t="shared" si="137"/>
        <v>293.33333333333809</v>
      </c>
      <c r="GZ173" s="62">
        <f ca="1">AVERAGE(OFFSET($GY$3,0,0,'Données projet'!$E$18+1,1))-AVERAGE(OFFSET($H$3,0,0,'Données projet'!$E$18+1,1))</f>
        <v>331.3579800635751</v>
      </c>
      <c r="HA173" s="62">
        <f t="shared" si="160"/>
        <v>209.40702003535273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30.046484954507878</v>
      </c>
      <c r="HH173" s="23">
        <f>EXP(-LN(2)/25)*HH172+(1-EXP(-LN(2)/25))/(LN(2)/25)*Calculateur!HC173*Calculateur!HE173*VLOOKUP('Données projet'!$B$18,Paramètres!$A$1:$I$89,3,0)*0.475*44/12</f>
        <v>1.2431464790187301</v>
      </c>
      <c r="HI173" s="23">
        <f>EXP(-LN(2)/2)*HI172+(1-EXP(-LN(2)/2))/(LN(2)/2)*HC173*HF173*VLOOKUP('Données projet'!$B$18,Paramètres!$A$1:$I$89,3,0)*0.475*44/12</f>
        <v>1.9561893896040475E-15</v>
      </c>
      <c r="HJ173" s="24">
        <f t="shared" si="190"/>
        <v>31.289631433526612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5.0022208597511053E-12</v>
      </c>
      <c r="O174" s="14">
        <f>N174*VLOOKUP('Données projet'!$B$9,Paramètres!$A$1:$I$89,3,0)*VLOOKUP('Données projet'!$B$9,Paramètres!$A$1:$I$89,5,0)</f>
        <v>4.5260094339028E-12</v>
      </c>
      <c r="P174" s="14">
        <f t="shared" si="141"/>
        <v>4.3625683148570328E-11</v>
      </c>
      <c r="Q174" s="22">
        <f t="shared" si="162"/>
        <v>8.3864197914474037E-11</v>
      </c>
      <c r="R174" s="62">
        <f t="shared" si="109"/>
        <v>293.33333333341716</v>
      </c>
      <c r="S174" s="62">
        <f ca="1">AVERAGE(OFFSET($R$3,0,0,'Données projet'!$E$9+1,1))-AVERAGE(OFFSET($H$3,0,0,'Données projet'!$E$9+1,1))</f>
        <v>2472.5049373954762</v>
      </c>
      <c r="T174" s="62">
        <f t="shared" si="142"/>
        <v>286.98388307318311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942.61345317278972</v>
      </c>
      <c r="AA174" s="23">
        <f>EXP(-LN(2)/25)*AA173+(1-EXP(-LN(2)/25))/(LN(2)/25)*Calculateur!V174*Calculateur!X174*VLOOKUP('Données projet'!$B$9,Paramètres!$A$1:$I$89,3,0)*0.475*44/12</f>
        <v>37.096831947366056</v>
      </c>
      <c r="AB174" s="23">
        <f>EXP(-LN(2)/2)*AB173+(1-EXP(-LN(2)/2))/(LN(2)/2)*V174*Y174*VLOOKUP('Données projet'!$B$9,Paramètres!$A$1:$I$89,3,0)*0.475*44/12</f>
        <v>4.4543578117594617E-3</v>
      </c>
      <c r="AC174" s="24">
        <f t="shared" si="163"/>
        <v>979.71473947796744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5.0022208597511053E-12</v>
      </c>
      <c r="AJ174" s="14">
        <f>AI174*VLOOKUP('Données projet'!$B$10,Paramètres!$A$1:$I$89,3,0)*VLOOKUP('Données projet'!$B$10,Paramètres!$A$1:$I$89,5,0)</f>
        <v>5.0722519517876216E-12</v>
      </c>
      <c r="AK174" s="14">
        <f t="shared" si="164"/>
        <v>4.8246688221215311E-11</v>
      </c>
      <c r="AL174" s="22">
        <f t="shared" si="165"/>
        <v>9.2863820801313432E-11</v>
      </c>
      <c r="AM174" s="62">
        <f t="shared" si="113"/>
        <v>293.3333333334262</v>
      </c>
      <c r="AN174" s="62">
        <f ca="1">AVERAGE(OFFSET($AM$3,0,0,'Données projet'!$E$10+1,1))-AVERAGE(OFFSET($H$3,0,0,'Données projet'!$E$10+1,1))</f>
        <v>2761.1400657295467</v>
      </c>
      <c r="AO174" s="62">
        <f t="shared" si="144"/>
        <v>316.41877504316409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1056.3771457970913</v>
      </c>
      <c r="AV174" s="23">
        <f>EXP(-LN(2)/25)*AV173+(1-EXP(-LN(2)/25))/(LN(2)/25)*Calculateur!AQ174*Calculateur!AS174*VLOOKUP('Données projet'!$B$10,Paramètres!$A$1:$I$89,3,0)*0.475*44/12</f>
        <v>41.57403580308268</v>
      </c>
      <c r="AW174" s="23">
        <f>EXP(-LN(2)/2)*AW173+(1-EXP(-LN(2)/2))/(LN(2)/2)*AQ174*AT174*VLOOKUP('Données projet'!$B$10,Paramètres!$A$1:$I$89,3,0)*0.475*44/12</f>
        <v>4.9919527200752599E-3</v>
      </c>
      <c r="AX174" s="23">
        <f t="shared" si="166"/>
        <v>1097.9561735528941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5.0022208597511053E-12</v>
      </c>
      <c r="BE174" s="14">
        <f>BD174*VLOOKUP('Données projet'!$B$11,Paramètres!$A$1:$I$89,3,0)*VLOOKUP('Données projet'!$B$11,Paramètres!$A$1:$I$89,5,0)</f>
        <v>5.2283212426118558E-12</v>
      </c>
      <c r="BF174" s="14">
        <f t="shared" si="167"/>
        <v>4.9556081821365385E-11</v>
      </c>
      <c r="BG174" s="22">
        <f t="shared" si="168"/>
        <v>9.5416168669760364E-11</v>
      </c>
      <c r="BH174" s="62">
        <f t="shared" si="116"/>
        <v>293.33333333342875</v>
      </c>
      <c r="BI174" s="62">
        <f ca="1">AVERAGE(OFFSET($BH$3,0,0,'Données projet'!$E$11+1,1))-AVERAGE(OFFSET($H$3,0,0,'Données projet'!$E$11+1,1))</f>
        <v>2843.5086223152098</v>
      </c>
      <c r="BJ174" s="62">
        <f t="shared" si="146"/>
        <v>324.81562437645522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1088.8810579754638</v>
      </c>
      <c r="BQ174" s="23">
        <f>EXP(-LN(2)/25)*BQ173+(1-EXP(-LN(2)/25))/(LN(2)/25)*Calculateur!BL174*Calculateur!BN174*VLOOKUP('Données projet'!$B$11,Paramètres!$A$1:$I$89,3,0)*0.475*44/12</f>
        <v>42.853236904715992</v>
      </c>
      <c r="BR174" s="23">
        <f>EXP(-LN(2)/2)*BR173+(1-EXP(-LN(2)/2))/(LN(2)/2)*BL174*BO174*VLOOKUP('Données projet'!$B$11,Paramètres!$A$1:$I$89,3,0)*0.475*44/12</f>
        <v>5.145551265308349E-3</v>
      </c>
      <c r="BS174" s="24">
        <f t="shared" si="169"/>
        <v>1131.739440431445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5.0022208597511053E-12</v>
      </c>
      <c r="BZ174" s="14">
        <f>BY174*VLOOKUP('Données projet'!$B$12,Paramètres!$A$1:$I$89,3,0)*VLOOKUP('Données projet'!$B$12,Paramètres!$A$1:$I$89,5,0)</f>
        <v>4.9942173063755036E-12</v>
      </c>
      <c r="CA174" s="14">
        <f t="shared" si="170"/>
        <v>4.7590239529202817E-11</v>
      </c>
      <c r="CB174" s="22">
        <f t="shared" si="171"/>
        <v>9.1584595655298897E-11</v>
      </c>
      <c r="CC174" s="62">
        <f t="shared" si="119"/>
        <v>293.33333333342489</v>
      </c>
      <c r="CD174" s="62">
        <f ca="1">AVERAGE(OFFSET($CC$3,0,0,'Données projet'!$E$12+1,1))-AVERAGE(OFFSET($H$3,0,0,'Données projet'!$E$12+1,1))</f>
        <v>2719.939926994799</v>
      </c>
      <c r="CE174" s="62">
        <f t="shared" si="148"/>
        <v>312.21824046329749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1040.125189707906</v>
      </c>
      <c r="CL174" s="23">
        <f>EXP(-LN(2)/25)*CL173+(1-EXP(-LN(2)/25))/(LN(2)/25)*Calculateur!CG174*Calculateur!CI174*VLOOKUP('Données projet'!$B$12,Paramètres!$A$1:$I$89,3,0)*0.475*44/12</f>
        <v>40.93443525226602</v>
      </c>
      <c r="CM174" s="23">
        <f>EXP(-LN(2)/2)*CM173+(1-EXP(-LN(2)/2))/(LN(2)/2)*CG174*CJ174*VLOOKUP('Données projet'!$B$12,Paramètres!$A$1:$I$89,3,0)*0.475*44/12</f>
        <v>4.9151534474587144E-3</v>
      </c>
      <c r="CN174" s="24">
        <f t="shared" si="172"/>
        <v>1081.0645401136194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1.1368683772161603E-12</v>
      </c>
      <c r="CU174" s="18">
        <f>CT174*VLOOKUP('Données projet'!$B$13,Paramètres!$A$1:$I$89,3,0)*VLOOKUP('Données projet'!$B$13,Paramètres!$A$1:$I$89,5,0)</f>
        <v>9.9316821433603771E-13</v>
      </c>
      <c r="CV174" s="14">
        <f t="shared" si="173"/>
        <v>1.1421454694498936E-11</v>
      </c>
      <c r="CW174" s="22">
        <f t="shared" si="174"/>
        <v>2.1622134899554243E-11</v>
      </c>
      <c r="CX174" s="62">
        <f t="shared" si="122"/>
        <v>293.33333333335491</v>
      </c>
      <c r="CY174" s="62">
        <f ca="1">AVERAGE(OFFSET($CX$3,0,0,'Données projet'!$E$13+1,1))-AVERAGE(OFFSET($H$3,0,0,'Données projet'!$E$13+1,1))</f>
        <v>1036.0130072090849</v>
      </c>
      <c r="CZ174" s="62">
        <f t="shared" si="150"/>
        <v>346.56593355696174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110.45611711852501</v>
      </c>
      <c r="DG174" s="23">
        <f>EXP(-LN(2)/25)*DG173+(1-EXP(-LN(2)/25))/(LN(2)/25)*Calculateur!DB174*Calculateur!DD174*VLOOKUP('Données projet'!$B$13,Paramètres!$A$1:$I$89,3,0)*0.475*44/12</f>
        <v>3.3947824991464257</v>
      </c>
      <c r="DH174" s="23">
        <f>EXP(-LN(2)/2)*DH173+(1-EXP(-LN(2)/2))/(LN(2)/2)*DB174*DE174*VLOOKUP('Données projet'!$B$13,Paramètres!$A$1:$I$89,3,0)*0.475*44/12</f>
        <v>1.8162832696945365E-12</v>
      </c>
      <c r="DI174" s="24">
        <f t="shared" si="175"/>
        <v>113.85089961767326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6.8212102632969618E-13</v>
      </c>
      <c r="DP174" s="18">
        <f>DO174*VLOOKUP('Données projet'!$B$14,Paramètres!$A$1:$I$89,3,0)*VLOOKUP('Données projet'!$B$14,Paramètres!$A$1:$I$89,5,0)</f>
        <v>3.8130565371830017E-13</v>
      </c>
      <c r="DQ174" s="14">
        <f t="shared" si="176"/>
        <v>4.9019074112354236E-12</v>
      </c>
      <c r="DR174" s="22">
        <f t="shared" si="177"/>
        <v>9.2015960881277352E-12</v>
      </c>
      <c r="DS174" s="62">
        <f t="shared" si="125"/>
        <v>293.33333333334252</v>
      </c>
      <c r="DT174" s="62">
        <f ca="1">AVERAGE(OFFSET($DS$3,0,0,'Données projet'!$E$14+1,1))-AVERAGE(OFFSET($H$3,0,0,'Données projet'!$E$14+1,1))</f>
        <v>446.48069057792151</v>
      </c>
      <c r="DU174" s="62">
        <f t="shared" si="152"/>
        <v>561.75656782935948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20.496493072380233</v>
      </c>
      <c r="EB174" s="23">
        <f>EXP(-LN(2)/25)*EB173+(1-EXP(-LN(2)/25))/(LN(2)/25)*Calculateur!DW174*Calculateur!DY174*VLOOKUP('Données projet'!$B$14,Paramètres!$A$1:$I$89,3,0)*0.475*44/12</f>
        <v>3.7333385916605217</v>
      </c>
      <c r="EC174" s="23">
        <f>EXP(-LN(2)/2)*EC173+(1-EXP(-LN(2)/2))/(LN(2)/2)*DW174*DZ174*VLOOKUP('Données projet'!$B$14,Paramètres!$A$1:$I$89,3,0)*0.475*44/12</f>
        <v>2.6335390808861002E-15</v>
      </c>
      <c r="ED174" s="24">
        <f t="shared" si="178"/>
        <v>24.229831664040759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1.7053025658242404E-13</v>
      </c>
      <c r="EK174" s="18">
        <f>EJ174*VLOOKUP('Données projet'!$B$15,Paramètres!$A$1:$I$89,3,0)*VLOOKUP('Données projet'!$B$15,Paramètres!$A$1:$I$89,5,0)</f>
        <v>1.6493686416652052E-13</v>
      </c>
      <c r="EL174" s="14">
        <f t="shared" si="179"/>
        <v>2.3376205369651282E-12</v>
      </c>
      <c r="EM174" s="22">
        <f t="shared" si="180"/>
        <v>4.3586208069709543E-12</v>
      </c>
      <c r="EN174" s="62">
        <f t="shared" si="128"/>
        <v>293.33333333333769</v>
      </c>
      <c r="EO174" s="62">
        <f ca="1">AVERAGE(OFFSET($EN$3,0,0,'Données projet'!$E$15+1,1))-AVERAGE(OFFSET($H$3,0,0,'Données projet'!$E$15+1,1))</f>
        <v>301.18531163828169</v>
      </c>
      <c r="EP174" s="62">
        <f t="shared" si="154"/>
        <v>192.30530273268101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26.468870812869056</v>
      </c>
      <c r="EW174" s="23">
        <f>EXP(-LN(2)/25)*EW173+(1-EXP(-LN(2)/25))/(LN(2)/25)*Calculateur!ER174*Calculateur!ET174*VLOOKUP('Données projet'!$B$15,Paramètres!$A$1:$I$89,3,0)*0.475*44/12</f>
        <v>1.0864849208245697</v>
      </c>
      <c r="EX174" s="23">
        <f>EXP(-LN(2)/2)*EX173+(1-EXP(-LN(2)/2))/(LN(2)/2)*ER174*EU174*VLOOKUP('Données projet'!$B$15,Paramètres!$A$1:$I$89,3,0)*0.475*44/12</f>
        <v>1.2429066163159536E-15</v>
      </c>
      <c r="EY174" s="24">
        <f t="shared" si="181"/>
        <v>27.555355733693627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1.7053025658242404E-13</v>
      </c>
      <c r="FF174" s="18">
        <f>FE174*VLOOKUP('Données projet'!$B$16,Paramètres!$A$1:$I$89,3,0)*VLOOKUP('Données projet'!$B$16,Paramètres!$A$1:$I$89,5,0)</f>
        <v>1.3301360013429075E-13</v>
      </c>
      <c r="FG174" s="14">
        <f t="shared" si="182"/>
        <v>1.9329766731057041E-12</v>
      </c>
      <c r="FH174" s="22">
        <f t="shared" si="183"/>
        <v>3.5982663925596575E-12</v>
      </c>
      <c r="FI174" s="62">
        <f t="shared" si="131"/>
        <v>293.3333333333369</v>
      </c>
      <c r="FJ174" s="62">
        <f ca="1">AVERAGE(OFFSET($FI$3,0,0,'Données projet'!$E$16+1,1))-AVERAGE(OFFSET($H$3,0,0,'Données projet'!$E$16+1,1))</f>
        <v>249.2899297828755</v>
      </c>
      <c r="FK174" s="62">
        <f t="shared" si="156"/>
        <v>162.88011837476813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21.34586355876537</v>
      </c>
      <c r="FR174" s="23">
        <f>EXP(-LN(2)/25)*FR173+(1-EXP(-LN(2)/25))/(LN(2)/25)*Calculateur!FM174*Calculateur!FO174*VLOOKUP('Données projet'!$B$16,Paramètres!$A$1:$I$89,3,0)*0.475*44/12</f>
        <v>0.87619751679400615</v>
      </c>
      <c r="FS174" s="23">
        <f>EXP(-LN(2)/2)*FS173+(1-EXP(-LN(2)/2))/(LN(2)/2)*FM174*FP174*VLOOKUP('Données projet'!$B$16,Paramètres!$A$1:$I$89,3,0)*0.475*44/12</f>
        <v>1.0023440454160832E-15</v>
      </c>
      <c r="FT174" s="24">
        <f t="shared" si="184"/>
        <v>22.222061075559374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1.7053025658242404E-13</v>
      </c>
      <c r="GA174" s="18">
        <f>FZ174*VLOOKUP('Données projet'!$B$17,Paramètres!$A$1:$I$89,3,0)*VLOOKUP('Données projet'!$B$17,Paramètres!$A$1:$I$89,5,0)</f>
        <v>1.1439169611549005E-13</v>
      </c>
      <c r="GB174" s="14">
        <f t="shared" si="185"/>
        <v>1.6918016515029816E-12</v>
      </c>
      <c r="GC174" s="22">
        <f t="shared" si="186"/>
        <v>3.1457867471021712E-12</v>
      </c>
      <c r="GD174" s="62">
        <f t="shared" si="134"/>
        <v>293.33333333333644</v>
      </c>
      <c r="GE174" s="62">
        <f ca="1">AVERAGE(OFFSET($GD$3,0,0,'Données projet'!$E$17+1,1))-AVERAGE(OFFSET($H$3,0,0,'Données projet'!$E$17+1,1))</f>
        <v>218.89895999738746</v>
      </c>
      <c r="GF174" s="62">
        <f t="shared" si="158"/>
        <v>145.64042897395763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22.626615372291266</v>
      </c>
      <c r="GM174" s="23">
        <f>EXP(-LN(2)/25)*GM173+(1-EXP(-LN(2)/25))/(LN(2)/25)*Calculateur!GH174*Calculateur!GJ174*VLOOKUP('Données projet'!$B$17,Paramètres!$A$1:$I$89,3,0)*0.475*44/12</f>
        <v>0.92876936780164787</v>
      </c>
      <c r="GN174" s="23">
        <f>EXP(-LN(2)/2)*GN173+(1-EXP(-LN(2)/2))/(LN(2)/2)*GH174*GK174*VLOOKUP('Données projet'!$B$17,Paramètres!$A$1:$I$89,3,0)*0.475*44/12</f>
        <v>8.6201587905783897E-16</v>
      </c>
      <c r="GO174" s="23">
        <f t="shared" si="187"/>
        <v>23.555384740092915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1.7053025658242404E-13</v>
      </c>
      <c r="GV174" s="18">
        <f>GU174*VLOOKUP('Données projet'!$B$18,Paramètres!$A$1:$I$89,3,0)*VLOOKUP('Données projet'!$B$18,Paramètres!$A$1:$I$89,5,0)</f>
        <v>1.8355876818532125E-13</v>
      </c>
      <c r="GW174" s="14">
        <f t="shared" si="188"/>
        <v>2.5693529898865504E-12</v>
      </c>
      <c r="GX174" s="22">
        <f t="shared" si="189"/>
        <v>4.7946546453085093E-12</v>
      </c>
      <c r="GY174" s="62">
        <f t="shared" si="137"/>
        <v>293.33333333333809</v>
      </c>
      <c r="GZ174" s="62">
        <f ca="1">AVERAGE(OFFSET($GY$3,0,0,'Données projet'!$E$18+1,1))-AVERAGE(OFFSET($H$3,0,0,'Données projet'!$E$18+1,1))</f>
        <v>331.3579800635751</v>
      </c>
      <c r="HA174" s="62">
        <f t="shared" si="160"/>
        <v>209.40702003535273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29.457291711096204</v>
      </c>
      <c r="HH174" s="23">
        <f>EXP(-LN(2)/25)*HH173+(1-EXP(-LN(2)/25))/(LN(2)/25)*Calculateur!HC174*Calculateur!HE174*VLOOKUP('Données projet'!$B$18,Paramètres!$A$1:$I$89,3,0)*0.475*44/12</f>
        <v>1.2091525731757309</v>
      </c>
      <c r="HI174" s="23">
        <f>EXP(-LN(2)/2)*HI173+(1-EXP(-LN(2)/2))/(LN(2)/2)*HC174*HF174*VLOOKUP('Données projet'!$B$18,Paramètres!$A$1:$I$89,3,0)*0.475*44/12</f>
        <v>1.3832347826741952E-15</v>
      </c>
      <c r="HJ174" s="24">
        <f t="shared" si="190"/>
        <v>30.666444284271936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5.0022208597511053E-12</v>
      </c>
      <c r="O175" s="14">
        <f>N175*VLOOKUP('Données projet'!$B$9,Paramètres!$A$1:$I$89,3,0)*VLOOKUP('Données projet'!$B$9,Paramètres!$A$1:$I$89,5,0)</f>
        <v>4.5260094339028E-12</v>
      </c>
      <c r="P175" s="14">
        <f t="shared" si="141"/>
        <v>4.3625683148570328E-11</v>
      </c>
      <c r="Q175" s="22">
        <f t="shared" si="162"/>
        <v>8.3864197914474037E-11</v>
      </c>
      <c r="R175" s="62">
        <f t="shared" si="109"/>
        <v>293.33333333341716</v>
      </c>
      <c r="S175" s="62">
        <f ca="1">AVERAGE(OFFSET($R$3,0,0,'Données projet'!$E$9+1,1))-AVERAGE(OFFSET($H$3,0,0,'Données projet'!$E$9+1,1))</f>
        <v>2472.5049373954762</v>
      </c>
      <c r="T175" s="62">
        <f t="shared" si="142"/>
        <v>286.98388307318311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924.12937829350744</v>
      </c>
      <c r="AA175" s="23">
        <f>EXP(-LN(2)/25)*AA174+(1-EXP(-LN(2)/25))/(LN(2)/25)*Calculateur!V175*Calculateur!X175*VLOOKUP('Données projet'!$B$9,Paramètres!$A$1:$I$89,3,0)*0.475*44/12</f>
        <v>36.082417126927723</v>
      </c>
      <c r="AB175" s="23">
        <f>EXP(-LN(2)/2)*AB174+(1-EXP(-LN(2)/2))/(LN(2)/2)*V175*Y175*VLOOKUP('Données projet'!$B$9,Paramètres!$A$1:$I$89,3,0)*0.475*44/12</f>
        <v>3.1497066145263863E-3</v>
      </c>
      <c r="AC175" s="24">
        <f t="shared" si="163"/>
        <v>960.21494512704965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5.0022208597511053E-12</v>
      </c>
      <c r="AJ175" s="14">
        <f>AI175*VLOOKUP('Données projet'!$B$10,Paramètres!$A$1:$I$89,3,0)*VLOOKUP('Données projet'!$B$10,Paramètres!$A$1:$I$89,5,0)</f>
        <v>5.0722519517876216E-12</v>
      </c>
      <c r="AK175" s="14">
        <f t="shared" si="164"/>
        <v>4.8246688221215311E-11</v>
      </c>
      <c r="AL175" s="22">
        <f t="shared" si="165"/>
        <v>9.2863820801313432E-11</v>
      </c>
      <c r="AM175" s="62">
        <f t="shared" si="113"/>
        <v>293.3333333334262</v>
      </c>
      <c r="AN175" s="62">
        <f ca="1">AVERAGE(OFFSET($AM$3,0,0,'Données projet'!$E$10+1,1))-AVERAGE(OFFSET($H$3,0,0,'Données projet'!$E$10+1,1))</f>
        <v>2761.1400657295467</v>
      </c>
      <c r="AO175" s="62">
        <f t="shared" si="144"/>
        <v>316.41877504316409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1035.6622342944474</v>
      </c>
      <c r="AV175" s="23">
        <f>EXP(-LN(2)/25)*AV174+(1-EXP(-LN(2)/25))/(LN(2)/25)*Calculateur!AQ175*Calculateur!AS175*VLOOKUP('Données projet'!$B$10,Paramètres!$A$1:$I$89,3,0)*0.475*44/12</f>
        <v>40.437191607763857</v>
      </c>
      <c r="AW175" s="23">
        <f>EXP(-LN(2)/2)*AW174+(1-EXP(-LN(2)/2))/(LN(2)/2)*AQ175*AT175*VLOOKUP('Données projet'!$B$10,Paramètres!$A$1:$I$89,3,0)*0.475*44/12</f>
        <v>3.5298436197278476E-3</v>
      </c>
      <c r="AX175" s="23">
        <f t="shared" si="166"/>
        <v>1076.102955745831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5.0022208597511053E-12</v>
      </c>
      <c r="BE175" s="14">
        <f>BD175*VLOOKUP('Données projet'!$B$11,Paramètres!$A$1:$I$89,3,0)*VLOOKUP('Données projet'!$B$11,Paramètres!$A$1:$I$89,5,0)</f>
        <v>5.2283212426118558E-12</v>
      </c>
      <c r="BF175" s="14">
        <f t="shared" si="167"/>
        <v>4.9556081821365385E-11</v>
      </c>
      <c r="BG175" s="22">
        <f t="shared" si="168"/>
        <v>9.5416168669760364E-11</v>
      </c>
      <c r="BH175" s="62">
        <f t="shared" si="116"/>
        <v>293.33333333342875</v>
      </c>
      <c r="BI175" s="62">
        <f ca="1">AVERAGE(OFFSET($BH$3,0,0,'Données projet'!$E$11+1,1))-AVERAGE(OFFSET($H$3,0,0,'Données projet'!$E$11+1,1))</f>
        <v>2843.5086223152098</v>
      </c>
      <c r="BJ175" s="62">
        <f t="shared" si="146"/>
        <v>324.81562437645522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1067.5287645804308</v>
      </c>
      <c r="BQ175" s="23">
        <f>EXP(-LN(2)/25)*BQ174+(1-EXP(-LN(2)/25))/(LN(2)/25)*Calculateur!BL175*Calculateur!BN175*VLOOKUP('Données projet'!$B$11,Paramètres!$A$1:$I$89,3,0)*0.475*44/12</f>
        <v>41.681412888002747</v>
      </c>
      <c r="BR175" s="23">
        <f>EXP(-LN(2)/2)*BR174+(1-EXP(-LN(2)/2))/(LN(2)/2)*BL175*BO175*VLOOKUP('Données projet'!$B$11,Paramètres!$A$1:$I$89,3,0)*0.475*44/12</f>
        <v>3.6384541926425536E-3</v>
      </c>
      <c r="BS175" s="24">
        <f t="shared" si="169"/>
        <v>1109.2138159226263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5.0022208597511053E-12</v>
      </c>
      <c r="BZ175" s="14">
        <f>BY175*VLOOKUP('Données projet'!$B$12,Paramètres!$A$1:$I$89,3,0)*VLOOKUP('Données projet'!$B$12,Paramètres!$A$1:$I$89,5,0)</f>
        <v>4.9942173063755036E-12</v>
      </c>
      <c r="CA175" s="14">
        <f t="shared" si="170"/>
        <v>4.7590239529202817E-11</v>
      </c>
      <c r="CB175" s="22">
        <f t="shared" si="171"/>
        <v>9.1584595655298897E-11</v>
      </c>
      <c r="CC175" s="62">
        <f t="shared" si="119"/>
        <v>293.33333333342489</v>
      </c>
      <c r="CD175" s="62">
        <f ca="1">AVERAGE(OFFSET($CC$3,0,0,'Données projet'!$E$12+1,1))-AVERAGE(OFFSET($H$3,0,0,'Données projet'!$E$12+1,1))</f>
        <v>2719.939926994799</v>
      </c>
      <c r="CE175" s="62">
        <f t="shared" si="148"/>
        <v>312.21824046329749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1019.7289691514565</v>
      </c>
      <c r="CL175" s="23">
        <f>EXP(-LN(2)/25)*CL174+(1-EXP(-LN(2)/25))/(LN(2)/25)*Calculateur!CG175*Calculateur!CI175*VLOOKUP('Données projet'!$B$12,Paramètres!$A$1:$I$89,3,0)*0.475*44/12</f>
        <v>39.815080967644413</v>
      </c>
      <c r="CM175" s="23">
        <f>EXP(-LN(2)/2)*CM174+(1-EXP(-LN(2)/2))/(LN(2)/2)*CG175*CJ175*VLOOKUP('Données projet'!$B$12,Paramètres!$A$1:$I$89,3,0)*0.475*44/12</f>
        <v>3.4755383332704939E-3</v>
      </c>
      <c r="CN175" s="24">
        <f t="shared" si="172"/>
        <v>1059.5475256574341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1.1368683772161603E-12</v>
      </c>
      <c r="CU175" s="18">
        <f>CT175*VLOOKUP('Données projet'!$B$13,Paramètres!$A$1:$I$89,3,0)*VLOOKUP('Données projet'!$B$13,Paramètres!$A$1:$I$89,5,0)</f>
        <v>9.9316821433603771E-13</v>
      </c>
      <c r="CV175" s="14">
        <f t="shared" si="173"/>
        <v>1.1421454694498936E-11</v>
      </c>
      <c r="CW175" s="22">
        <f t="shared" si="174"/>
        <v>2.1622134899554243E-11</v>
      </c>
      <c r="CX175" s="62">
        <f t="shared" si="122"/>
        <v>293.33333333335491</v>
      </c>
      <c r="CY175" s="62">
        <f ca="1">AVERAGE(OFFSET($CX$3,0,0,'Données projet'!$E$13+1,1))-AVERAGE(OFFSET($H$3,0,0,'Données projet'!$E$13+1,1))</f>
        <v>1036.0130072090849</v>
      </c>
      <c r="CZ175" s="62">
        <f t="shared" si="150"/>
        <v>346.56593355696174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108.29014003340978</v>
      </c>
      <c r="DG175" s="23">
        <f>EXP(-LN(2)/25)*DG174+(1-EXP(-LN(2)/25))/(LN(2)/25)*Calculateur!DB175*Calculateur!DD175*VLOOKUP('Données projet'!$B$13,Paramètres!$A$1:$I$89,3,0)*0.475*44/12</f>
        <v>3.301951993183414</v>
      </c>
      <c r="DH175" s="23">
        <f>EXP(-LN(2)/2)*DH174+(1-EXP(-LN(2)/2))/(LN(2)/2)*DB175*DE175*VLOOKUP('Données projet'!$B$13,Paramètres!$A$1:$I$89,3,0)*0.475*44/12</f>
        <v>1.2843062165566818E-12</v>
      </c>
      <c r="DI175" s="24">
        <f t="shared" si="175"/>
        <v>111.59209202659447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6.8212102632969618E-13</v>
      </c>
      <c r="DP175" s="18">
        <f>DO175*VLOOKUP('Données projet'!$B$14,Paramètres!$A$1:$I$89,3,0)*VLOOKUP('Données projet'!$B$14,Paramètres!$A$1:$I$89,5,0)</f>
        <v>3.8130565371830017E-13</v>
      </c>
      <c r="DQ175" s="14">
        <f t="shared" si="176"/>
        <v>4.9019074112354236E-12</v>
      </c>
      <c r="DR175" s="22">
        <f t="shared" si="177"/>
        <v>9.2015960881277352E-12</v>
      </c>
      <c r="DS175" s="62">
        <f t="shared" si="125"/>
        <v>293.33333333334252</v>
      </c>
      <c r="DT175" s="62">
        <f ca="1">AVERAGE(OFFSET($DS$3,0,0,'Données projet'!$E$14+1,1))-AVERAGE(OFFSET($H$3,0,0,'Données projet'!$E$14+1,1))</f>
        <v>446.48069057792151</v>
      </c>
      <c r="DU175" s="62">
        <f t="shared" si="152"/>
        <v>561.75656782935948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20.094569344857199</v>
      </c>
      <c r="EB175" s="23">
        <f>EXP(-LN(2)/25)*EB174+(1-EXP(-LN(2)/25))/(LN(2)/25)*Calculateur!DW175*Calculateur!DY175*VLOOKUP('Données projet'!$B$14,Paramètres!$A$1:$I$89,3,0)*0.475*44/12</f>
        <v>3.631250251543821</v>
      </c>
      <c r="EC175" s="23">
        <f>EXP(-LN(2)/2)*EC174+(1-EXP(-LN(2)/2))/(LN(2)/2)*DW175*DZ175*VLOOKUP('Données projet'!$B$14,Paramètres!$A$1:$I$89,3,0)*0.475*44/12</f>
        <v>1.8621933426143491E-15</v>
      </c>
      <c r="ED175" s="24">
        <f t="shared" si="178"/>
        <v>23.725819596401024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1.7053025658242404E-13</v>
      </c>
      <c r="EK175" s="18">
        <f>EJ175*VLOOKUP('Données projet'!$B$15,Paramètres!$A$1:$I$89,3,0)*VLOOKUP('Données projet'!$B$15,Paramètres!$A$1:$I$89,5,0)</f>
        <v>1.6493686416652052E-13</v>
      </c>
      <c r="EL175" s="14">
        <f t="shared" si="179"/>
        <v>2.3376205369651282E-12</v>
      </c>
      <c r="EM175" s="22">
        <f t="shared" si="180"/>
        <v>4.3586208069709543E-12</v>
      </c>
      <c r="EN175" s="62">
        <f t="shared" si="128"/>
        <v>293.33333333333769</v>
      </c>
      <c r="EO175" s="62">
        <f ca="1">AVERAGE(OFFSET($EN$3,0,0,'Données projet'!$E$15+1,1))-AVERAGE(OFFSET($H$3,0,0,'Données projet'!$E$15+1,1))</f>
        <v>301.18531163828169</v>
      </c>
      <c r="EP175" s="62">
        <f t="shared" si="154"/>
        <v>192.30530273268101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25.949832400645761</v>
      </c>
      <c r="EW175" s="23">
        <f>EXP(-LN(2)/25)*EW174+(1-EXP(-LN(2)/25))/(LN(2)/25)*Calculateur!ER175*Calculateur!ET175*VLOOKUP('Données projet'!$B$15,Paramètres!$A$1:$I$89,3,0)*0.475*44/12</f>
        <v>1.056774933528863</v>
      </c>
      <c r="EX175" s="23">
        <f>EXP(-LN(2)/2)*EX174+(1-EXP(-LN(2)/2))/(LN(2)/2)*ER175*EU175*VLOOKUP('Données projet'!$B$15,Paramètres!$A$1:$I$89,3,0)*0.475*44/12</f>
        <v>8.7886769677863723E-16</v>
      </c>
      <c r="EY175" s="24">
        <f t="shared" si="181"/>
        <v>27.006607334174625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1.7053025658242404E-13</v>
      </c>
      <c r="FF175" s="18">
        <f>FE175*VLOOKUP('Données projet'!$B$16,Paramètres!$A$1:$I$89,3,0)*VLOOKUP('Données projet'!$B$16,Paramètres!$A$1:$I$89,5,0)</f>
        <v>1.3301360013429075E-13</v>
      </c>
      <c r="FG175" s="14">
        <f t="shared" si="182"/>
        <v>1.9329766731057041E-12</v>
      </c>
      <c r="FH175" s="22">
        <f t="shared" si="183"/>
        <v>3.5982663925596575E-12</v>
      </c>
      <c r="FI175" s="62">
        <f t="shared" si="131"/>
        <v>293.3333333333369</v>
      </c>
      <c r="FJ175" s="62">
        <f ca="1">AVERAGE(OFFSET($FI$3,0,0,'Données projet'!$E$16+1,1))-AVERAGE(OFFSET($H$3,0,0,'Données projet'!$E$16+1,1))</f>
        <v>249.2899297828755</v>
      </c>
      <c r="FK175" s="62">
        <f t="shared" si="156"/>
        <v>162.88011837476813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20.927284194069163</v>
      </c>
      <c r="FR175" s="23">
        <f>EXP(-LN(2)/25)*FR174+(1-EXP(-LN(2)/25))/(LN(2)/25)*Calculateur!FM175*Calculateur!FO175*VLOOKUP('Données projet'!$B$16,Paramètres!$A$1:$I$89,3,0)*0.475*44/12</f>
        <v>0.85223784962004923</v>
      </c>
      <c r="FS175" s="23">
        <f>EXP(-LN(2)/2)*FS174+(1-EXP(-LN(2)/2))/(LN(2)/2)*FM175*FP175*VLOOKUP('Données projet'!$B$16,Paramètres!$A$1:$I$89,3,0)*0.475*44/12</f>
        <v>7.0876427159566921E-16</v>
      </c>
      <c r="FT175" s="24">
        <f t="shared" si="184"/>
        <v>21.779522043689212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1.7053025658242404E-13</v>
      </c>
      <c r="GA175" s="18">
        <f>FZ175*VLOOKUP('Données projet'!$B$17,Paramètres!$A$1:$I$89,3,0)*VLOOKUP('Données projet'!$B$17,Paramètres!$A$1:$I$89,5,0)</f>
        <v>1.1439169611549005E-13</v>
      </c>
      <c r="GB175" s="14">
        <f t="shared" si="185"/>
        <v>1.6918016515029816E-12</v>
      </c>
      <c r="GC175" s="22">
        <f t="shared" si="186"/>
        <v>3.1457867471021712E-12</v>
      </c>
      <c r="GD175" s="62">
        <f t="shared" si="134"/>
        <v>293.33333333333644</v>
      </c>
      <c r="GE175" s="62">
        <f ca="1">AVERAGE(OFFSET($GD$3,0,0,'Données projet'!$E$17+1,1))-AVERAGE(OFFSET($H$3,0,0,'Données projet'!$E$17+1,1))</f>
        <v>218.89895999738746</v>
      </c>
      <c r="GF175" s="62">
        <f t="shared" si="158"/>
        <v>145.64042897395763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22.182921245713288</v>
      </c>
      <c r="GM175" s="23">
        <f>EXP(-LN(2)/25)*GM174+(1-EXP(-LN(2)/25))/(LN(2)/25)*Calculateur!GH175*Calculateur!GJ175*VLOOKUP('Données projet'!$B$17,Paramètres!$A$1:$I$89,3,0)*0.475*44/12</f>
        <v>0.90337212059725347</v>
      </c>
      <c r="GN175" s="23">
        <f>EXP(-LN(2)/2)*GN174+(1-EXP(-LN(2)/2))/(LN(2)/2)*GH175*GK175*VLOOKUP('Données projet'!$B$17,Paramètres!$A$1:$I$89,3,0)*0.475*44/12</f>
        <v>6.0953727357228082E-16</v>
      </c>
      <c r="GO175" s="23">
        <f t="shared" si="187"/>
        <v>23.086293366310542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1.7053025658242404E-13</v>
      </c>
      <c r="GV175" s="18">
        <f>GU175*VLOOKUP('Données projet'!$B$18,Paramètres!$A$1:$I$89,3,0)*VLOOKUP('Données projet'!$B$18,Paramètres!$A$1:$I$89,5,0)</f>
        <v>1.8355876818532125E-13</v>
      </c>
      <c r="GW175" s="14">
        <f t="shared" si="188"/>
        <v>2.5693529898865504E-12</v>
      </c>
      <c r="GX175" s="22">
        <f t="shared" si="189"/>
        <v>4.7946546453085093E-12</v>
      </c>
      <c r="GY175" s="62">
        <f t="shared" si="137"/>
        <v>293.33333333333809</v>
      </c>
      <c r="GZ175" s="62">
        <f ca="1">AVERAGE(OFFSET($GY$3,0,0,'Données projet'!$E$18+1,1))-AVERAGE(OFFSET($H$3,0,0,'Données projet'!$E$18+1,1))</f>
        <v>331.3579800635751</v>
      </c>
      <c r="HA175" s="62">
        <f t="shared" si="160"/>
        <v>209.40702003535273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28.879652187815442</v>
      </c>
      <c r="HH175" s="23">
        <f>EXP(-LN(2)/25)*HH174+(1-EXP(-LN(2)/25))/(LN(2)/25)*Calculateur!HC175*Calculateur!HE175*VLOOKUP('Données projet'!$B$18,Paramètres!$A$1:$I$89,3,0)*0.475*44/12</f>
        <v>1.1760882324756703</v>
      </c>
      <c r="HI175" s="23">
        <f>EXP(-LN(2)/2)*HI174+(1-EXP(-LN(2)/2))/(LN(2)/2)*HC175*HF175*VLOOKUP('Données projet'!$B$18,Paramètres!$A$1:$I$89,3,0)*0.475*44/12</f>
        <v>9.7809469480202375E-16</v>
      </c>
      <c r="HJ175" s="24">
        <f t="shared" si="190"/>
        <v>30.055740420291112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5.0022208597511053E-12</v>
      </c>
      <c r="O176" s="14">
        <f>N176*VLOOKUP('Données projet'!$B$9,Paramètres!$A$1:$I$89,3,0)*VLOOKUP('Données projet'!$B$9,Paramètres!$A$1:$I$89,5,0)</f>
        <v>4.5260094339028E-12</v>
      </c>
      <c r="P176" s="14">
        <f t="shared" si="141"/>
        <v>4.3625683148570328E-11</v>
      </c>
      <c r="Q176" s="22">
        <f t="shared" si="162"/>
        <v>8.3864197914474037E-11</v>
      </c>
      <c r="R176" s="62">
        <f t="shared" si="109"/>
        <v>293.33333333341716</v>
      </c>
      <c r="S176" s="62">
        <f ca="1">AVERAGE(OFFSET($R$3,0,0,'Données projet'!$E$9+1,1))-AVERAGE(OFFSET($H$3,0,0,'Données projet'!$E$9+1,1))</f>
        <v>2472.5049373954762</v>
      </c>
      <c r="T176" s="62">
        <f t="shared" si="142"/>
        <v>286.98388307318311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906.00776484843539</v>
      </c>
      <c r="AA176" s="23">
        <f>EXP(-LN(2)/25)*AA175+(1-EXP(-LN(2)/25))/(LN(2)/25)*Calculateur!V176*Calculateur!X176*VLOOKUP('Données projet'!$B$9,Paramètres!$A$1:$I$89,3,0)*0.475*44/12</f>
        <v>35.095741533100032</v>
      </c>
      <c r="AB176" s="23">
        <f>EXP(-LN(2)/2)*AB175+(1-EXP(-LN(2)/2))/(LN(2)/2)*V176*Y176*VLOOKUP('Données projet'!$B$9,Paramètres!$A$1:$I$89,3,0)*0.475*44/12</f>
        <v>2.2271789058797308E-3</v>
      </c>
      <c r="AC176" s="24">
        <f t="shared" si="163"/>
        <v>941.10573356044131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5.0022208597511053E-12</v>
      </c>
      <c r="AJ176" s="14">
        <f>AI176*VLOOKUP('Données projet'!$B$10,Paramètres!$A$1:$I$89,3,0)*VLOOKUP('Données projet'!$B$10,Paramètres!$A$1:$I$89,5,0)</f>
        <v>5.0722519517876216E-12</v>
      </c>
      <c r="AK176" s="14">
        <f t="shared" si="164"/>
        <v>4.8246688221215311E-11</v>
      </c>
      <c r="AL176" s="22">
        <f t="shared" si="165"/>
        <v>9.2863820801313432E-11</v>
      </c>
      <c r="AM176" s="62">
        <f t="shared" si="113"/>
        <v>293.3333333334262</v>
      </c>
      <c r="AN176" s="62">
        <f ca="1">AVERAGE(OFFSET($AM$3,0,0,'Données projet'!$E$10+1,1))-AVERAGE(OFFSET($H$3,0,0,'Données projet'!$E$10+1,1))</f>
        <v>2761.1400657295467</v>
      </c>
      <c r="AO176" s="62">
        <f t="shared" si="144"/>
        <v>316.41877504316409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1015.3535295715219</v>
      </c>
      <c r="AV176" s="23">
        <f>EXP(-LN(2)/25)*AV175+(1-EXP(-LN(2)/25))/(LN(2)/25)*Calculateur!AQ176*Calculateur!AS176*VLOOKUP('Données projet'!$B$10,Paramètres!$A$1:$I$89,3,0)*0.475*44/12</f>
        <v>39.331434476750069</v>
      </c>
      <c r="AW176" s="23">
        <f>EXP(-LN(2)/2)*AW175+(1-EXP(-LN(2)/2))/(LN(2)/2)*AQ176*AT176*VLOOKUP('Données projet'!$B$10,Paramètres!$A$1:$I$89,3,0)*0.475*44/12</f>
        <v>2.4959763600376299E-3</v>
      </c>
      <c r="AX176" s="23">
        <f t="shared" si="166"/>
        <v>1054.6874600246319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5.0022208597511053E-12</v>
      </c>
      <c r="BE176" s="14">
        <f>BD176*VLOOKUP('Données projet'!$B$11,Paramètres!$A$1:$I$89,3,0)*VLOOKUP('Données projet'!$B$11,Paramètres!$A$1:$I$89,5,0)</f>
        <v>5.2283212426118558E-12</v>
      </c>
      <c r="BF176" s="14">
        <f t="shared" si="167"/>
        <v>4.9556081821365385E-11</v>
      </c>
      <c r="BG176" s="22">
        <f t="shared" si="168"/>
        <v>9.5416168669760364E-11</v>
      </c>
      <c r="BH176" s="62">
        <f t="shared" si="116"/>
        <v>293.33333333342875</v>
      </c>
      <c r="BI176" s="62">
        <f ca="1">AVERAGE(OFFSET($BH$3,0,0,'Données projet'!$E$11+1,1))-AVERAGE(OFFSET($H$3,0,0,'Données projet'!$E$11+1,1))</f>
        <v>2843.5086223152098</v>
      </c>
      <c r="BJ176" s="62">
        <f t="shared" si="146"/>
        <v>324.81562437645522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1046.5951766352614</v>
      </c>
      <c r="BQ176" s="23">
        <f>EXP(-LN(2)/25)*BQ175+(1-EXP(-LN(2)/25))/(LN(2)/25)*Calculateur!BL176*Calculateur!BN176*VLOOKUP('Données projet'!$B$11,Paramètres!$A$1:$I$89,3,0)*0.475*44/12</f>
        <v>40.541632460650071</v>
      </c>
      <c r="BR176" s="23">
        <f>EXP(-LN(2)/2)*BR175+(1-EXP(-LN(2)/2))/(LN(2)/2)*BL176*BO176*VLOOKUP('Données projet'!$B$11,Paramètres!$A$1:$I$89,3,0)*0.475*44/12</f>
        <v>2.5727756326541745E-3</v>
      </c>
      <c r="BS176" s="24">
        <f t="shared" si="169"/>
        <v>1087.1393818715442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5.0022208597511053E-12</v>
      </c>
      <c r="BZ176" s="14">
        <f>BY176*VLOOKUP('Données projet'!$B$12,Paramètres!$A$1:$I$89,3,0)*VLOOKUP('Données projet'!$B$12,Paramètres!$A$1:$I$89,5,0)</f>
        <v>4.9942173063755036E-12</v>
      </c>
      <c r="CA176" s="14">
        <f t="shared" si="170"/>
        <v>4.7590239529202817E-11</v>
      </c>
      <c r="CB176" s="22">
        <f t="shared" si="171"/>
        <v>9.1584595655298897E-11</v>
      </c>
      <c r="CC176" s="62">
        <f t="shared" si="119"/>
        <v>293.33333333342489</v>
      </c>
      <c r="CD176" s="62">
        <f ca="1">AVERAGE(OFFSET($CC$3,0,0,'Données projet'!$E$12+1,1))-AVERAGE(OFFSET($H$3,0,0,'Données projet'!$E$12+1,1))</f>
        <v>2719.939926994799</v>
      </c>
      <c r="CE176" s="62">
        <f t="shared" si="148"/>
        <v>312.21824046329749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999.73270603965284</v>
      </c>
      <c r="CL176" s="23">
        <f>EXP(-LN(2)/25)*CL175+(1-EXP(-LN(2)/25))/(LN(2)/25)*Calculateur!CG176*Calculateur!CI176*VLOOKUP('Données projet'!$B$12,Paramètres!$A$1:$I$89,3,0)*0.475*44/12</f>
        <v>38.726335484800067</v>
      </c>
      <c r="CM176" s="23">
        <f>EXP(-LN(2)/2)*CM175+(1-EXP(-LN(2)/2))/(LN(2)/2)*CG176*CJ176*VLOOKUP('Données projet'!$B$12,Paramètres!$A$1:$I$89,3,0)*0.475*44/12</f>
        <v>2.4575767237293572E-3</v>
      </c>
      <c r="CN176" s="24">
        <f t="shared" si="172"/>
        <v>1038.4614991011767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1.1368683772161603E-12</v>
      </c>
      <c r="CU176" s="18">
        <f>CT176*VLOOKUP('Données projet'!$B$13,Paramètres!$A$1:$I$89,3,0)*VLOOKUP('Données projet'!$B$13,Paramètres!$A$1:$I$89,5,0)</f>
        <v>9.9316821433603771E-13</v>
      </c>
      <c r="CV176" s="14">
        <f t="shared" si="173"/>
        <v>1.1421454694498936E-11</v>
      </c>
      <c r="CW176" s="22">
        <f t="shared" si="174"/>
        <v>2.1622134899554243E-11</v>
      </c>
      <c r="CX176" s="62">
        <f t="shared" si="122"/>
        <v>293.33333333335491</v>
      </c>
      <c r="CY176" s="62">
        <f ca="1">AVERAGE(OFFSET($CX$3,0,0,'Données projet'!$E$13+1,1))-AVERAGE(OFFSET($H$3,0,0,'Données projet'!$E$13+1,1))</f>
        <v>1036.0130072090849</v>
      </c>
      <c r="CZ176" s="62">
        <f t="shared" si="150"/>
        <v>346.56593355696174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106.1666364378181</v>
      </c>
      <c r="DG176" s="23">
        <f>EXP(-LN(2)/25)*DG175+(1-EXP(-LN(2)/25))/(LN(2)/25)*Calculateur!DB176*Calculateur!DD176*VLOOKUP('Données projet'!$B$13,Paramètres!$A$1:$I$89,3,0)*0.475*44/12</f>
        <v>3.2116599422877048</v>
      </c>
      <c r="DH176" s="23">
        <f>EXP(-LN(2)/2)*DH175+(1-EXP(-LN(2)/2))/(LN(2)/2)*DB176*DE176*VLOOKUP('Données projet'!$B$13,Paramètres!$A$1:$I$89,3,0)*0.475*44/12</f>
        <v>9.0814163484726837E-13</v>
      </c>
      <c r="DI176" s="24">
        <f t="shared" si="175"/>
        <v>109.37829638010672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6.8212102632969618E-13</v>
      </c>
      <c r="DP176" s="18">
        <f>DO176*VLOOKUP('Données projet'!$B$14,Paramètres!$A$1:$I$89,3,0)*VLOOKUP('Données projet'!$B$14,Paramètres!$A$1:$I$89,5,0)</f>
        <v>3.8130565371830017E-13</v>
      </c>
      <c r="DQ176" s="14">
        <f t="shared" si="176"/>
        <v>4.9019074112354236E-12</v>
      </c>
      <c r="DR176" s="22">
        <f t="shared" si="177"/>
        <v>9.2015960881277352E-12</v>
      </c>
      <c r="DS176" s="62">
        <f t="shared" si="125"/>
        <v>293.33333333334252</v>
      </c>
      <c r="DT176" s="62">
        <f ca="1">AVERAGE(OFFSET($DS$3,0,0,'Données projet'!$E$14+1,1))-AVERAGE(OFFSET($H$3,0,0,'Données projet'!$E$14+1,1))</f>
        <v>446.48069057792151</v>
      </c>
      <c r="DU176" s="62">
        <f t="shared" si="152"/>
        <v>561.75656782935948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19.700527096481622</v>
      </c>
      <c r="EB176" s="23">
        <f>EXP(-LN(2)/25)*EB175+(1-EXP(-LN(2)/25))/(LN(2)/25)*Calculateur!DW176*Calculateur!DY176*VLOOKUP('Données projet'!$B$14,Paramètres!$A$1:$I$89,3,0)*0.475*44/12</f>
        <v>3.5319535224562038</v>
      </c>
      <c r="EC176" s="23">
        <f>EXP(-LN(2)/2)*EC175+(1-EXP(-LN(2)/2))/(LN(2)/2)*DW176*DZ176*VLOOKUP('Données projet'!$B$14,Paramètres!$A$1:$I$89,3,0)*0.475*44/12</f>
        <v>1.3167695404430501E-15</v>
      </c>
      <c r="ED176" s="24">
        <f t="shared" si="178"/>
        <v>23.232480618937824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1.7053025658242404E-13</v>
      </c>
      <c r="EK176" s="18">
        <f>EJ176*VLOOKUP('Données projet'!$B$15,Paramètres!$A$1:$I$89,3,0)*VLOOKUP('Données projet'!$B$15,Paramètres!$A$1:$I$89,5,0)</f>
        <v>1.6493686416652052E-13</v>
      </c>
      <c r="EL176" s="14">
        <f t="shared" si="179"/>
        <v>2.3376205369651282E-12</v>
      </c>
      <c r="EM176" s="22">
        <f t="shared" si="180"/>
        <v>4.3586208069709543E-12</v>
      </c>
      <c r="EN176" s="62">
        <f t="shared" si="128"/>
        <v>293.33333333333769</v>
      </c>
      <c r="EO176" s="62">
        <f ca="1">AVERAGE(OFFSET($EN$3,0,0,'Données projet'!$E$15+1,1))-AVERAGE(OFFSET($H$3,0,0,'Données projet'!$E$15+1,1))</f>
        <v>301.18531163828169</v>
      </c>
      <c r="EP176" s="62">
        <f t="shared" si="154"/>
        <v>192.30530273268101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25.440972015103991</v>
      </c>
      <c r="EW176" s="23">
        <f>EXP(-LN(2)/25)*EW175+(1-EXP(-LN(2)/25))/(LN(2)/25)*Calculateur!ER176*Calculateur!ET176*VLOOKUP('Données projet'!$B$15,Paramètres!$A$1:$I$89,3,0)*0.475*44/12</f>
        <v>1.0278773673981378</v>
      </c>
      <c r="EX176" s="23">
        <f>EXP(-LN(2)/2)*EX175+(1-EXP(-LN(2)/2))/(LN(2)/2)*ER176*EU176*VLOOKUP('Données projet'!$B$15,Paramètres!$A$1:$I$89,3,0)*0.475*44/12</f>
        <v>6.2145330815797692E-16</v>
      </c>
      <c r="EY176" s="24">
        <f t="shared" si="181"/>
        <v>26.468849382502128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1.7053025658242404E-13</v>
      </c>
      <c r="FF176" s="18">
        <f>FE176*VLOOKUP('Données projet'!$B$16,Paramètres!$A$1:$I$89,3,0)*VLOOKUP('Données projet'!$B$16,Paramètres!$A$1:$I$89,5,0)</f>
        <v>1.3301360013429075E-13</v>
      </c>
      <c r="FG176" s="14">
        <f t="shared" si="182"/>
        <v>1.9329766731057041E-12</v>
      </c>
      <c r="FH176" s="22">
        <f t="shared" si="183"/>
        <v>3.5982663925596575E-12</v>
      </c>
      <c r="FI176" s="62">
        <f t="shared" si="131"/>
        <v>293.3333333333369</v>
      </c>
      <c r="FJ176" s="62">
        <f ca="1">AVERAGE(OFFSET($FI$3,0,0,'Données projet'!$E$16+1,1))-AVERAGE(OFFSET($H$3,0,0,'Données projet'!$E$16+1,1))</f>
        <v>249.2899297828755</v>
      </c>
      <c r="FK176" s="62">
        <f t="shared" si="156"/>
        <v>162.88011837476813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20.516912915406447</v>
      </c>
      <c r="FR176" s="23">
        <f>EXP(-LN(2)/25)*FR175+(1-EXP(-LN(2)/25))/(LN(2)/25)*Calculateur!FM176*Calculateur!FO176*VLOOKUP('Données projet'!$B$16,Paramètres!$A$1:$I$89,3,0)*0.475*44/12</f>
        <v>0.82893336080494828</v>
      </c>
      <c r="FS176" s="23">
        <f>EXP(-LN(2)/2)*FS175+(1-EXP(-LN(2)/2))/(LN(2)/2)*FM176*FP176*VLOOKUP('Données projet'!$B$16,Paramètres!$A$1:$I$89,3,0)*0.475*44/12</f>
        <v>5.011720227080416E-16</v>
      </c>
      <c r="FT176" s="24">
        <f t="shared" si="184"/>
        <v>21.345846276211397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1.7053025658242404E-13</v>
      </c>
      <c r="GA176" s="18">
        <f>FZ176*VLOOKUP('Données projet'!$B$17,Paramètres!$A$1:$I$89,3,0)*VLOOKUP('Données projet'!$B$17,Paramètres!$A$1:$I$89,5,0)</f>
        <v>1.1439169611549005E-13</v>
      </c>
      <c r="GB176" s="14">
        <f t="shared" si="185"/>
        <v>1.6918016515029816E-12</v>
      </c>
      <c r="GC176" s="22">
        <f t="shared" si="186"/>
        <v>3.1457867471021712E-12</v>
      </c>
      <c r="GD176" s="62">
        <f t="shared" si="134"/>
        <v>293.33333333333644</v>
      </c>
      <c r="GE176" s="62">
        <f ca="1">AVERAGE(OFFSET($GD$3,0,0,'Données projet'!$E$17+1,1))-AVERAGE(OFFSET($H$3,0,0,'Données projet'!$E$17+1,1))</f>
        <v>218.89895999738746</v>
      </c>
      <c r="GF176" s="62">
        <f t="shared" si="158"/>
        <v>145.64042897395763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21.747927690330808</v>
      </c>
      <c r="GM176" s="23">
        <f>EXP(-LN(2)/25)*GM175+(1-EXP(-LN(2)/25))/(LN(2)/25)*Calculateur!GH176*Calculateur!GJ176*VLOOKUP('Données projet'!$B$17,Paramètres!$A$1:$I$89,3,0)*0.475*44/12</f>
        <v>0.87866936245324645</v>
      </c>
      <c r="GN176" s="23">
        <f>EXP(-LN(2)/2)*GN175+(1-EXP(-LN(2)/2))/(LN(2)/2)*GH176*GK176*VLOOKUP('Données projet'!$B$17,Paramètres!$A$1:$I$89,3,0)*0.475*44/12</f>
        <v>4.3100793952891954E-16</v>
      </c>
      <c r="GO176" s="23">
        <f t="shared" si="187"/>
        <v>22.626597052784057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1.7053025658242404E-13</v>
      </c>
      <c r="GV176" s="18">
        <f>GU176*VLOOKUP('Données projet'!$B$18,Paramètres!$A$1:$I$89,3,0)*VLOOKUP('Données projet'!$B$18,Paramètres!$A$1:$I$89,5,0)</f>
        <v>1.8355876818532125E-13</v>
      </c>
      <c r="GW176" s="14">
        <f t="shared" si="188"/>
        <v>2.5693529898865504E-12</v>
      </c>
      <c r="GX176" s="22">
        <f t="shared" si="189"/>
        <v>4.7946546453085093E-12</v>
      </c>
      <c r="GY176" s="62">
        <f t="shared" si="137"/>
        <v>293.33333333333809</v>
      </c>
      <c r="GZ176" s="62">
        <f ca="1">AVERAGE(OFFSET($GY$3,0,0,'Données projet'!$E$18+1,1))-AVERAGE(OFFSET($H$3,0,0,'Données projet'!$E$18+1,1))</f>
        <v>331.3579800635751</v>
      </c>
      <c r="HA176" s="62">
        <f t="shared" si="160"/>
        <v>209.40702003535273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28.313339823260893</v>
      </c>
      <c r="HH176" s="23">
        <f>EXP(-LN(2)/25)*HH175+(1-EXP(-LN(2)/25))/(LN(2)/25)*Calculateur!HC176*Calculateur!HE176*VLOOKUP('Données projet'!$B$18,Paramètres!$A$1:$I$89,3,0)*0.475*44/12</f>
        <v>1.143928037910831</v>
      </c>
      <c r="HI176" s="23">
        <f>EXP(-LN(2)/2)*HI175+(1-EXP(-LN(2)/2))/(LN(2)/2)*HC176*HF176*VLOOKUP('Données projet'!$B$18,Paramètres!$A$1:$I$89,3,0)*0.475*44/12</f>
        <v>6.916173913370976E-16</v>
      </c>
      <c r="HJ176" s="24">
        <f t="shared" si="190"/>
        <v>29.457267861171726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5.0022208597511053E-12</v>
      </c>
      <c r="O177" s="14">
        <f>N177*VLOOKUP('Données projet'!$B$9,Paramètres!$A$1:$I$89,3,0)*VLOOKUP('Données projet'!$B$9,Paramètres!$A$1:$I$89,5,0)</f>
        <v>4.5260094339028E-12</v>
      </c>
      <c r="P177" s="14">
        <f t="shared" si="141"/>
        <v>4.3625683148570328E-11</v>
      </c>
      <c r="Q177" s="22">
        <f t="shared" si="162"/>
        <v>8.3864197914474037E-11</v>
      </c>
      <c r="R177" s="62">
        <f t="shared" si="109"/>
        <v>293.33333333341716</v>
      </c>
      <c r="S177" s="62">
        <f ca="1">AVERAGE(OFFSET($R$3,0,0,'Données projet'!$E$9+1,1))-AVERAGE(OFFSET($H$3,0,0,'Données projet'!$E$9+1,1))</f>
        <v>2472.5049373954762</v>
      </c>
      <c r="T177" s="62">
        <f t="shared" si="142"/>
        <v>286.98388307318311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888.24150518992838</v>
      </c>
      <c r="AA177" s="23">
        <f>EXP(-LN(2)/25)*AA176+(1-EXP(-LN(2)/25))/(LN(2)/25)*Calculateur!V177*Calculateur!X177*VLOOKUP('Données projet'!$B$9,Paramètres!$A$1:$I$89,3,0)*0.475*44/12</f>
        <v>34.136046635272578</v>
      </c>
      <c r="AB177" s="23">
        <f>EXP(-LN(2)/2)*AB176+(1-EXP(-LN(2)/2))/(LN(2)/2)*V177*Y177*VLOOKUP('Données projet'!$B$9,Paramètres!$A$1:$I$89,3,0)*0.475*44/12</f>
        <v>1.5748533072631932E-3</v>
      </c>
      <c r="AC177" s="24">
        <f t="shared" si="163"/>
        <v>922.37912667850821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5.0022208597511053E-12</v>
      </c>
      <c r="AJ177" s="14">
        <f>AI177*VLOOKUP('Données projet'!$B$10,Paramètres!$A$1:$I$89,3,0)*VLOOKUP('Données projet'!$B$10,Paramètres!$A$1:$I$89,5,0)</f>
        <v>5.0722519517876216E-12</v>
      </c>
      <c r="AK177" s="14">
        <f t="shared" si="164"/>
        <v>4.8246688221215311E-11</v>
      </c>
      <c r="AL177" s="22">
        <f t="shared" si="165"/>
        <v>9.2863820801313432E-11</v>
      </c>
      <c r="AM177" s="62">
        <f t="shared" si="113"/>
        <v>293.3333333334262</v>
      </c>
      <c r="AN177" s="62">
        <f ca="1">AVERAGE(OFFSET($AM$3,0,0,'Données projet'!$E$10+1,1))-AVERAGE(OFFSET($H$3,0,0,'Données projet'!$E$10+1,1))</f>
        <v>2761.1400657295467</v>
      </c>
      <c r="AO177" s="62">
        <f t="shared" si="144"/>
        <v>316.41877504316409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995.44306616112613</v>
      </c>
      <c r="AV177" s="23">
        <f>EXP(-LN(2)/25)*AV176+(1-EXP(-LN(2)/25))/(LN(2)/25)*Calculateur!AQ177*Calculateur!AS177*VLOOKUP('Données projet'!$B$10,Paramètres!$A$1:$I$89,3,0)*0.475*44/12</f>
        <v>38.25591433263309</v>
      </c>
      <c r="AW177" s="23">
        <f>EXP(-LN(2)/2)*AW176+(1-EXP(-LN(2)/2))/(LN(2)/2)*AQ177*AT177*VLOOKUP('Données projet'!$B$10,Paramètres!$A$1:$I$89,3,0)*0.475*44/12</f>
        <v>1.7649218098639238E-3</v>
      </c>
      <c r="AX177" s="23">
        <f t="shared" si="166"/>
        <v>1033.7007454155689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5.0022208597511053E-12</v>
      </c>
      <c r="BE177" s="14">
        <f>BD177*VLOOKUP('Données projet'!$B$11,Paramètres!$A$1:$I$89,3,0)*VLOOKUP('Données projet'!$B$11,Paramètres!$A$1:$I$89,5,0)</f>
        <v>5.2283212426118558E-12</v>
      </c>
      <c r="BF177" s="14">
        <f t="shared" si="167"/>
        <v>4.9556081821365385E-11</v>
      </c>
      <c r="BG177" s="22">
        <f t="shared" si="168"/>
        <v>9.5416168669760364E-11</v>
      </c>
      <c r="BH177" s="62">
        <f t="shared" si="116"/>
        <v>293.33333333342875</v>
      </c>
      <c r="BI177" s="62">
        <f ca="1">AVERAGE(OFFSET($BH$3,0,0,'Données projet'!$E$11+1,1))-AVERAGE(OFFSET($H$3,0,0,'Données projet'!$E$11+1,1))</f>
        <v>2843.5086223152098</v>
      </c>
      <c r="BJ177" s="62">
        <f t="shared" si="146"/>
        <v>324.81562437645522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1026.0720835814689</v>
      </c>
      <c r="BQ177" s="23">
        <f>EXP(-LN(2)/25)*BQ176+(1-EXP(-LN(2)/25))/(LN(2)/25)*Calculateur!BL177*Calculateur!BN177*VLOOKUP('Données projet'!$B$11,Paramètres!$A$1:$I$89,3,0)*0.475*44/12</f>
        <v>39.433019389021801</v>
      </c>
      <c r="BR177" s="23">
        <f>EXP(-LN(2)/2)*BR176+(1-EXP(-LN(2)/2))/(LN(2)/2)*BL177*BO177*VLOOKUP('Données projet'!$B$11,Paramètres!$A$1:$I$89,3,0)*0.475*44/12</f>
        <v>1.8192270963212768E-3</v>
      </c>
      <c r="BS177" s="24">
        <f t="shared" si="169"/>
        <v>1065.5069221975871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5.0022208597511053E-12</v>
      </c>
      <c r="BZ177" s="14">
        <f>BY177*VLOOKUP('Données projet'!$B$12,Paramètres!$A$1:$I$89,3,0)*VLOOKUP('Données projet'!$B$12,Paramètres!$A$1:$I$89,5,0)</f>
        <v>4.9942173063755036E-12</v>
      </c>
      <c r="CA177" s="14">
        <f t="shared" si="170"/>
        <v>4.7590239529202817E-11</v>
      </c>
      <c r="CB177" s="22">
        <f t="shared" si="171"/>
        <v>9.1584595655298897E-11</v>
      </c>
      <c r="CC177" s="62">
        <f t="shared" si="119"/>
        <v>293.33333333342489</v>
      </c>
      <c r="CD177" s="62">
        <f ca="1">AVERAGE(OFFSET($CC$3,0,0,'Données projet'!$E$12+1,1))-AVERAGE(OFFSET($H$3,0,0,'Données projet'!$E$12+1,1))</f>
        <v>2719.939926994799</v>
      </c>
      <c r="CE177" s="62">
        <f t="shared" si="148"/>
        <v>312.21824046329749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980.12855745095544</v>
      </c>
      <c r="CL177" s="23">
        <f>EXP(-LN(2)/25)*CL176+(1-EXP(-LN(2)/25))/(LN(2)/25)*Calculateur!CG177*Calculateur!CI177*VLOOKUP('Données projet'!$B$12,Paramètres!$A$1:$I$89,3,0)*0.475*44/12</f>
        <v>37.667361804438734</v>
      </c>
      <c r="CM177" s="23">
        <f>EXP(-LN(2)/2)*CM176+(1-EXP(-LN(2)/2))/(LN(2)/2)*CG177*CJ177*VLOOKUP('Données projet'!$B$12,Paramètres!$A$1:$I$89,3,0)*0.475*44/12</f>
        <v>1.737769166635247E-3</v>
      </c>
      <c r="CN177" s="24">
        <f t="shared" si="172"/>
        <v>1017.7976570245609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1.1368683772161603E-12</v>
      </c>
      <c r="CU177" s="18">
        <f>CT177*VLOOKUP('Données projet'!$B$13,Paramètres!$A$1:$I$89,3,0)*VLOOKUP('Données projet'!$B$13,Paramètres!$A$1:$I$89,5,0)</f>
        <v>9.9316821433603771E-13</v>
      </c>
      <c r="CV177" s="14">
        <f t="shared" si="173"/>
        <v>1.1421454694498936E-11</v>
      </c>
      <c r="CW177" s="22">
        <f t="shared" si="174"/>
        <v>2.1622134899554243E-11</v>
      </c>
      <c r="CX177" s="62">
        <f t="shared" si="122"/>
        <v>293.33333333335491</v>
      </c>
      <c r="CY177" s="62">
        <f ca="1">AVERAGE(OFFSET($CX$3,0,0,'Données projet'!$E$13+1,1))-AVERAGE(OFFSET($H$3,0,0,'Données projet'!$E$13+1,1))</f>
        <v>1036.0130072090849</v>
      </c>
      <c r="CZ177" s="62">
        <f t="shared" si="150"/>
        <v>346.56593355696174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104.08477345252666</v>
      </c>
      <c r="DG177" s="23">
        <f>EXP(-LN(2)/25)*DG176+(1-EXP(-LN(2)/25))/(LN(2)/25)*Calculateur!DB177*Calculateur!DD177*VLOOKUP('Données projet'!$B$13,Paramètres!$A$1:$I$89,3,0)*0.475*44/12</f>
        <v>3.1238369322719914</v>
      </c>
      <c r="DH177" s="23">
        <f>EXP(-LN(2)/2)*DH176+(1-EXP(-LN(2)/2))/(LN(2)/2)*DB177*DE177*VLOOKUP('Données projet'!$B$13,Paramètres!$A$1:$I$89,3,0)*0.475*44/12</f>
        <v>6.4215310827834099E-13</v>
      </c>
      <c r="DI177" s="24">
        <f t="shared" si="175"/>
        <v>107.20861038479929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6.8212102632969618E-13</v>
      </c>
      <c r="DP177" s="18">
        <f>DO177*VLOOKUP('Données projet'!$B$14,Paramètres!$A$1:$I$89,3,0)*VLOOKUP('Données projet'!$B$14,Paramètres!$A$1:$I$89,5,0)</f>
        <v>3.8130565371830017E-13</v>
      </c>
      <c r="DQ177" s="14">
        <f t="shared" si="176"/>
        <v>4.9019074112354236E-12</v>
      </c>
      <c r="DR177" s="22">
        <f t="shared" si="177"/>
        <v>9.2015960881277352E-12</v>
      </c>
      <c r="DS177" s="62">
        <f t="shared" si="125"/>
        <v>293.33333333334252</v>
      </c>
      <c r="DT177" s="62">
        <f ca="1">AVERAGE(OFFSET($DS$3,0,0,'Données projet'!$E$14+1,1))-AVERAGE(OFFSET($H$3,0,0,'Données projet'!$E$14+1,1))</f>
        <v>446.48069057792151</v>
      </c>
      <c r="DU177" s="62">
        <f t="shared" si="152"/>
        <v>561.75656782935948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19.314211776254652</v>
      </c>
      <c r="EB177" s="23">
        <f>EXP(-LN(2)/25)*EB176+(1-EXP(-LN(2)/25))/(LN(2)/25)*Calculateur!DW177*Calculateur!DY177*VLOOKUP('Données projet'!$B$14,Paramètres!$A$1:$I$89,3,0)*0.475*44/12</f>
        <v>3.4353720676472754</v>
      </c>
      <c r="EC177" s="23">
        <f>EXP(-LN(2)/2)*EC176+(1-EXP(-LN(2)/2))/(LN(2)/2)*DW177*DZ177*VLOOKUP('Données projet'!$B$14,Paramètres!$A$1:$I$89,3,0)*0.475*44/12</f>
        <v>9.3109667130717456E-16</v>
      </c>
      <c r="ED177" s="24">
        <f t="shared" si="178"/>
        <v>22.749583843901927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1.7053025658242404E-13</v>
      </c>
      <c r="EK177" s="18">
        <f>EJ177*VLOOKUP('Données projet'!$B$15,Paramètres!$A$1:$I$89,3,0)*VLOOKUP('Données projet'!$B$15,Paramètres!$A$1:$I$89,5,0)</f>
        <v>1.6493686416652052E-13</v>
      </c>
      <c r="EL177" s="14">
        <f t="shared" si="179"/>
        <v>2.3376205369651282E-12</v>
      </c>
      <c r="EM177" s="22">
        <f t="shared" si="180"/>
        <v>4.3586208069709543E-12</v>
      </c>
      <c r="EN177" s="62">
        <f t="shared" si="128"/>
        <v>293.33333333333769</v>
      </c>
      <c r="EO177" s="62">
        <f ca="1">AVERAGE(OFFSET($EN$3,0,0,'Données projet'!$E$15+1,1))-AVERAGE(OFFSET($H$3,0,0,'Données projet'!$E$15+1,1))</f>
        <v>301.18531163828169</v>
      </c>
      <c r="EP177" s="62">
        <f t="shared" si="154"/>
        <v>192.30530273268101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24.94209007134851</v>
      </c>
      <c r="EW177" s="23">
        <f>EXP(-LN(2)/25)*EW176+(1-EXP(-LN(2)/25))/(LN(2)/25)*Calculateur!ER177*Calculateur!ET177*VLOOKUP('Données projet'!$B$15,Paramètres!$A$1:$I$89,3,0)*0.475*44/12</f>
        <v>0.99977000673291427</v>
      </c>
      <c r="EX177" s="23">
        <f>EXP(-LN(2)/2)*EX176+(1-EXP(-LN(2)/2))/(LN(2)/2)*ER177*EU177*VLOOKUP('Données projet'!$B$15,Paramètres!$A$1:$I$89,3,0)*0.475*44/12</f>
        <v>4.3943384838931871E-16</v>
      </c>
      <c r="EY177" s="24">
        <f t="shared" si="181"/>
        <v>25.941860078081422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1.7053025658242404E-13</v>
      </c>
      <c r="FF177" s="18">
        <f>FE177*VLOOKUP('Données projet'!$B$16,Paramètres!$A$1:$I$89,3,0)*VLOOKUP('Données projet'!$B$16,Paramètres!$A$1:$I$89,5,0)</f>
        <v>1.3301360013429075E-13</v>
      </c>
      <c r="FG177" s="14">
        <f t="shared" si="182"/>
        <v>1.9329766731057041E-12</v>
      </c>
      <c r="FH177" s="22">
        <f t="shared" si="183"/>
        <v>3.5982663925596575E-12</v>
      </c>
      <c r="FI177" s="62">
        <f t="shared" si="131"/>
        <v>293.3333333333369</v>
      </c>
      <c r="FJ177" s="62">
        <f ca="1">AVERAGE(OFFSET($FI$3,0,0,'Données projet'!$E$16+1,1))-AVERAGE(OFFSET($H$3,0,0,'Données projet'!$E$16+1,1))</f>
        <v>249.2899297828755</v>
      </c>
      <c r="FK177" s="62">
        <f t="shared" si="156"/>
        <v>162.88011837476813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20.114588767216542</v>
      </c>
      <c r="FR177" s="23">
        <f>EXP(-LN(2)/25)*FR176+(1-EXP(-LN(2)/25))/(LN(2)/25)*Calculateur!FM177*Calculateur!FO177*VLOOKUP('Données projet'!$B$16,Paramètres!$A$1:$I$89,3,0)*0.475*44/12</f>
        <v>0.80626613446202611</v>
      </c>
      <c r="FS177" s="23">
        <f>EXP(-LN(2)/2)*FS176+(1-EXP(-LN(2)/2))/(LN(2)/2)*FM177*FP177*VLOOKUP('Données projet'!$B$16,Paramètres!$A$1:$I$89,3,0)*0.475*44/12</f>
        <v>3.543821357978346E-16</v>
      </c>
      <c r="FT177" s="24">
        <f t="shared" si="184"/>
        <v>20.920854901678567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1.7053025658242404E-13</v>
      </c>
      <c r="GA177" s="18">
        <f>FZ177*VLOOKUP('Données projet'!$B$17,Paramètres!$A$1:$I$89,3,0)*VLOOKUP('Données projet'!$B$17,Paramètres!$A$1:$I$89,5,0)</f>
        <v>1.1439169611549005E-13</v>
      </c>
      <c r="GB177" s="14">
        <f t="shared" si="185"/>
        <v>1.6918016515029816E-12</v>
      </c>
      <c r="GC177" s="22">
        <f t="shared" si="186"/>
        <v>3.1457867471021712E-12</v>
      </c>
      <c r="GD177" s="62">
        <f t="shared" si="134"/>
        <v>293.33333333333644</v>
      </c>
      <c r="GE177" s="62">
        <f ca="1">AVERAGE(OFFSET($GD$3,0,0,'Données projet'!$E$17+1,1))-AVERAGE(OFFSET($H$3,0,0,'Données projet'!$E$17+1,1))</f>
        <v>218.89895999738746</v>
      </c>
      <c r="GF177" s="62">
        <f t="shared" si="158"/>
        <v>145.64042897395763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21.32146409324951</v>
      </c>
      <c r="GM177" s="23">
        <f>EXP(-LN(2)/25)*GM176+(1-EXP(-LN(2)/25))/(LN(2)/25)*Calculateur!GH177*Calculateur!GJ177*VLOOKUP('Données projet'!$B$17,Paramètres!$A$1:$I$89,3,0)*0.475*44/12</f>
        <v>0.85464210252974893</v>
      </c>
      <c r="GN177" s="23">
        <f>EXP(-LN(2)/2)*GN176+(1-EXP(-LN(2)/2))/(LN(2)/2)*GH177*GK177*VLOOKUP('Données projet'!$B$17,Paramètres!$A$1:$I$89,3,0)*0.475*44/12</f>
        <v>3.0476863678614041E-16</v>
      </c>
      <c r="GO177" s="23">
        <f t="shared" si="187"/>
        <v>22.176106195779258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1.7053025658242404E-13</v>
      </c>
      <c r="GV177" s="18">
        <f>GU177*VLOOKUP('Données projet'!$B$18,Paramètres!$A$1:$I$89,3,0)*VLOOKUP('Données projet'!$B$18,Paramètres!$A$1:$I$89,5,0)</f>
        <v>1.8355876818532125E-13</v>
      </c>
      <c r="GW177" s="14">
        <f t="shared" si="188"/>
        <v>2.5693529898865504E-12</v>
      </c>
      <c r="GX177" s="22">
        <f t="shared" si="189"/>
        <v>4.7946546453085093E-12</v>
      </c>
      <c r="GY177" s="62">
        <f t="shared" si="137"/>
        <v>293.33333333333809</v>
      </c>
      <c r="GZ177" s="62">
        <f ca="1">AVERAGE(OFFSET($GY$3,0,0,'Données projet'!$E$18+1,1))-AVERAGE(OFFSET($H$3,0,0,'Données projet'!$E$18+1,1))</f>
        <v>331.3579800635751</v>
      </c>
      <c r="HA177" s="62">
        <f t="shared" si="160"/>
        <v>209.40702003535273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27.758132498758826</v>
      </c>
      <c r="HH177" s="23">
        <f>EXP(-LN(2)/25)*HH176+(1-EXP(-LN(2)/25))/(LN(2)/25)*Calculateur!HC177*Calculateur!HE177*VLOOKUP('Données projet'!$B$18,Paramètres!$A$1:$I$89,3,0)*0.475*44/12</f>
        <v>1.1126472655575983</v>
      </c>
      <c r="HI177" s="23">
        <f>EXP(-LN(2)/2)*HI176+(1-EXP(-LN(2)/2))/(LN(2)/2)*HC177*HF177*VLOOKUP('Données projet'!$B$18,Paramètres!$A$1:$I$89,3,0)*0.475*44/12</f>
        <v>4.8904734740101187E-16</v>
      </c>
      <c r="HJ177" s="24">
        <f t="shared" si="190"/>
        <v>28.870779764316424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5.0022208597511053E-12</v>
      </c>
      <c r="O178" s="14">
        <f>N178*VLOOKUP('Données projet'!$B$9,Paramètres!$A$1:$I$89,3,0)*VLOOKUP('Données projet'!$B$9,Paramètres!$A$1:$I$89,5,0)</f>
        <v>4.5260094339028E-12</v>
      </c>
      <c r="P178" s="14">
        <f t="shared" si="141"/>
        <v>4.3625683148570328E-11</v>
      </c>
      <c r="Q178" s="22">
        <f t="shared" si="162"/>
        <v>8.3864197914474037E-11</v>
      </c>
      <c r="R178" s="62">
        <f t="shared" si="109"/>
        <v>293.33333333341716</v>
      </c>
      <c r="S178" s="62">
        <f ca="1">AVERAGE(OFFSET($R$3,0,0,'Données projet'!$E$9+1,1))-AVERAGE(OFFSET($H$3,0,0,'Données projet'!$E$9+1,1))</f>
        <v>2472.5049373954762</v>
      </c>
      <c r="T178" s="62">
        <f t="shared" si="142"/>
        <v>286.98388307318311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870.82363104697629</v>
      </c>
      <c r="AA178" s="23">
        <f>EXP(-LN(2)/25)*AA177+(1-EXP(-LN(2)/25))/(LN(2)/25)*Calculateur!V178*Calculateur!X178*VLOOKUP('Données projet'!$B$9,Paramètres!$A$1:$I$89,3,0)*0.475*44/12</f>
        <v>33.202594644894376</v>
      </c>
      <c r="AB178" s="23">
        <f>EXP(-LN(2)/2)*AB177+(1-EXP(-LN(2)/2))/(LN(2)/2)*V178*Y178*VLOOKUP('Données projet'!$B$9,Paramètres!$A$1:$I$89,3,0)*0.475*44/12</f>
        <v>1.1135894529398654E-3</v>
      </c>
      <c r="AC178" s="24">
        <f t="shared" si="163"/>
        <v>904.02733928132363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5.0022208597511053E-12</v>
      </c>
      <c r="AJ178" s="14">
        <f>AI178*VLOOKUP('Données projet'!$B$10,Paramètres!$A$1:$I$89,3,0)*VLOOKUP('Données projet'!$B$10,Paramètres!$A$1:$I$89,5,0)</f>
        <v>5.0722519517876216E-12</v>
      </c>
      <c r="AK178" s="14">
        <f t="shared" si="164"/>
        <v>4.8246688221215311E-11</v>
      </c>
      <c r="AL178" s="22">
        <f t="shared" si="165"/>
        <v>9.2863820801313432E-11</v>
      </c>
      <c r="AM178" s="62">
        <f t="shared" si="113"/>
        <v>293.3333333334262</v>
      </c>
      <c r="AN178" s="62">
        <f ca="1">AVERAGE(OFFSET($AM$3,0,0,'Données projet'!$E$10+1,1))-AVERAGE(OFFSET($H$3,0,0,'Données projet'!$E$10+1,1))</f>
        <v>2761.1400657295467</v>
      </c>
      <c r="AO178" s="62">
        <f t="shared" si="144"/>
        <v>316.41877504316409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975.92303479402472</v>
      </c>
      <c r="AV178" s="23">
        <f>EXP(-LN(2)/25)*AV177+(1-EXP(-LN(2)/25))/(LN(2)/25)*Calculateur!AQ178*Calculateur!AS178*VLOOKUP('Données projet'!$B$10,Paramètres!$A$1:$I$89,3,0)*0.475*44/12</f>
        <v>37.209804343416138</v>
      </c>
      <c r="AW178" s="23">
        <f>EXP(-LN(2)/2)*AW177+(1-EXP(-LN(2)/2))/(LN(2)/2)*AQ178*AT178*VLOOKUP('Données projet'!$B$10,Paramètres!$A$1:$I$89,3,0)*0.475*44/12</f>
        <v>1.247988180018815E-3</v>
      </c>
      <c r="AX178" s="23">
        <f t="shared" si="166"/>
        <v>1013.1340871256209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5.0022208597511053E-12</v>
      </c>
      <c r="BE178" s="14">
        <f>BD178*VLOOKUP('Données projet'!$B$11,Paramètres!$A$1:$I$89,3,0)*VLOOKUP('Données projet'!$B$11,Paramètres!$A$1:$I$89,5,0)</f>
        <v>5.2283212426118558E-12</v>
      </c>
      <c r="BF178" s="14">
        <f t="shared" si="167"/>
        <v>4.9556081821365385E-11</v>
      </c>
      <c r="BG178" s="22">
        <f t="shared" si="168"/>
        <v>9.5416168669760364E-11</v>
      </c>
      <c r="BH178" s="62">
        <f t="shared" si="116"/>
        <v>293.33333333342875</v>
      </c>
      <c r="BI178" s="62">
        <f ca="1">AVERAGE(OFFSET($BH$3,0,0,'Données projet'!$E$11+1,1))-AVERAGE(OFFSET($H$3,0,0,'Données projet'!$E$11+1,1))</f>
        <v>2843.5086223152098</v>
      </c>
      <c r="BJ178" s="62">
        <f t="shared" si="146"/>
        <v>324.81562437645522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1005.9514358646104</v>
      </c>
      <c r="BQ178" s="23">
        <f>EXP(-LN(2)/25)*BQ177+(1-EXP(-LN(2)/25))/(LN(2)/25)*Calculateur!BL178*Calculateur!BN178*VLOOKUP('Données projet'!$B$11,Paramètres!$A$1:$I$89,3,0)*0.475*44/12</f>
        <v>38.354721400136633</v>
      </c>
      <c r="BR178" s="23">
        <f>EXP(-LN(2)/2)*BR177+(1-EXP(-LN(2)/2))/(LN(2)/2)*BL178*BO178*VLOOKUP('Données projet'!$B$11,Paramètres!$A$1:$I$89,3,0)*0.475*44/12</f>
        <v>1.2863878163270873E-3</v>
      </c>
      <c r="BS178" s="24">
        <f t="shared" si="169"/>
        <v>1044.3074436525635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5.0022208597511053E-12</v>
      </c>
      <c r="BZ178" s="14">
        <f>BY178*VLOOKUP('Données projet'!$B$12,Paramètres!$A$1:$I$89,3,0)*VLOOKUP('Données projet'!$B$12,Paramètres!$A$1:$I$89,5,0)</f>
        <v>4.9942173063755036E-12</v>
      </c>
      <c r="CA178" s="14">
        <f t="shared" si="170"/>
        <v>4.7590239529202817E-11</v>
      </c>
      <c r="CB178" s="22">
        <f t="shared" si="171"/>
        <v>9.1584595655298897E-11</v>
      </c>
      <c r="CC178" s="62">
        <f t="shared" si="119"/>
        <v>293.33333333342489</v>
      </c>
      <c r="CD178" s="62">
        <f ca="1">AVERAGE(OFFSET($CC$3,0,0,'Données projet'!$E$12+1,1))-AVERAGE(OFFSET($H$3,0,0,'Données projet'!$E$12+1,1))</f>
        <v>2719.939926994799</v>
      </c>
      <c r="CE178" s="62">
        <f t="shared" si="148"/>
        <v>312.21824046329749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960.90883425873244</v>
      </c>
      <c r="CL178" s="23">
        <f>EXP(-LN(2)/25)*CL177+(1-EXP(-LN(2)/25))/(LN(2)/25)*Calculateur!CG178*Calculateur!CI178*VLOOKUP('Données projet'!$B$12,Paramètres!$A$1:$I$89,3,0)*0.475*44/12</f>
        <v>36.637345815055887</v>
      </c>
      <c r="CM178" s="23">
        <f>EXP(-LN(2)/2)*CM177+(1-EXP(-LN(2)/2))/(LN(2)/2)*CG178*CJ178*VLOOKUP('Données projet'!$B$12,Paramètres!$A$1:$I$89,3,0)*0.475*44/12</f>
        <v>1.2287883618646786E-3</v>
      </c>
      <c r="CN178" s="24">
        <f t="shared" si="172"/>
        <v>997.54740886215029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1.1368683772161603E-12</v>
      </c>
      <c r="CU178" s="18">
        <f>CT178*VLOOKUP('Données projet'!$B$13,Paramètres!$A$1:$I$89,3,0)*VLOOKUP('Données projet'!$B$13,Paramètres!$A$1:$I$89,5,0)</f>
        <v>9.9316821433603771E-13</v>
      </c>
      <c r="CV178" s="14">
        <f t="shared" si="173"/>
        <v>1.1421454694498936E-11</v>
      </c>
      <c r="CW178" s="22">
        <f t="shared" si="174"/>
        <v>2.1622134899554243E-11</v>
      </c>
      <c r="CX178" s="62">
        <f t="shared" si="122"/>
        <v>293.33333333335491</v>
      </c>
      <c r="CY178" s="62">
        <f ca="1">AVERAGE(OFFSET($CX$3,0,0,'Données projet'!$E$13+1,1))-AVERAGE(OFFSET($H$3,0,0,'Données projet'!$E$13+1,1))</f>
        <v>1036.0130072090849</v>
      </c>
      <c r="CZ178" s="62">
        <f t="shared" si="150"/>
        <v>346.56593355696174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102.04373453056576</v>
      </c>
      <c r="DG178" s="23">
        <f>EXP(-LN(2)/25)*DG177+(1-EXP(-LN(2)/25))/(LN(2)/25)*Calculateur!DB178*Calculateur!DD178*VLOOKUP('Données projet'!$B$13,Paramètres!$A$1:$I$89,3,0)*0.475*44/12</f>
        <v>3.0384154470835694</v>
      </c>
      <c r="DH178" s="23">
        <f>EXP(-LN(2)/2)*DH177+(1-EXP(-LN(2)/2))/(LN(2)/2)*DB178*DE178*VLOOKUP('Données projet'!$B$13,Paramètres!$A$1:$I$89,3,0)*0.475*44/12</f>
        <v>4.5407081742363424E-13</v>
      </c>
      <c r="DI178" s="24">
        <f t="shared" si="175"/>
        <v>105.08214997764978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6.8212102632969618E-13</v>
      </c>
      <c r="DP178" s="18">
        <f>DO178*VLOOKUP('Données projet'!$B$14,Paramètres!$A$1:$I$89,3,0)*VLOOKUP('Données projet'!$B$14,Paramètres!$A$1:$I$89,5,0)</f>
        <v>3.8130565371830017E-13</v>
      </c>
      <c r="DQ178" s="14">
        <f t="shared" si="176"/>
        <v>4.9019074112354236E-12</v>
      </c>
      <c r="DR178" s="22">
        <f t="shared" si="177"/>
        <v>9.2015960881277352E-12</v>
      </c>
      <c r="DS178" s="62">
        <f t="shared" si="125"/>
        <v>293.33333333334252</v>
      </c>
      <c r="DT178" s="62">
        <f ca="1">AVERAGE(OFFSET($DS$3,0,0,'Données projet'!$E$14+1,1))-AVERAGE(OFFSET($H$3,0,0,'Données projet'!$E$14+1,1))</f>
        <v>446.48069057792151</v>
      </c>
      <c r="DU178" s="62">
        <f t="shared" si="152"/>
        <v>561.75656782935948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18.935471863828255</v>
      </c>
      <c r="EB178" s="23">
        <f>EXP(-LN(2)/25)*EB177+(1-EXP(-LN(2)/25))/(LN(2)/25)*Calculateur!DW178*Calculateur!DY178*VLOOKUP('Données projet'!$B$14,Paramètres!$A$1:$I$89,3,0)*0.475*44/12</f>
        <v>3.3414316377990954</v>
      </c>
      <c r="EC178" s="23">
        <f>EXP(-LN(2)/2)*EC177+(1-EXP(-LN(2)/2))/(LN(2)/2)*DW178*DZ178*VLOOKUP('Données projet'!$B$14,Paramètres!$A$1:$I$89,3,0)*0.475*44/12</f>
        <v>6.5838477022152505E-16</v>
      </c>
      <c r="ED178" s="24">
        <f t="shared" si="178"/>
        <v>22.276903501627352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1.7053025658242404E-13</v>
      </c>
      <c r="EK178" s="18">
        <f>EJ178*VLOOKUP('Données projet'!$B$15,Paramètres!$A$1:$I$89,3,0)*VLOOKUP('Données projet'!$B$15,Paramètres!$A$1:$I$89,5,0)</f>
        <v>1.6493686416652052E-13</v>
      </c>
      <c r="EL178" s="14">
        <f t="shared" si="179"/>
        <v>2.3376205369651282E-12</v>
      </c>
      <c r="EM178" s="22">
        <f t="shared" si="180"/>
        <v>4.3586208069709543E-12</v>
      </c>
      <c r="EN178" s="62">
        <f t="shared" si="128"/>
        <v>293.33333333333769</v>
      </c>
      <c r="EO178" s="62">
        <f ca="1">AVERAGE(OFFSET($EN$3,0,0,'Données projet'!$E$15+1,1))-AVERAGE(OFFSET($H$3,0,0,'Données projet'!$E$15+1,1))</f>
        <v>301.18531163828169</v>
      </c>
      <c r="EP178" s="62">
        <f t="shared" si="154"/>
        <v>192.30530273268101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24.452990898222133</v>
      </c>
      <c r="EW178" s="23">
        <f>EXP(-LN(2)/25)*EW177+(1-EXP(-LN(2)/25))/(LN(2)/25)*Calculateur!ER178*Calculateur!ET178*VLOOKUP('Données projet'!$B$15,Paramètres!$A$1:$I$89,3,0)*0.475*44/12</f>
        <v>0.97243124332318309</v>
      </c>
      <c r="EX178" s="23">
        <f>EXP(-LN(2)/2)*EX177+(1-EXP(-LN(2)/2))/(LN(2)/2)*ER178*EU178*VLOOKUP('Données projet'!$B$15,Paramètres!$A$1:$I$89,3,0)*0.475*44/12</f>
        <v>3.1072665407898851E-16</v>
      </c>
      <c r="EY178" s="24">
        <f t="shared" si="181"/>
        <v>25.425422141545315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1.7053025658242404E-13</v>
      </c>
      <c r="FF178" s="18">
        <f>FE178*VLOOKUP('Données projet'!$B$16,Paramètres!$A$1:$I$89,3,0)*VLOOKUP('Données projet'!$B$16,Paramètres!$A$1:$I$89,5,0)</f>
        <v>1.3301360013429075E-13</v>
      </c>
      <c r="FG178" s="14">
        <f t="shared" si="182"/>
        <v>1.9329766731057041E-12</v>
      </c>
      <c r="FH178" s="22">
        <f t="shared" si="183"/>
        <v>3.5982663925596575E-12</v>
      </c>
      <c r="FI178" s="62">
        <f t="shared" si="131"/>
        <v>293.3333333333369</v>
      </c>
      <c r="FJ178" s="62">
        <f ca="1">AVERAGE(OFFSET($FI$3,0,0,'Données projet'!$E$16+1,1))-AVERAGE(OFFSET($H$3,0,0,'Données projet'!$E$16+1,1))</f>
        <v>249.2899297828755</v>
      </c>
      <c r="FK178" s="62">
        <f t="shared" si="156"/>
        <v>162.88011837476813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19.720153950179142</v>
      </c>
      <c r="FR178" s="23">
        <f>EXP(-LN(2)/25)*FR177+(1-EXP(-LN(2)/25))/(LN(2)/25)*Calculateur!FM178*Calculateur!FO178*VLOOKUP('Données projet'!$B$16,Paramètres!$A$1:$I$89,3,0)*0.475*44/12</f>
        <v>0.7842187446154687</v>
      </c>
      <c r="FS178" s="23">
        <f>EXP(-LN(2)/2)*FS177+(1-EXP(-LN(2)/2))/(LN(2)/2)*FM178*FP178*VLOOKUP('Données projet'!$B$16,Paramètres!$A$1:$I$89,3,0)*0.475*44/12</f>
        <v>2.505860113540208E-16</v>
      </c>
      <c r="FT178" s="24">
        <f t="shared" si="184"/>
        <v>20.504372694794611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1.7053025658242404E-13</v>
      </c>
      <c r="GA178" s="18">
        <f>FZ178*VLOOKUP('Données projet'!$B$17,Paramètres!$A$1:$I$89,3,0)*VLOOKUP('Données projet'!$B$17,Paramètres!$A$1:$I$89,5,0)</f>
        <v>1.1439169611549005E-13</v>
      </c>
      <c r="GB178" s="14">
        <f t="shared" si="185"/>
        <v>1.6918016515029816E-12</v>
      </c>
      <c r="GC178" s="22">
        <f t="shared" si="186"/>
        <v>3.1457867471021712E-12</v>
      </c>
      <c r="GD178" s="62">
        <f t="shared" si="134"/>
        <v>293.33333333333644</v>
      </c>
      <c r="GE178" s="62">
        <f ca="1">AVERAGE(OFFSET($GD$3,0,0,'Données projet'!$E$17+1,1))-AVERAGE(OFFSET($H$3,0,0,'Données projet'!$E$17+1,1))</f>
        <v>218.89895999738746</v>
      </c>
      <c r="GF178" s="62">
        <f t="shared" si="158"/>
        <v>145.64042897395763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20.903363187189864</v>
      </c>
      <c r="GM178" s="23">
        <f>EXP(-LN(2)/25)*GM177+(1-EXP(-LN(2)/25))/(LN(2)/25)*Calculateur!GH178*Calculateur!GJ178*VLOOKUP('Données projet'!$B$17,Paramètres!$A$1:$I$89,3,0)*0.475*44/12</f>
        <v>0.83127186929239805</v>
      </c>
      <c r="GN178" s="23">
        <f>EXP(-LN(2)/2)*GN177+(1-EXP(-LN(2)/2))/(LN(2)/2)*GH178*GK178*VLOOKUP('Données projet'!$B$17,Paramètres!$A$1:$I$89,3,0)*0.475*44/12</f>
        <v>2.1550396976445977E-16</v>
      </c>
      <c r="GO178" s="23">
        <f t="shared" si="187"/>
        <v>21.734635056482261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1.7053025658242404E-13</v>
      </c>
      <c r="GV178" s="18">
        <f>GU178*VLOOKUP('Données projet'!$B$18,Paramètres!$A$1:$I$89,3,0)*VLOOKUP('Données projet'!$B$18,Paramètres!$A$1:$I$89,5,0)</f>
        <v>1.8355876818532125E-13</v>
      </c>
      <c r="GW178" s="14">
        <f t="shared" si="188"/>
        <v>2.5693529898865504E-12</v>
      </c>
      <c r="GX178" s="22">
        <f t="shared" si="189"/>
        <v>4.7946546453085093E-12</v>
      </c>
      <c r="GY178" s="62">
        <f t="shared" si="137"/>
        <v>293.33333333333809</v>
      </c>
      <c r="GZ178" s="62">
        <f ca="1">AVERAGE(OFFSET($GY$3,0,0,'Données projet'!$E$18+1,1))-AVERAGE(OFFSET($H$3,0,0,'Données projet'!$E$18+1,1))</f>
        <v>331.3579800635751</v>
      </c>
      <c r="HA178" s="62">
        <f t="shared" si="160"/>
        <v>209.40702003535273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27.213812451247215</v>
      </c>
      <c r="HH178" s="23">
        <f>EXP(-LN(2)/25)*HH177+(1-EXP(-LN(2)/25))/(LN(2)/25)*Calculateur!HC178*Calculateur!HE178*VLOOKUP('Données projet'!$B$18,Paramètres!$A$1:$I$89,3,0)*0.475*44/12</f>
        <v>1.0822218675693491</v>
      </c>
      <c r="HI178" s="23">
        <f>EXP(-LN(2)/2)*HI177+(1-EXP(-LN(2)/2))/(LN(2)/2)*HC178*HF178*VLOOKUP('Données projet'!$B$18,Paramètres!$A$1:$I$89,3,0)*0.475*44/12</f>
        <v>3.458086956685488E-16</v>
      </c>
      <c r="HJ178" s="24">
        <f t="shared" si="190"/>
        <v>28.296034318816563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5.0022208597511053E-12</v>
      </c>
      <c r="O179" s="14">
        <f>N179*VLOOKUP('Données projet'!$B$9,Paramètres!$A$1:$I$89,3,0)*VLOOKUP('Données projet'!$B$9,Paramètres!$A$1:$I$89,5,0)</f>
        <v>4.5260094339028E-12</v>
      </c>
      <c r="P179" s="14">
        <f t="shared" si="141"/>
        <v>4.3625683148570328E-11</v>
      </c>
      <c r="Q179" s="22">
        <f t="shared" si="162"/>
        <v>8.3864197914474037E-11</v>
      </c>
      <c r="R179" s="62">
        <f t="shared" si="109"/>
        <v>293.33333333341716</v>
      </c>
      <c r="S179" s="62">
        <f ca="1">AVERAGE(OFFSET($R$3,0,0,'Données projet'!$E$9+1,1))-AVERAGE(OFFSET($H$3,0,0,'Données projet'!$E$9+1,1))</f>
        <v>2472.5049373954762</v>
      </c>
      <c r="T179" s="62">
        <f t="shared" si="142"/>
        <v>286.98388307318311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853.74731079211335</v>
      </c>
      <c r="AA179" s="23">
        <f>EXP(-LN(2)/25)*AA178+(1-EXP(-LN(2)/25))/(LN(2)/25)*Calculateur!V179*Calculateur!X179*VLOOKUP('Données projet'!$B$9,Paramètres!$A$1:$I$89,3,0)*0.475*44/12</f>
        <v>32.294667948281173</v>
      </c>
      <c r="AB179" s="23">
        <f>EXP(-LN(2)/2)*AB178+(1-EXP(-LN(2)/2))/(LN(2)/2)*V179*Y179*VLOOKUP('Données projet'!$B$9,Paramètres!$A$1:$I$89,3,0)*0.475*44/12</f>
        <v>7.8742665363159658E-4</v>
      </c>
      <c r="AC179" s="24">
        <f t="shared" si="163"/>
        <v>886.04276616704817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5.0022208597511053E-12</v>
      </c>
      <c r="AJ179" s="14">
        <f>AI179*VLOOKUP('Données projet'!$B$10,Paramètres!$A$1:$I$89,3,0)*VLOOKUP('Données projet'!$B$10,Paramètres!$A$1:$I$89,5,0)</f>
        <v>5.0722519517876216E-12</v>
      </c>
      <c r="AK179" s="14">
        <f t="shared" si="164"/>
        <v>4.8246688221215311E-11</v>
      </c>
      <c r="AL179" s="22">
        <f t="shared" si="165"/>
        <v>9.2863820801313432E-11</v>
      </c>
      <c r="AM179" s="62">
        <f t="shared" si="113"/>
        <v>293.3333333334262</v>
      </c>
      <c r="AN179" s="62">
        <f ca="1">AVERAGE(OFFSET($AM$3,0,0,'Données projet'!$E$10+1,1))-AVERAGE(OFFSET($H$3,0,0,'Données projet'!$E$10+1,1))</f>
        <v>2761.1400657295467</v>
      </c>
      <c r="AO179" s="62">
        <f t="shared" si="144"/>
        <v>316.41877504316409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956.78577933598865</v>
      </c>
      <c r="AV179" s="23">
        <f>EXP(-LN(2)/25)*AV178+(1-EXP(-LN(2)/25))/(LN(2)/25)*Calculateur!AQ179*Calculateur!AS179*VLOOKUP('Données projet'!$B$10,Paramètres!$A$1:$I$89,3,0)*0.475*44/12</f>
        <v>36.19230028686686</v>
      </c>
      <c r="AW179" s="23">
        <f>EXP(-LN(2)/2)*AW178+(1-EXP(-LN(2)/2))/(LN(2)/2)*AQ179*AT179*VLOOKUP('Données projet'!$B$10,Paramètres!$A$1:$I$89,3,0)*0.475*44/12</f>
        <v>8.8246090493196189E-4</v>
      </c>
      <c r="AX179" s="23">
        <f t="shared" si="166"/>
        <v>992.97896208376039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5.0022208597511053E-12</v>
      </c>
      <c r="BE179" s="14">
        <f>BD179*VLOOKUP('Données projet'!$B$11,Paramètres!$A$1:$I$89,3,0)*VLOOKUP('Données projet'!$B$11,Paramètres!$A$1:$I$89,5,0)</f>
        <v>5.2283212426118558E-12</v>
      </c>
      <c r="BF179" s="14">
        <f t="shared" si="167"/>
        <v>4.9556081821365385E-11</v>
      </c>
      <c r="BG179" s="22">
        <f t="shared" si="168"/>
        <v>9.5416168669760364E-11</v>
      </c>
      <c r="BH179" s="62">
        <f t="shared" si="116"/>
        <v>293.33333333342875</v>
      </c>
      <c r="BI179" s="62">
        <f ca="1">AVERAGE(OFFSET($BH$3,0,0,'Données projet'!$E$11+1,1))-AVERAGE(OFFSET($H$3,0,0,'Données projet'!$E$11+1,1))</f>
        <v>2843.5086223152098</v>
      </c>
      <c r="BJ179" s="62">
        <f t="shared" si="146"/>
        <v>324.81562437645522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986.22534177709633</v>
      </c>
      <c r="BQ179" s="23">
        <f>EXP(-LN(2)/25)*BQ178+(1-EXP(-LN(2)/25))/(LN(2)/25)*Calculateur!BL179*Calculateur!BN179*VLOOKUP('Données projet'!$B$11,Paramètres!$A$1:$I$89,3,0)*0.475*44/12</f>
        <v>37.305909526462756</v>
      </c>
      <c r="BR179" s="23">
        <f>EXP(-LN(2)/2)*BR178+(1-EXP(-LN(2)/2))/(LN(2)/2)*BL179*BO179*VLOOKUP('Données projet'!$B$11,Paramètres!$A$1:$I$89,3,0)*0.475*44/12</f>
        <v>9.0961354816063839E-4</v>
      </c>
      <c r="BS179" s="24">
        <f t="shared" si="169"/>
        <v>1023.5321609171073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5.0022208597511053E-12</v>
      </c>
      <c r="BZ179" s="14">
        <f>BY179*VLOOKUP('Données projet'!$B$12,Paramètres!$A$1:$I$89,3,0)*VLOOKUP('Données projet'!$B$12,Paramètres!$A$1:$I$89,5,0)</f>
        <v>4.9942173063755036E-12</v>
      </c>
      <c r="CA179" s="14">
        <f t="shared" si="170"/>
        <v>4.7590239529202817E-11</v>
      </c>
      <c r="CB179" s="22">
        <f t="shared" si="171"/>
        <v>9.1584595655298897E-11</v>
      </c>
      <c r="CC179" s="62">
        <f t="shared" si="119"/>
        <v>293.33333333342489</v>
      </c>
      <c r="CD179" s="62">
        <f ca="1">AVERAGE(OFFSET($CC$3,0,0,'Données projet'!$E$12+1,1))-AVERAGE(OFFSET($H$3,0,0,'Données projet'!$E$12+1,1))</f>
        <v>2719.939926994799</v>
      </c>
      <c r="CE179" s="62">
        <f t="shared" si="148"/>
        <v>312.21824046329749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942.06599811543538</v>
      </c>
      <c r="CL179" s="23">
        <f>EXP(-LN(2)/25)*CL178+(1-EXP(-LN(2)/25))/(LN(2)/25)*Calculateur!CG179*Calculateur!CI179*VLOOKUP('Données projet'!$B$12,Paramètres!$A$1:$I$89,3,0)*0.475*44/12</f>
        <v>35.635495667068902</v>
      </c>
      <c r="CM179" s="23">
        <f>EXP(-LN(2)/2)*CM178+(1-EXP(-LN(2)/2))/(LN(2)/2)*CG179*CJ179*VLOOKUP('Données projet'!$B$12,Paramètres!$A$1:$I$89,3,0)*0.475*44/12</f>
        <v>8.6888458331762348E-4</v>
      </c>
      <c r="CN179" s="24">
        <f t="shared" si="172"/>
        <v>977.70236266708753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1.1368683772161603E-12</v>
      </c>
      <c r="CU179" s="18">
        <f>CT179*VLOOKUP('Données projet'!$B$13,Paramètres!$A$1:$I$89,3,0)*VLOOKUP('Données projet'!$B$13,Paramètres!$A$1:$I$89,5,0)</f>
        <v>9.9316821433603771E-13</v>
      </c>
      <c r="CV179" s="14">
        <f t="shared" si="173"/>
        <v>1.1421454694498936E-11</v>
      </c>
      <c r="CW179" s="22">
        <f t="shared" si="174"/>
        <v>2.1622134899554243E-11</v>
      </c>
      <c r="CX179" s="62">
        <f t="shared" si="122"/>
        <v>293.33333333335491</v>
      </c>
      <c r="CY179" s="62">
        <f ca="1">AVERAGE(OFFSET($CX$3,0,0,'Données projet'!$E$13+1,1))-AVERAGE(OFFSET($H$3,0,0,'Données projet'!$E$13+1,1))</f>
        <v>1036.0130072090849</v>
      </c>
      <c r="CZ179" s="62">
        <f t="shared" si="150"/>
        <v>346.56593355696174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100.04271913695368</v>
      </c>
      <c r="DG179" s="23">
        <f>EXP(-LN(2)/25)*DG178+(1-EXP(-LN(2)/25))/(LN(2)/25)*Calculateur!DB179*Calculateur!DD179*VLOOKUP('Données projet'!$B$13,Paramètres!$A$1:$I$89,3,0)*0.475*44/12</f>
        <v>2.9553298168997451</v>
      </c>
      <c r="DH179" s="23">
        <f>EXP(-LN(2)/2)*DH178+(1-EXP(-LN(2)/2))/(LN(2)/2)*DB179*DE179*VLOOKUP('Données projet'!$B$13,Paramètres!$A$1:$I$89,3,0)*0.475*44/12</f>
        <v>3.2107655413917055E-13</v>
      </c>
      <c r="DI179" s="24">
        <f t="shared" si="175"/>
        <v>102.99804895385375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6.8212102632969618E-13</v>
      </c>
      <c r="DP179" s="18">
        <f>DO179*VLOOKUP('Données projet'!$B$14,Paramètres!$A$1:$I$89,3,0)*VLOOKUP('Données projet'!$B$14,Paramètres!$A$1:$I$89,5,0)</f>
        <v>3.8130565371830017E-13</v>
      </c>
      <c r="DQ179" s="14">
        <f t="shared" si="176"/>
        <v>4.9019074112354236E-12</v>
      </c>
      <c r="DR179" s="22">
        <f t="shared" si="177"/>
        <v>9.2015960881277352E-12</v>
      </c>
      <c r="DS179" s="62">
        <f t="shared" si="125"/>
        <v>293.33333333334252</v>
      </c>
      <c r="DT179" s="62">
        <f ca="1">AVERAGE(OFFSET($DS$3,0,0,'Données projet'!$E$14+1,1))-AVERAGE(OFFSET($H$3,0,0,'Données projet'!$E$14+1,1))</f>
        <v>446.48069057792151</v>
      </c>
      <c r="DU179" s="62">
        <f t="shared" si="152"/>
        <v>561.75656782935948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18.564158810076002</v>
      </c>
      <c r="EB179" s="23">
        <f>EXP(-LN(2)/25)*EB178+(1-EXP(-LN(2)/25))/(LN(2)/25)*Calculateur!DW179*Calculateur!DY179*VLOOKUP('Données projet'!$B$14,Paramètres!$A$1:$I$89,3,0)*0.475*44/12</f>
        <v>3.2500600139452263</v>
      </c>
      <c r="EC179" s="23">
        <f>EXP(-LN(2)/2)*EC178+(1-EXP(-LN(2)/2))/(LN(2)/2)*DW179*DZ179*VLOOKUP('Données projet'!$B$14,Paramètres!$A$1:$I$89,3,0)*0.475*44/12</f>
        <v>4.6554833565358728E-16</v>
      </c>
      <c r="ED179" s="24">
        <f t="shared" si="178"/>
        <v>21.814218824021228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1.7053025658242404E-13</v>
      </c>
      <c r="EK179" s="18">
        <f>EJ179*VLOOKUP('Données projet'!$B$15,Paramètres!$A$1:$I$89,3,0)*VLOOKUP('Données projet'!$B$15,Paramètres!$A$1:$I$89,5,0)</f>
        <v>1.6493686416652052E-13</v>
      </c>
      <c r="EL179" s="14">
        <f t="shared" si="179"/>
        <v>2.3376205369651282E-12</v>
      </c>
      <c r="EM179" s="22">
        <f t="shared" si="180"/>
        <v>4.3586208069709543E-12</v>
      </c>
      <c r="EN179" s="62">
        <f t="shared" si="128"/>
        <v>293.33333333333769</v>
      </c>
      <c r="EO179" s="62">
        <f ca="1">AVERAGE(OFFSET($EN$3,0,0,'Données projet'!$E$15+1,1))-AVERAGE(OFFSET($H$3,0,0,'Données projet'!$E$15+1,1))</f>
        <v>301.18531163828169</v>
      </c>
      <c r="EP179" s="62">
        <f t="shared" si="154"/>
        <v>192.30530273268101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23.973482661559725</v>
      </c>
      <c r="EW179" s="23">
        <f>EXP(-LN(2)/25)*EW178+(1-EXP(-LN(2)/25))/(LN(2)/25)*Calculateur!ER179*Calculateur!ET179*VLOOKUP('Données projet'!$B$15,Paramètres!$A$1:$I$89,3,0)*0.475*44/12</f>
        <v>0.94584005983657404</v>
      </c>
      <c r="EX179" s="23">
        <f>EXP(-LN(2)/2)*EX178+(1-EXP(-LN(2)/2))/(LN(2)/2)*ER179*EU179*VLOOKUP('Données projet'!$B$15,Paramètres!$A$1:$I$89,3,0)*0.475*44/12</f>
        <v>2.1971692419465938E-16</v>
      </c>
      <c r="EY179" s="24">
        <f t="shared" si="181"/>
        <v>24.919322721396298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1.7053025658242404E-13</v>
      </c>
      <c r="FF179" s="18">
        <f>FE179*VLOOKUP('Données projet'!$B$16,Paramètres!$A$1:$I$89,3,0)*VLOOKUP('Données projet'!$B$16,Paramètres!$A$1:$I$89,5,0)</f>
        <v>1.3301360013429075E-13</v>
      </c>
      <c r="FG179" s="14">
        <f t="shared" si="182"/>
        <v>1.9329766731057041E-12</v>
      </c>
      <c r="FH179" s="22">
        <f t="shared" si="183"/>
        <v>3.5982663925596575E-12</v>
      </c>
      <c r="FI179" s="62">
        <f t="shared" si="131"/>
        <v>293.3333333333369</v>
      </c>
      <c r="FJ179" s="62">
        <f ca="1">AVERAGE(OFFSET($FI$3,0,0,'Données projet'!$E$16+1,1))-AVERAGE(OFFSET($H$3,0,0,'Données projet'!$E$16+1,1))</f>
        <v>249.2899297828755</v>
      </c>
      <c r="FK179" s="62">
        <f t="shared" si="156"/>
        <v>162.88011837476813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19.333453759322364</v>
      </c>
      <c r="FR179" s="23">
        <f>EXP(-LN(2)/25)*FR178+(1-EXP(-LN(2)/25))/(LN(2)/25)*Calculateur!FM179*Calculateur!FO179*VLOOKUP('Données projet'!$B$16,Paramètres!$A$1:$I$89,3,0)*0.475*44/12</f>
        <v>0.76277424180368725</v>
      </c>
      <c r="FS179" s="23">
        <f>EXP(-LN(2)/2)*FS178+(1-EXP(-LN(2)/2))/(LN(2)/2)*FM179*FP179*VLOOKUP('Données projet'!$B$16,Paramètres!$A$1:$I$89,3,0)*0.475*44/12</f>
        <v>1.771910678989173E-16</v>
      </c>
      <c r="FT179" s="24">
        <f t="shared" si="184"/>
        <v>20.09622800112605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1.7053025658242404E-13</v>
      </c>
      <c r="GA179" s="18">
        <f>FZ179*VLOOKUP('Données projet'!$B$17,Paramètres!$A$1:$I$89,3,0)*VLOOKUP('Données projet'!$B$17,Paramètres!$A$1:$I$89,5,0)</f>
        <v>1.1439169611549005E-13</v>
      </c>
      <c r="GB179" s="14">
        <f t="shared" si="185"/>
        <v>1.6918016515029816E-12</v>
      </c>
      <c r="GC179" s="22">
        <f t="shared" si="186"/>
        <v>3.1457867471021712E-12</v>
      </c>
      <c r="GD179" s="62">
        <f t="shared" si="134"/>
        <v>293.33333333333644</v>
      </c>
      <c r="GE179" s="62">
        <f ca="1">AVERAGE(OFFSET($GD$3,0,0,'Données projet'!$E$17+1,1))-AVERAGE(OFFSET($H$3,0,0,'Données projet'!$E$17+1,1))</f>
        <v>218.89895999738746</v>
      </c>
      <c r="GF179" s="62">
        <f t="shared" si="158"/>
        <v>145.64042897395763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20.493460984881679</v>
      </c>
      <c r="GM179" s="23">
        <f>EXP(-LN(2)/25)*GM178+(1-EXP(-LN(2)/25))/(LN(2)/25)*Calculateur!GH179*Calculateur!GJ179*VLOOKUP('Données projet'!$B$17,Paramètres!$A$1:$I$89,3,0)*0.475*44/12</f>
        <v>0.80854069631190972</v>
      </c>
      <c r="GN179" s="23">
        <f>EXP(-LN(2)/2)*GN178+(1-EXP(-LN(2)/2))/(LN(2)/2)*GH179*GK179*VLOOKUP('Données projet'!$B$17,Paramètres!$A$1:$I$89,3,0)*0.475*44/12</f>
        <v>1.523843183930702E-16</v>
      </c>
      <c r="GO179" s="23">
        <f t="shared" si="187"/>
        <v>21.302001681193588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1.7053025658242404E-13</v>
      </c>
      <c r="GV179" s="18">
        <f>GU179*VLOOKUP('Données projet'!$B$18,Paramètres!$A$1:$I$89,3,0)*VLOOKUP('Données projet'!$B$18,Paramètres!$A$1:$I$89,5,0)</f>
        <v>1.8355876818532125E-13</v>
      </c>
      <c r="GW179" s="14">
        <f t="shared" si="188"/>
        <v>2.5693529898865504E-12</v>
      </c>
      <c r="GX179" s="22">
        <f t="shared" si="189"/>
        <v>4.7946546453085093E-12</v>
      </c>
      <c r="GY179" s="62">
        <f t="shared" si="137"/>
        <v>293.33333333333809</v>
      </c>
      <c r="GZ179" s="62">
        <f ca="1">AVERAGE(OFFSET($GY$3,0,0,'Données projet'!$E$18+1,1))-AVERAGE(OFFSET($H$3,0,0,'Données projet'!$E$18+1,1))</f>
        <v>331.3579800635751</v>
      </c>
      <c r="HA179" s="62">
        <f t="shared" si="160"/>
        <v>209.40702003535273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26.680166187864859</v>
      </c>
      <c r="HH179" s="23">
        <f>EXP(-LN(2)/25)*HH178+(1-EXP(-LN(2)/25))/(LN(2)/25)*Calculateur!HC179*Calculateur!HE179*VLOOKUP('Données projet'!$B$18,Paramètres!$A$1:$I$89,3,0)*0.475*44/12</f>
        <v>1.0526284536890906</v>
      </c>
      <c r="HI179" s="23">
        <f>EXP(-LN(2)/2)*HI178+(1-EXP(-LN(2)/2))/(LN(2)/2)*HC179*HF179*VLOOKUP('Données projet'!$B$18,Paramètres!$A$1:$I$89,3,0)*0.475*44/12</f>
        <v>2.4452367370050594E-16</v>
      </c>
      <c r="HJ179" s="24">
        <f t="shared" si="190"/>
        <v>27.732794641553951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5.0022208597511053E-12</v>
      </c>
      <c r="O180" s="14">
        <f>N180*VLOOKUP('Données projet'!$B$9,Paramètres!$A$1:$I$89,3,0)*VLOOKUP('Données projet'!$B$9,Paramètres!$A$1:$I$89,5,0)</f>
        <v>4.5260094339028E-12</v>
      </c>
      <c r="P180" s="14">
        <f t="shared" si="141"/>
        <v>4.3625683148570328E-11</v>
      </c>
      <c r="Q180" s="22">
        <f t="shared" si="162"/>
        <v>8.3864197914474037E-11</v>
      </c>
      <c r="R180" s="62">
        <f t="shared" si="109"/>
        <v>293.33333333341716</v>
      </c>
      <c r="S180" s="62">
        <f ca="1">AVERAGE(OFFSET($R$3,0,0,'Données projet'!$E$9+1,1))-AVERAGE(OFFSET($H$3,0,0,'Données projet'!$E$9+1,1))</f>
        <v>2472.5049373954762</v>
      </c>
      <c r="T180" s="62">
        <f t="shared" si="142"/>
        <v>286.98388307318311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837.00584676192136</v>
      </c>
      <c r="AA180" s="23">
        <f>EXP(-LN(2)/25)*AA179+(1-EXP(-LN(2)/25))/(LN(2)/25)*Calculateur!V180*Calculateur!X180*VLOOKUP('Données projet'!$B$9,Paramètres!$A$1:$I$89,3,0)*0.475*44/12</f>
        <v>31.411568554932646</v>
      </c>
      <c r="AB180" s="23">
        <f>EXP(-LN(2)/2)*AB179+(1-EXP(-LN(2)/2))/(LN(2)/2)*V180*Y180*VLOOKUP('Données projet'!$B$9,Paramètres!$A$1:$I$89,3,0)*0.475*44/12</f>
        <v>5.5679472646993271E-4</v>
      </c>
      <c r="AC180" s="24">
        <f t="shared" si="163"/>
        <v>868.41797211158041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5.0022208597511053E-12</v>
      </c>
      <c r="AJ180" s="14">
        <f>AI180*VLOOKUP('Données projet'!$B$10,Paramètres!$A$1:$I$89,3,0)*VLOOKUP('Données projet'!$B$10,Paramètres!$A$1:$I$89,5,0)</f>
        <v>5.0722519517876216E-12</v>
      </c>
      <c r="AK180" s="14">
        <f t="shared" si="164"/>
        <v>4.8246688221215311E-11</v>
      </c>
      <c r="AL180" s="22">
        <f t="shared" si="165"/>
        <v>9.2863820801313432E-11</v>
      </c>
      <c r="AM180" s="62">
        <f t="shared" si="113"/>
        <v>293.3333333334262</v>
      </c>
      <c r="AN180" s="62">
        <f ca="1">AVERAGE(OFFSET($AM$3,0,0,'Données projet'!$E$10+1,1))-AVERAGE(OFFSET($H$3,0,0,'Données projet'!$E$10+1,1))</f>
        <v>2761.1400657295467</v>
      </c>
      <c r="AO180" s="62">
        <f t="shared" si="144"/>
        <v>316.41877504316409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938.02379378491139</v>
      </c>
      <c r="AV180" s="23">
        <f>EXP(-LN(2)/25)*AV179+(1-EXP(-LN(2)/25))/(LN(2)/25)*Calculateur!AQ180*Calculateur!AS180*VLOOKUP('Données projet'!$B$10,Paramètres!$A$1:$I$89,3,0)*0.475*44/12</f>
        <v>35.202619932252134</v>
      </c>
      <c r="AW180" s="23">
        <f>EXP(-LN(2)/2)*AW179+(1-EXP(-LN(2)/2))/(LN(2)/2)*AQ180*AT180*VLOOKUP('Données projet'!$B$10,Paramètres!$A$1:$I$89,3,0)*0.475*44/12</f>
        <v>6.2399409000940748E-4</v>
      </c>
      <c r="AX180" s="23">
        <f t="shared" si="166"/>
        <v>973.2270377112535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5.0022208597511053E-12</v>
      </c>
      <c r="BE180" s="14">
        <f>BD180*VLOOKUP('Données projet'!$B$11,Paramètres!$A$1:$I$89,3,0)*VLOOKUP('Données projet'!$B$11,Paramètres!$A$1:$I$89,5,0)</f>
        <v>5.2283212426118558E-12</v>
      </c>
      <c r="BF180" s="14">
        <f t="shared" si="167"/>
        <v>4.9556081821365385E-11</v>
      </c>
      <c r="BG180" s="22">
        <f t="shared" si="168"/>
        <v>9.5416168669760364E-11</v>
      </c>
      <c r="BH180" s="62">
        <f t="shared" si="116"/>
        <v>293.33333333342875</v>
      </c>
      <c r="BI180" s="62">
        <f ca="1">AVERAGE(OFFSET($BH$3,0,0,'Données projet'!$E$11+1,1))-AVERAGE(OFFSET($H$3,0,0,'Données projet'!$E$11+1,1))</f>
        <v>2843.5086223152098</v>
      </c>
      <c r="BJ180" s="62">
        <f t="shared" si="146"/>
        <v>324.81562437645522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966.886064362909</v>
      </c>
      <c r="BQ180" s="23">
        <f>EXP(-LN(2)/25)*BQ179+(1-EXP(-LN(2)/25))/(LN(2)/25)*Calculateur!BL180*Calculateur!BN180*VLOOKUP('Données projet'!$B$11,Paramètres!$A$1:$I$89,3,0)*0.475*44/12</f>
        <v>36.285777468629114</v>
      </c>
      <c r="BR180" s="23">
        <f>EXP(-LN(2)/2)*BR179+(1-EXP(-LN(2)/2))/(LN(2)/2)*BL180*BO180*VLOOKUP('Données projet'!$B$11,Paramètres!$A$1:$I$89,3,0)*0.475*44/12</f>
        <v>6.4319390816354363E-4</v>
      </c>
      <c r="BS180" s="24">
        <f t="shared" si="169"/>
        <v>1003.1724850254463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5.0022208597511053E-12</v>
      </c>
      <c r="BZ180" s="14">
        <f>BY180*VLOOKUP('Données projet'!$B$12,Paramètres!$A$1:$I$89,3,0)*VLOOKUP('Données projet'!$B$12,Paramètres!$A$1:$I$89,5,0)</f>
        <v>4.9942173063755036E-12</v>
      </c>
      <c r="CA180" s="14">
        <f t="shared" si="170"/>
        <v>4.7590239529202817E-11</v>
      </c>
      <c r="CB180" s="22">
        <f t="shared" si="171"/>
        <v>9.1584595655298897E-11</v>
      </c>
      <c r="CC180" s="62">
        <f t="shared" si="119"/>
        <v>293.33333333342489</v>
      </c>
      <c r="CD180" s="62">
        <f ca="1">AVERAGE(OFFSET($CC$3,0,0,'Données projet'!$E$12+1,1))-AVERAGE(OFFSET($H$3,0,0,'Données projet'!$E$12+1,1))</f>
        <v>2719.939926994799</v>
      </c>
      <c r="CE180" s="62">
        <f t="shared" si="148"/>
        <v>312.21824046329749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923.59265849591316</v>
      </c>
      <c r="CL180" s="23">
        <f>EXP(-LN(2)/25)*CL179+(1-EXP(-LN(2)/25))/(LN(2)/25)*Calculateur!CG180*Calculateur!CI180*VLOOKUP('Données projet'!$B$12,Paramètres!$A$1:$I$89,3,0)*0.475*44/12</f>
        <v>34.661041164063633</v>
      </c>
      <c r="CM180" s="23">
        <f>EXP(-LN(2)/2)*CM179+(1-EXP(-LN(2)/2))/(LN(2)/2)*CG180*CJ180*VLOOKUP('Données projet'!$B$12,Paramètres!$A$1:$I$89,3,0)*0.475*44/12</f>
        <v>6.143941809323393E-4</v>
      </c>
      <c r="CN180" s="24">
        <f t="shared" si="172"/>
        <v>958.2543140541577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1.1368683772161603E-12</v>
      </c>
      <c r="CU180" s="18">
        <f>CT180*VLOOKUP('Données projet'!$B$13,Paramètres!$A$1:$I$89,3,0)*VLOOKUP('Données projet'!$B$13,Paramètres!$A$1:$I$89,5,0)</f>
        <v>9.9316821433603771E-13</v>
      </c>
      <c r="CV180" s="14">
        <f t="shared" si="173"/>
        <v>1.1421454694498936E-11</v>
      </c>
      <c r="CW180" s="22">
        <f t="shared" si="174"/>
        <v>2.1622134899554243E-11</v>
      </c>
      <c r="CX180" s="62">
        <f t="shared" si="122"/>
        <v>293.33333333335491</v>
      </c>
      <c r="CY180" s="62">
        <f ca="1">AVERAGE(OFFSET($CX$3,0,0,'Données projet'!$E$13+1,1))-AVERAGE(OFFSET($H$3,0,0,'Données projet'!$E$13+1,1))</f>
        <v>1036.0130072090849</v>
      </c>
      <c r="CZ180" s="62">
        <f t="shared" si="150"/>
        <v>346.56593355696174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98.08094243471146</v>
      </c>
      <c r="DG180" s="23">
        <f>EXP(-LN(2)/25)*DG179+(1-EXP(-LN(2)/25))/(LN(2)/25)*Calculateur!DB180*Calculateur!DD180*VLOOKUP('Données projet'!$B$13,Paramètres!$A$1:$I$89,3,0)*0.475*44/12</f>
        <v>2.874516167642581</v>
      </c>
      <c r="DH180" s="23">
        <f>EXP(-LN(2)/2)*DH179+(1-EXP(-LN(2)/2))/(LN(2)/2)*DB180*DE180*VLOOKUP('Données projet'!$B$13,Paramètres!$A$1:$I$89,3,0)*0.475*44/12</f>
        <v>2.2703540871181717E-13</v>
      </c>
      <c r="DI180" s="24">
        <f t="shared" si="175"/>
        <v>100.95545860235427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6.8212102632969618E-13</v>
      </c>
      <c r="DP180" s="18">
        <f>DO180*VLOOKUP('Données projet'!$B$14,Paramètres!$A$1:$I$89,3,0)*VLOOKUP('Données projet'!$B$14,Paramètres!$A$1:$I$89,5,0)</f>
        <v>3.8130565371830017E-13</v>
      </c>
      <c r="DQ180" s="14">
        <f t="shared" si="176"/>
        <v>4.9019074112354236E-12</v>
      </c>
      <c r="DR180" s="22">
        <f t="shared" si="177"/>
        <v>9.2015960881277352E-12</v>
      </c>
      <c r="DS180" s="62">
        <f t="shared" si="125"/>
        <v>293.33333333334252</v>
      </c>
      <c r="DT180" s="62">
        <f ca="1">AVERAGE(OFFSET($DS$3,0,0,'Données projet'!$E$14+1,1))-AVERAGE(OFFSET($H$3,0,0,'Données projet'!$E$14+1,1))</f>
        <v>446.48069057792151</v>
      </c>
      <c r="DU180" s="62">
        <f t="shared" si="152"/>
        <v>561.75656782935948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18.200126978829232</v>
      </c>
      <c r="EB180" s="23">
        <f>EXP(-LN(2)/25)*EB179+(1-EXP(-LN(2)/25))/(LN(2)/25)*Calculateur!DW180*Calculateur!DY180*VLOOKUP('Données projet'!$B$14,Paramètres!$A$1:$I$89,3,0)*0.475*44/12</f>
        <v>3.1611869519506661</v>
      </c>
      <c r="EC180" s="23">
        <f>EXP(-LN(2)/2)*EC179+(1-EXP(-LN(2)/2))/(LN(2)/2)*DW180*DZ180*VLOOKUP('Données projet'!$B$14,Paramètres!$A$1:$I$89,3,0)*0.475*44/12</f>
        <v>3.2919238511076253E-16</v>
      </c>
      <c r="ED180" s="24">
        <f t="shared" si="178"/>
        <v>21.361313930779897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1.7053025658242404E-13</v>
      </c>
      <c r="EK180" s="18">
        <f>EJ180*VLOOKUP('Données projet'!$B$15,Paramètres!$A$1:$I$89,3,0)*VLOOKUP('Données projet'!$B$15,Paramètres!$A$1:$I$89,5,0)</f>
        <v>1.6493686416652052E-13</v>
      </c>
      <c r="EL180" s="14">
        <f t="shared" si="179"/>
        <v>2.3376205369651282E-12</v>
      </c>
      <c r="EM180" s="22">
        <f t="shared" si="180"/>
        <v>4.3586208069709543E-12</v>
      </c>
      <c r="EN180" s="62">
        <f t="shared" si="128"/>
        <v>293.33333333333769</v>
      </c>
      <c r="EO180" s="62">
        <f ca="1">AVERAGE(OFFSET($EN$3,0,0,'Données projet'!$E$15+1,1))-AVERAGE(OFFSET($H$3,0,0,'Données projet'!$E$15+1,1))</f>
        <v>301.18531163828169</v>
      </c>
      <c r="EP180" s="62">
        <f t="shared" si="154"/>
        <v>192.30530273268101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23.503377288947121</v>
      </c>
      <c r="EW180" s="23">
        <f>EXP(-LN(2)/25)*EW179+(1-EXP(-LN(2)/25))/(LN(2)/25)*Calculateur!ER180*Calculateur!ET180*VLOOKUP('Données projet'!$B$15,Paramètres!$A$1:$I$89,3,0)*0.475*44/12</f>
        <v>0.91997601366077597</v>
      </c>
      <c r="EX180" s="23">
        <f>EXP(-LN(2)/2)*EX179+(1-EXP(-LN(2)/2))/(LN(2)/2)*ER180*EU180*VLOOKUP('Données projet'!$B$15,Paramètres!$A$1:$I$89,3,0)*0.475*44/12</f>
        <v>1.5536332703949428E-16</v>
      </c>
      <c r="EY180" s="24">
        <f t="shared" si="181"/>
        <v>24.423353302607897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1.7053025658242404E-13</v>
      </c>
      <c r="FF180" s="18">
        <f>FE180*VLOOKUP('Données projet'!$B$16,Paramètres!$A$1:$I$89,3,0)*VLOOKUP('Données projet'!$B$16,Paramètres!$A$1:$I$89,5,0)</f>
        <v>1.3301360013429075E-13</v>
      </c>
      <c r="FG180" s="14">
        <f t="shared" si="182"/>
        <v>1.9329766731057041E-12</v>
      </c>
      <c r="FH180" s="22">
        <f t="shared" si="183"/>
        <v>3.5982663925596575E-12</v>
      </c>
      <c r="FI180" s="62">
        <f t="shared" si="131"/>
        <v>293.3333333333369</v>
      </c>
      <c r="FJ180" s="62">
        <f ca="1">AVERAGE(OFFSET($FI$3,0,0,'Données projet'!$E$16+1,1))-AVERAGE(OFFSET($H$3,0,0,'Données projet'!$E$16+1,1))</f>
        <v>249.2899297828755</v>
      </c>
      <c r="FK180" s="62">
        <f t="shared" si="156"/>
        <v>162.88011837476813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18.954336523344459</v>
      </c>
      <c r="FR180" s="23">
        <f>EXP(-LN(2)/25)*FR179+(1-EXP(-LN(2)/25))/(LN(2)/25)*Calculateur!FM180*Calculateur!FO180*VLOOKUP('Données projet'!$B$16,Paramètres!$A$1:$I$89,3,0)*0.475*44/12</f>
        <v>0.74191614004901141</v>
      </c>
      <c r="FS180" s="23">
        <f>EXP(-LN(2)/2)*FS179+(1-EXP(-LN(2)/2))/(LN(2)/2)*FM180*FP180*VLOOKUP('Données projet'!$B$16,Paramètres!$A$1:$I$89,3,0)*0.475*44/12</f>
        <v>1.252930056770104E-16</v>
      </c>
      <c r="FT180" s="24">
        <f t="shared" si="184"/>
        <v>19.696252663393469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1.7053025658242404E-13</v>
      </c>
      <c r="GA180" s="18">
        <f>FZ180*VLOOKUP('Données projet'!$B$17,Paramètres!$A$1:$I$89,3,0)*VLOOKUP('Données projet'!$B$17,Paramètres!$A$1:$I$89,5,0)</f>
        <v>1.1439169611549005E-13</v>
      </c>
      <c r="GB180" s="14">
        <f t="shared" si="185"/>
        <v>1.6918016515029816E-12</v>
      </c>
      <c r="GC180" s="22">
        <f t="shared" si="186"/>
        <v>3.1457867471021712E-12</v>
      </c>
      <c r="GD180" s="62">
        <f t="shared" si="134"/>
        <v>293.33333333333644</v>
      </c>
      <c r="GE180" s="62">
        <f ca="1">AVERAGE(OFFSET($GD$3,0,0,'Données projet'!$E$17+1,1))-AVERAGE(OFFSET($H$3,0,0,'Données projet'!$E$17+1,1))</f>
        <v>218.89895999738746</v>
      </c>
      <c r="GF180" s="62">
        <f t="shared" si="158"/>
        <v>145.64042897395763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20.091596714745101</v>
      </c>
      <c r="GM180" s="23">
        <f>EXP(-LN(2)/25)*GM179+(1-EXP(-LN(2)/25))/(LN(2)/25)*Calculateur!GH180*Calculateur!GJ180*VLOOKUP('Données projet'!$B$17,Paramètres!$A$1:$I$89,3,0)*0.475*44/12</f>
        <v>0.7864311084519533</v>
      </c>
      <c r="GN180" s="23">
        <f>EXP(-LN(2)/2)*GN179+(1-EXP(-LN(2)/2))/(LN(2)/2)*GH180*GK180*VLOOKUP('Données projet'!$B$17,Paramètres!$A$1:$I$89,3,0)*0.475*44/12</f>
        <v>1.0775198488222988E-16</v>
      </c>
      <c r="GO180" s="23">
        <f t="shared" si="187"/>
        <v>20.878027823197055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1.7053025658242404E-13</v>
      </c>
      <c r="GV180" s="18">
        <f>GU180*VLOOKUP('Données projet'!$B$18,Paramètres!$A$1:$I$89,3,0)*VLOOKUP('Données projet'!$B$18,Paramètres!$A$1:$I$89,5,0)</f>
        <v>1.8355876818532125E-13</v>
      </c>
      <c r="GW180" s="14">
        <f t="shared" si="188"/>
        <v>2.5693529898865504E-12</v>
      </c>
      <c r="GX180" s="22">
        <f t="shared" si="189"/>
        <v>4.7946546453085093E-12</v>
      </c>
      <c r="GY180" s="62">
        <f t="shared" si="137"/>
        <v>293.33333333333809</v>
      </c>
      <c r="GZ180" s="62">
        <f ca="1">AVERAGE(OFFSET($GY$3,0,0,'Données projet'!$E$18+1,1))-AVERAGE(OFFSET($H$3,0,0,'Données projet'!$E$18+1,1))</f>
        <v>331.3579800635751</v>
      </c>
      <c r="HA180" s="62">
        <f t="shared" si="160"/>
        <v>209.40702003535273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26.15698440221535</v>
      </c>
      <c r="HH180" s="23">
        <f>EXP(-LN(2)/25)*HH179+(1-EXP(-LN(2)/25))/(LN(2)/25)*Calculateur!HC180*Calculateur!HE180*VLOOKUP('Données projet'!$B$18,Paramètres!$A$1:$I$89,3,0)*0.475*44/12</f>
        <v>1.0238442732676378</v>
      </c>
      <c r="HI180" s="23">
        <f>EXP(-LN(2)/2)*HI179+(1-EXP(-LN(2)/2))/(LN(2)/2)*HC180*HF180*VLOOKUP('Données projet'!$B$18,Paramètres!$A$1:$I$89,3,0)*0.475*44/12</f>
        <v>1.729043478342744E-16</v>
      </c>
      <c r="HJ180" s="24">
        <f t="shared" si="190"/>
        <v>27.180828675482989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5.0022208597511053E-12</v>
      </c>
      <c r="O181" s="14">
        <f>N181*VLOOKUP('Données projet'!$B$9,Paramètres!$A$1:$I$89,3,0)*VLOOKUP('Données projet'!$B$9,Paramètres!$A$1:$I$89,5,0)</f>
        <v>4.5260094339028E-12</v>
      </c>
      <c r="P181" s="14">
        <f t="shared" si="141"/>
        <v>4.3625683148570328E-11</v>
      </c>
      <c r="Q181" s="22">
        <f t="shared" si="162"/>
        <v>8.3864197914474037E-11</v>
      </c>
      <c r="R181" s="62">
        <f t="shared" si="109"/>
        <v>293.33333333341716</v>
      </c>
      <c r="S181" s="62">
        <f ca="1">AVERAGE(OFFSET($R$3,0,0,'Données projet'!$E$9+1,1))-AVERAGE(OFFSET($H$3,0,0,'Données projet'!$E$9+1,1))</f>
        <v>2472.5049373954762</v>
      </c>
      <c r="T181" s="62">
        <f t="shared" si="142"/>
        <v>286.98388307318311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820.59267263007666</v>
      </c>
      <c r="AA181" s="23">
        <f>EXP(-LN(2)/25)*AA180+(1-EXP(-LN(2)/25))/(LN(2)/25)*Calculateur!V181*Calculateur!X181*VLOOKUP('Données projet'!$B$9,Paramètres!$A$1:$I$89,3,0)*0.475*44/12</f>
        <v>30.552617560935413</v>
      </c>
      <c r="AB181" s="23">
        <f>EXP(-LN(2)/2)*AB180+(1-EXP(-LN(2)/2))/(LN(2)/2)*V181*Y181*VLOOKUP('Données projet'!$B$9,Paramètres!$A$1:$I$89,3,0)*0.475*44/12</f>
        <v>3.9371332681579829E-4</v>
      </c>
      <c r="AC181" s="24">
        <f t="shared" si="163"/>
        <v>851.14568390433897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5.0022208597511053E-12</v>
      </c>
      <c r="AJ181" s="14">
        <f>AI181*VLOOKUP('Données projet'!$B$10,Paramètres!$A$1:$I$89,3,0)*VLOOKUP('Données projet'!$B$10,Paramètres!$A$1:$I$89,5,0)</f>
        <v>5.0722519517876216E-12</v>
      </c>
      <c r="AK181" s="14">
        <f t="shared" si="164"/>
        <v>4.8246688221215311E-11</v>
      </c>
      <c r="AL181" s="22">
        <f t="shared" si="165"/>
        <v>9.2863820801313432E-11</v>
      </c>
      <c r="AM181" s="62">
        <f t="shared" si="113"/>
        <v>293.3333333334262</v>
      </c>
      <c r="AN181" s="62">
        <f ca="1">AVERAGE(OFFSET($AM$3,0,0,'Données projet'!$E$10+1,1))-AVERAGE(OFFSET($H$3,0,0,'Données projet'!$E$10+1,1))</f>
        <v>2761.1400657295467</v>
      </c>
      <c r="AO181" s="62">
        <f t="shared" si="144"/>
        <v>316.41877504316409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919.62971932680955</v>
      </c>
      <c r="AV181" s="23">
        <f>EXP(-LN(2)/25)*AV180+(1-EXP(-LN(2)/25))/(LN(2)/25)*Calculateur!AQ181*Calculateur!AS181*VLOOKUP('Données projet'!$B$10,Paramètres!$A$1:$I$89,3,0)*0.475*44/12</f>
        <v>34.240002438979374</v>
      </c>
      <c r="AW181" s="23">
        <f>EXP(-LN(2)/2)*AW180+(1-EXP(-LN(2)/2))/(LN(2)/2)*AQ181*AT181*VLOOKUP('Données projet'!$B$10,Paramètres!$A$1:$I$89,3,0)*0.475*44/12</f>
        <v>4.4123045246598094E-4</v>
      </c>
      <c r="AX181" s="23">
        <f t="shared" si="166"/>
        <v>953.87016299624133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5.0022208597511053E-12</v>
      </c>
      <c r="BE181" s="14">
        <f>BD181*VLOOKUP('Données projet'!$B$11,Paramètres!$A$1:$I$89,3,0)*VLOOKUP('Données projet'!$B$11,Paramètres!$A$1:$I$89,5,0)</f>
        <v>5.2283212426118558E-12</v>
      </c>
      <c r="BF181" s="14">
        <f t="shared" si="167"/>
        <v>4.9556081821365385E-11</v>
      </c>
      <c r="BG181" s="22">
        <f t="shared" si="168"/>
        <v>9.5416168669760364E-11</v>
      </c>
      <c r="BH181" s="62">
        <f t="shared" si="116"/>
        <v>293.33333333342875</v>
      </c>
      <c r="BI181" s="62">
        <f ca="1">AVERAGE(OFFSET($BH$3,0,0,'Données projet'!$E$11+1,1))-AVERAGE(OFFSET($H$3,0,0,'Données projet'!$E$11+1,1))</f>
        <v>2843.5086223152098</v>
      </c>
      <c r="BJ181" s="62">
        <f t="shared" si="146"/>
        <v>324.81562437645522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947.92601838301937</v>
      </c>
      <c r="BQ181" s="23">
        <f>EXP(-LN(2)/25)*BQ180+(1-EXP(-LN(2)/25))/(LN(2)/25)*Calculateur!BL181*Calculateur!BN181*VLOOKUP('Données projet'!$B$11,Paramètres!$A$1:$I$89,3,0)*0.475*44/12</f>
        <v>35.293540975563346</v>
      </c>
      <c r="BR181" s="23">
        <f>EXP(-LN(2)/2)*BR180+(1-EXP(-LN(2)/2))/(LN(2)/2)*BL181*BO181*VLOOKUP('Données projet'!$B$11,Paramètres!$A$1:$I$89,3,0)*0.475*44/12</f>
        <v>4.5480677408031919E-4</v>
      </c>
      <c r="BS181" s="24">
        <f t="shared" si="169"/>
        <v>983.22001416535682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5.0022208597511053E-12</v>
      </c>
      <c r="BZ181" s="14">
        <f>BY181*VLOOKUP('Données projet'!$B$12,Paramètres!$A$1:$I$89,3,0)*VLOOKUP('Données projet'!$B$12,Paramètres!$A$1:$I$89,5,0)</f>
        <v>4.9942173063755036E-12</v>
      </c>
      <c r="CA181" s="14">
        <f t="shared" si="170"/>
        <v>4.7590239529202817E-11</v>
      </c>
      <c r="CB181" s="22">
        <f t="shared" si="171"/>
        <v>9.1584595655298897E-11</v>
      </c>
      <c r="CC181" s="62">
        <f t="shared" si="119"/>
        <v>293.33333333342489</v>
      </c>
      <c r="CD181" s="62">
        <f ca="1">AVERAGE(OFFSET($CC$3,0,0,'Données projet'!$E$12+1,1))-AVERAGE(OFFSET($H$3,0,0,'Données projet'!$E$12+1,1))</f>
        <v>2719.939926994799</v>
      </c>
      <c r="CE181" s="62">
        <f t="shared" si="148"/>
        <v>312.21824046329749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905.48156979870521</v>
      </c>
      <c r="CL181" s="23">
        <f>EXP(-LN(2)/25)*CL180+(1-EXP(-LN(2)/25))/(LN(2)/25)*Calculateur!CG181*Calculateur!CI181*VLOOKUP('Données projet'!$B$12,Paramètres!$A$1:$I$89,3,0)*0.475*44/12</f>
        <v>33.713233170687374</v>
      </c>
      <c r="CM181" s="23">
        <f>EXP(-LN(2)/2)*CM180+(1-EXP(-LN(2)/2))/(LN(2)/2)*CG181*CJ181*VLOOKUP('Données projet'!$B$12,Paramètres!$A$1:$I$89,3,0)*0.475*44/12</f>
        <v>4.3444229165881174E-4</v>
      </c>
      <c r="CN181" s="24">
        <f t="shared" si="172"/>
        <v>939.19523741168427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1.1368683772161603E-12</v>
      </c>
      <c r="CU181" s="18">
        <f>CT181*VLOOKUP('Données projet'!$B$13,Paramètres!$A$1:$I$89,3,0)*VLOOKUP('Données projet'!$B$13,Paramètres!$A$1:$I$89,5,0)</f>
        <v>9.9316821433603771E-13</v>
      </c>
      <c r="CV181" s="14">
        <f t="shared" si="173"/>
        <v>1.1421454694498936E-11</v>
      </c>
      <c r="CW181" s="22">
        <f t="shared" si="174"/>
        <v>2.1622134899554243E-11</v>
      </c>
      <c r="CX181" s="62">
        <f t="shared" si="122"/>
        <v>293.33333333335491</v>
      </c>
      <c r="CY181" s="62">
        <f ca="1">AVERAGE(OFFSET($CX$3,0,0,'Données projet'!$E$13+1,1))-AVERAGE(OFFSET($H$3,0,0,'Données projet'!$E$13+1,1))</f>
        <v>1036.0130072090849</v>
      </c>
      <c r="CZ181" s="62">
        <f t="shared" si="150"/>
        <v>346.56593355696174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96.157634977034576</v>
      </c>
      <c r="DG181" s="23">
        <f>EXP(-LN(2)/25)*DG180+(1-EXP(-LN(2)/25))/(LN(2)/25)*Calculateur!DB181*Calculateur!DD181*VLOOKUP('Données projet'!$B$13,Paramètres!$A$1:$I$89,3,0)*0.475*44/12</f>
        <v>2.795912371874159</v>
      </c>
      <c r="DH181" s="23">
        <f>EXP(-LN(2)/2)*DH180+(1-EXP(-LN(2)/2))/(LN(2)/2)*DB181*DE181*VLOOKUP('Données projet'!$B$13,Paramètres!$A$1:$I$89,3,0)*0.475*44/12</f>
        <v>1.605382770695853E-13</v>
      </c>
      <c r="DI181" s="24">
        <f t="shared" si="175"/>
        <v>98.953547348908884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6.8212102632969618E-13</v>
      </c>
      <c r="DP181" s="18">
        <f>DO181*VLOOKUP('Données projet'!$B$14,Paramètres!$A$1:$I$89,3,0)*VLOOKUP('Données projet'!$B$14,Paramètres!$A$1:$I$89,5,0)</f>
        <v>3.8130565371830017E-13</v>
      </c>
      <c r="DQ181" s="14">
        <f t="shared" si="176"/>
        <v>4.9019074112354236E-12</v>
      </c>
      <c r="DR181" s="22">
        <f t="shared" si="177"/>
        <v>9.2015960881277352E-12</v>
      </c>
      <c r="DS181" s="62">
        <f t="shared" si="125"/>
        <v>293.33333333334252</v>
      </c>
      <c r="DT181" s="62">
        <f ca="1">AVERAGE(OFFSET($DS$3,0,0,'Données projet'!$E$14+1,1))-AVERAGE(OFFSET($H$3,0,0,'Données projet'!$E$14+1,1))</f>
        <v>446.48069057792151</v>
      </c>
      <c r="DU181" s="62">
        <f t="shared" si="152"/>
        <v>561.75656782935948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17.843233589755716</v>
      </c>
      <c r="EB181" s="23">
        <f>EXP(-LN(2)/25)*EB180+(1-EXP(-LN(2)/25))/(LN(2)/25)*Calculateur!DW181*Calculateur!DY181*VLOOKUP('Données projet'!$B$14,Paramètres!$A$1:$I$89,3,0)*0.475*44/12</f>
        <v>3.0747441285099781</v>
      </c>
      <c r="EC181" s="23">
        <f>EXP(-LN(2)/2)*EC180+(1-EXP(-LN(2)/2))/(LN(2)/2)*DW181*DZ181*VLOOKUP('Données projet'!$B$14,Paramètres!$A$1:$I$89,3,0)*0.475*44/12</f>
        <v>2.3277416782679364E-16</v>
      </c>
      <c r="ED181" s="24">
        <f t="shared" si="178"/>
        <v>20.917977718265693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1.7053025658242404E-13</v>
      </c>
      <c r="EK181" s="18">
        <f>EJ181*VLOOKUP('Données projet'!$B$15,Paramètres!$A$1:$I$89,3,0)*VLOOKUP('Données projet'!$B$15,Paramètres!$A$1:$I$89,5,0)</f>
        <v>1.6493686416652052E-13</v>
      </c>
      <c r="EL181" s="14">
        <f t="shared" si="179"/>
        <v>2.3376205369651282E-12</v>
      </c>
      <c r="EM181" s="22">
        <f t="shared" si="180"/>
        <v>4.3586208069709543E-12</v>
      </c>
      <c r="EN181" s="62">
        <f t="shared" si="128"/>
        <v>293.33333333333769</v>
      </c>
      <c r="EO181" s="62">
        <f ca="1">AVERAGE(OFFSET($EN$3,0,0,'Données projet'!$E$15+1,1))-AVERAGE(OFFSET($H$3,0,0,'Données projet'!$E$15+1,1))</f>
        <v>301.18531163828169</v>
      </c>
      <c r="EP181" s="62">
        <f t="shared" si="154"/>
        <v>192.30530273268101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23.042490395955486</v>
      </c>
      <c r="EW181" s="23">
        <f>EXP(-LN(2)/25)*EW180+(1-EXP(-LN(2)/25))/(LN(2)/25)*Calculateur!ER181*Calculateur!ET181*VLOOKUP('Données projet'!$B$15,Paramètres!$A$1:$I$89,3,0)*0.475*44/12</f>
        <v>0.89481922118778612</v>
      </c>
      <c r="EX181" s="23">
        <f>EXP(-LN(2)/2)*EX180+(1-EXP(-LN(2)/2))/(LN(2)/2)*ER181*EU181*VLOOKUP('Données projet'!$B$15,Paramètres!$A$1:$I$89,3,0)*0.475*44/12</f>
        <v>1.0985846209732972E-16</v>
      </c>
      <c r="EY181" s="24">
        <f t="shared" si="181"/>
        <v>23.937309617143271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1.7053025658242404E-13</v>
      </c>
      <c r="FF181" s="18">
        <f>FE181*VLOOKUP('Données projet'!$B$16,Paramètres!$A$1:$I$89,3,0)*VLOOKUP('Données projet'!$B$16,Paramètres!$A$1:$I$89,5,0)</f>
        <v>1.3301360013429075E-13</v>
      </c>
      <c r="FG181" s="14">
        <f t="shared" si="182"/>
        <v>1.9329766731057041E-12</v>
      </c>
      <c r="FH181" s="22">
        <f t="shared" si="183"/>
        <v>3.5982663925596575E-12</v>
      </c>
      <c r="FI181" s="62">
        <f t="shared" si="131"/>
        <v>293.3333333333369</v>
      </c>
      <c r="FJ181" s="62">
        <f ca="1">AVERAGE(OFFSET($FI$3,0,0,'Données projet'!$E$16+1,1))-AVERAGE(OFFSET($H$3,0,0,'Données projet'!$E$16+1,1))</f>
        <v>249.2899297828755</v>
      </c>
      <c r="FK181" s="62">
        <f t="shared" si="156"/>
        <v>162.88011837476813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18.5826535451254</v>
      </c>
      <c r="FR181" s="23">
        <f>EXP(-LN(2)/25)*FR180+(1-EXP(-LN(2)/25))/(LN(2)/25)*Calculateur!FM181*Calculateur!FO181*VLOOKUP('Données projet'!$B$16,Paramètres!$A$1:$I$89,3,0)*0.475*44/12</f>
        <v>0.721628404183697</v>
      </c>
      <c r="FS181" s="23">
        <f>EXP(-LN(2)/2)*FS180+(1-EXP(-LN(2)/2))/(LN(2)/2)*FM181*FP181*VLOOKUP('Données projet'!$B$16,Paramètres!$A$1:$I$89,3,0)*0.475*44/12</f>
        <v>8.8595533949458651E-17</v>
      </c>
      <c r="FT181" s="24">
        <f t="shared" si="184"/>
        <v>19.304281949309097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1.7053025658242404E-13</v>
      </c>
      <c r="GA181" s="18">
        <f>FZ181*VLOOKUP('Données projet'!$B$17,Paramètres!$A$1:$I$89,3,0)*VLOOKUP('Données projet'!$B$17,Paramètres!$A$1:$I$89,5,0)</f>
        <v>1.1439169611549005E-13</v>
      </c>
      <c r="GB181" s="14">
        <f t="shared" si="185"/>
        <v>1.6918016515029816E-12</v>
      </c>
      <c r="GC181" s="22">
        <f t="shared" si="186"/>
        <v>3.1457867471021712E-12</v>
      </c>
      <c r="GD181" s="62">
        <f t="shared" si="134"/>
        <v>293.33333333333644</v>
      </c>
      <c r="GE181" s="62">
        <f ca="1">AVERAGE(OFFSET($GD$3,0,0,'Données projet'!$E$17+1,1))-AVERAGE(OFFSET($H$3,0,0,'Données projet'!$E$17+1,1))</f>
        <v>218.89895999738746</v>
      </c>
      <c r="GF181" s="62">
        <f t="shared" si="158"/>
        <v>145.64042897395763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19.6976127578329</v>
      </c>
      <c r="GM181" s="23">
        <f>EXP(-LN(2)/25)*GM180+(1-EXP(-LN(2)/25))/(LN(2)/25)*Calculateur!GH181*Calculateur!GJ181*VLOOKUP('Données projet'!$B$17,Paramètres!$A$1:$I$89,3,0)*0.475*44/12</f>
        <v>0.76492610843472009</v>
      </c>
      <c r="GN181" s="23">
        <f>EXP(-LN(2)/2)*GN180+(1-EXP(-LN(2)/2))/(LN(2)/2)*GH181*GK181*VLOOKUP('Données projet'!$B$17,Paramètres!$A$1:$I$89,3,0)*0.475*44/12</f>
        <v>7.6192159196535102E-17</v>
      </c>
      <c r="GO181" s="23">
        <f t="shared" si="187"/>
        <v>20.462538866267622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1.7053025658242404E-13</v>
      </c>
      <c r="GV181" s="18">
        <f>GU181*VLOOKUP('Données projet'!$B$18,Paramètres!$A$1:$I$89,3,0)*VLOOKUP('Données projet'!$B$18,Paramètres!$A$1:$I$89,5,0)</f>
        <v>1.8355876818532125E-13</v>
      </c>
      <c r="GW181" s="14">
        <f t="shared" si="188"/>
        <v>2.5693529898865504E-12</v>
      </c>
      <c r="GX181" s="22">
        <f t="shared" si="189"/>
        <v>4.7946546453085093E-12</v>
      </c>
      <c r="GY181" s="62">
        <f t="shared" si="137"/>
        <v>293.33333333333809</v>
      </c>
      <c r="GZ181" s="62">
        <f ca="1">AVERAGE(OFFSET($GY$3,0,0,'Données projet'!$E$18+1,1))-AVERAGE(OFFSET($H$3,0,0,'Données projet'!$E$18+1,1))</f>
        <v>331.3579800635751</v>
      </c>
      <c r="HA181" s="62">
        <f t="shared" si="160"/>
        <v>209.40702003535273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25.644061892273047</v>
      </c>
      <c r="HH181" s="23">
        <f>EXP(-LN(2)/25)*HH180+(1-EXP(-LN(2)/25))/(LN(2)/25)*Calculateur!HC181*Calculateur!HE181*VLOOKUP('Données projet'!$B$18,Paramètres!$A$1:$I$89,3,0)*0.475*44/12</f>
        <v>0.99584719777350394</v>
      </c>
      <c r="HI181" s="23">
        <f>EXP(-LN(2)/2)*HI180+(1-EXP(-LN(2)/2))/(LN(2)/2)*HC181*HF181*VLOOKUP('Données projet'!$B$18,Paramètres!$A$1:$I$89,3,0)*0.475*44/12</f>
        <v>1.2226183685025297E-16</v>
      </c>
      <c r="HJ181" s="24">
        <f t="shared" si="190"/>
        <v>26.639909090046551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5.0022208597511053E-12</v>
      </c>
      <c r="O182" s="14">
        <f>N182*VLOOKUP('Données projet'!$B$9,Paramètres!$A$1:$I$89,3,0)*VLOOKUP('Données projet'!$B$9,Paramètres!$A$1:$I$89,5,0)</f>
        <v>4.5260094339028E-12</v>
      </c>
      <c r="P182" s="14">
        <f t="shared" si="141"/>
        <v>4.3625683148570328E-11</v>
      </c>
      <c r="Q182" s="22">
        <f t="shared" si="162"/>
        <v>8.3864197914474037E-11</v>
      </c>
      <c r="R182" s="62">
        <f t="shared" si="109"/>
        <v>293.33333333341716</v>
      </c>
      <c r="S182" s="62">
        <f ca="1">AVERAGE(OFFSET($R$3,0,0,'Données projet'!$E$9+1,1))-AVERAGE(OFFSET($H$3,0,0,'Données projet'!$E$9+1,1))</f>
        <v>2472.5049373954762</v>
      </c>
      <c r="T182" s="62">
        <f t="shared" si="142"/>
        <v>286.98388307318311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804.50135083190969</v>
      </c>
      <c r="AA182" s="23">
        <f>EXP(-LN(2)/25)*AA181+(1-EXP(-LN(2)/25))/(LN(2)/25)*Calculateur!V182*Calculateur!X182*VLOOKUP('Données projet'!$B$9,Paramètres!$A$1:$I$89,3,0)*0.475*44/12</f>
        <v>29.717154627039307</v>
      </c>
      <c r="AB182" s="23">
        <f>EXP(-LN(2)/2)*AB181+(1-EXP(-LN(2)/2))/(LN(2)/2)*V182*Y182*VLOOKUP('Données projet'!$B$9,Paramètres!$A$1:$I$89,3,0)*0.475*44/12</f>
        <v>2.7839736323496635E-4</v>
      </c>
      <c r="AC182" s="24">
        <f t="shared" si="163"/>
        <v>834.21878385631226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5.0022208597511053E-12</v>
      </c>
      <c r="AJ182" s="14">
        <f>AI182*VLOOKUP('Données projet'!$B$10,Paramètres!$A$1:$I$89,3,0)*VLOOKUP('Données projet'!$B$10,Paramètres!$A$1:$I$89,5,0)</f>
        <v>5.0722519517876216E-12</v>
      </c>
      <c r="AK182" s="14">
        <f t="shared" si="164"/>
        <v>4.8246688221215311E-11</v>
      </c>
      <c r="AL182" s="22">
        <f t="shared" si="165"/>
        <v>9.2863820801313432E-11</v>
      </c>
      <c r="AM182" s="62">
        <f t="shared" si="113"/>
        <v>293.3333333334262</v>
      </c>
      <c r="AN182" s="62">
        <f ca="1">AVERAGE(OFFSET($AM$3,0,0,'Données projet'!$E$10+1,1))-AVERAGE(OFFSET($H$3,0,0,'Données projet'!$E$10+1,1))</f>
        <v>2761.1400657295467</v>
      </c>
      <c r="AO182" s="62">
        <f t="shared" si="144"/>
        <v>316.41877504316409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901.59634144955351</v>
      </c>
      <c r="AV182" s="23">
        <f>EXP(-LN(2)/25)*AV181+(1-EXP(-LN(2)/25))/(LN(2)/25)*Calculateur!AQ182*Calculateur!AS182*VLOOKUP('Données projet'!$B$10,Paramètres!$A$1:$I$89,3,0)*0.475*44/12</f>
        <v>33.303707771682014</v>
      </c>
      <c r="AW182" s="23">
        <f>EXP(-LN(2)/2)*AW181+(1-EXP(-LN(2)/2))/(LN(2)/2)*AQ182*AT182*VLOOKUP('Données projet'!$B$10,Paramètres!$A$1:$I$89,3,0)*0.475*44/12</f>
        <v>3.1199704500470374E-4</v>
      </c>
      <c r="AX182" s="23">
        <f t="shared" si="166"/>
        <v>934.90036121828064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5.0022208597511053E-12</v>
      </c>
      <c r="BE182" s="14">
        <f>BD182*VLOOKUP('Données projet'!$B$11,Paramètres!$A$1:$I$89,3,0)*VLOOKUP('Données projet'!$B$11,Paramètres!$A$1:$I$89,5,0)</f>
        <v>5.2283212426118558E-12</v>
      </c>
      <c r="BF182" s="14">
        <f t="shared" si="167"/>
        <v>4.9556081821365385E-11</v>
      </c>
      <c r="BG182" s="22">
        <f t="shared" si="168"/>
        <v>9.5416168669760364E-11</v>
      </c>
      <c r="BH182" s="62">
        <f t="shared" si="116"/>
        <v>293.33333333342875</v>
      </c>
      <c r="BI182" s="62">
        <f ca="1">AVERAGE(OFFSET($BH$3,0,0,'Données projet'!$E$11+1,1))-AVERAGE(OFFSET($H$3,0,0,'Données projet'!$E$11+1,1))</f>
        <v>2843.5086223152098</v>
      </c>
      <c r="BJ182" s="62">
        <f t="shared" si="146"/>
        <v>324.81562437645522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929.33776734030926</v>
      </c>
      <c r="BQ182" s="23">
        <f>EXP(-LN(2)/25)*BQ181+(1-EXP(-LN(2)/25))/(LN(2)/25)*Calculateur!BL182*Calculateur!BN182*VLOOKUP('Données projet'!$B$11,Paramètres!$A$1:$I$89,3,0)*0.475*44/12</f>
        <v>34.328437241579913</v>
      </c>
      <c r="BR182" s="23">
        <f>EXP(-LN(2)/2)*BR181+(1-EXP(-LN(2)/2))/(LN(2)/2)*BL182*BO182*VLOOKUP('Données projet'!$B$11,Paramètres!$A$1:$I$89,3,0)*0.475*44/12</f>
        <v>3.2159695408177181E-4</v>
      </c>
      <c r="BS182" s="24">
        <f t="shared" si="169"/>
        <v>963.66652617884324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5.0022208597511053E-12</v>
      </c>
      <c r="BZ182" s="14">
        <f>BY182*VLOOKUP('Données projet'!$B$12,Paramètres!$A$1:$I$89,3,0)*VLOOKUP('Données projet'!$B$12,Paramètres!$A$1:$I$89,5,0)</f>
        <v>4.9942173063755036E-12</v>
      </c>
      <c r="CA182" s="14">
        <f t="shared" si="170"/>
        <v>4.7590239529202817E-11</v>
      </c>
      <c r="CB182" s="22">
        <f t="shared" si="171"/>
        <v>9.1584595655298897E-11</v>
      </c>
      <c r="CC182" s="62">
        <f t="shared" si="119"/>
        <v>293.33333333342489</v>
      </c>
      <c r="CD182" s="62">
        <f ca="1">AVERAGE(OFFSET($CC$3,0,0,'Données projet'!$E$12+1,1))-AVERAGE(OFFSET($H$3,0,0,'Données projet'!$E$12+1,1))</f>
        <v>2719.939926994799</v>
      </c>
      <c r="CE182" s="62">
        <f t="shared" si="148"/>
        <v>312.21824046329749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887.72562850417614</v>
      </c>
      <c r="CL182" s="23">
        <f>EXP(-LN(2)/25)*CL181+(1-EXP(-LN(2)/25))/(LN(2)/25)*Calculateur!CG182*Calculateur!CI182*VLOOKUP('Données projet'!$B$12,Paramètres!$A$1:$I$89,3,0)*0.475*44/12</f>
        <v>32.791343036733046</v>
      </c>
      <c r="CM182" s="23">
        <f>EXP(-LN(2)/2)*CM181+(1-EXP(-LN(2)/2))/(LN(2)/2)*CG182*CJ182*VLOOKUP('Données projet'!$B$12,Paramètres!$A$1:$I$89,3,0)*0.475*44/12</f>
        <v>3.0719709046616965E-4</v>
      </c>
      <c r="CN182" s="24">
        <f t="shared" si="172"/>
        <v>920.51727873799962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1.1368683772161603E-12</v>
      </c>
      <c r="CU182" s="18">
        <f>CT182*VLOOKUP('Données projet'!$B$13,Paramètres!$A$1:$I$89,3,0)*VLOOKUP('Données projet'!$B$13,Paramètres!$A$1:$I$89,5,0)</f>
        <v>9.9316821433603771E-13</v>
      </c>
      <c r="CV182" s="14">
        <f t="shared" si="173"/>
        <v>1.1421454694498936E-11</v>
      </c>
      <c r="CW182" s="22">
        <f t="shared" si="174"/>
        <v>2.1622134899554243E-11</v>
      </c>
      <c r="CX182" s="62">
        <f t="shared" si="122"/>
        <v>293.33333333335491</v>
      </c>
      <c r="CY182" s="62">
        <f ca="1">AVERAGE(OFFSET($CX$3,0,0,'Données projet'!$E$13+1,1))-AVERAGE(OFFSET($H$3,0,0,'Données projet'!$E$13+1,1))</f>
        <v>1036.0130072090849</v>
      </c>
      <c r="CZ182" s="62">
        <f t="shared" si="150"/>
        <v>346.56593355696174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94.272042405501026</v>
      </c>
      <c r="DG182" s="23">
        <f>EXP(-LN(2)/25)*DG181+(1-EXP(-LN(2)/25))/(LN(2)/25)*Calculateur!DB182*Calculateur!DD182*VLOOKUP('Données projet'!$B$13,Paramètres!$A$1:$I$89,3,0)*0.475*44/12</f>
        <v>2.7194580010346185</v>
      </c>
      <c r="DH182" s="23">
        <f>EXP(-LN(2)/2)*DH181+(1-EXP(-LN(2)/2))/(LN(2)/2)*DB182*DE182*VLOOKUP('Données projet'!$B$13,Paramètres!$A$1:$I$89,3,0)*0.475*44/12</f>
        <v>1.135177043559086E-13</v>
      </c>
      <c r="DI182" s="24">
        <f t="shared" si="175"/>
        <v>96.991500406535764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6.8212102632969618E-13</v>
      </c>
      <c r="DP182" s="18">
        <f>DO182*VLOOKUP('Données projet'!$B$14,Paramètres!$A$1:$I$89,3,0)*VLOOKUP('Données projet'!$B$14,Paramètres!$A$1:$I$89,5,0)</f>
        <v>3.8130565371830017E-13</v>
      </c>
      <c r="DQ182" s="14">
        <f t="shared" si="176"/>
        <v>4.9019074112354236E-12</v>
      </c>
      <c r="DR182" s="22">
        <f t="shared" si="177"/>
        <v>9.2015960881277352E-12</v>
      </c>
      <c r="DS182" s="62">
        <f t="shared" si="125"/>
        <v>293.33333333334252</v>
      </c>
      <c r="DT182" s="62">
        <f ca="1">AVERAGE(OFFSET($DS$3,0,0,'Données projet'!$E$14+1,1))-AVERAGE(OFFSET($H$3,0,0,'Données projet'!$E$14+1,1))</f>
        <v>446.48069057792151</v>
      </c>
      <c r="DU182" s="62">
        <f t="shared" si="152"/>
        <v>561.75656782935948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17.493338662358461</v>
      </c>
      <c r="EB182" s="23">
        <f>EXP(-LN(2)/25)*EB181+(1-EXP(-LN(2)/25))/(LN(2)/25)*Calculateur!DW182*Calculateur!DY182*VLOOKUP('Données projet'!$B$14,Paramètres!$A$1:$I$89,3,0)*0.475*44/12</f>
        <v>2.9906650886221064</v>
      </c>
      <c r="EC182" s="23">
        <f>EXP(-LN(2)/2)*EC181+(1-EXP(-LN(2)/2))/(LN(2)/2)*DW182*DZ182*VLOOKUP('Données projet'!$B$14,Paramètres!$A$1:$I$89,3,0)*0.475*44/12</f>
        <v>1.6459619255538126E-16</v>
      </c>
      <c r="ED182" s="24">
        <f t="shared" si="178"/>
        <v>20.484003750980566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1.7053025658242404E-13</v>
      </c>
      <c r="EK182" s="18">
        <f>EJ182*VLOOKUP('Données projet'!$B$15,Paramètres!$A$1:$I$89,3,0)*VLOOKUP('Données projet'!$B$15,Paramètres!$A$1:$I$89,5,0)</f>
        <v>1.6493686416652052E-13</v>
      </c>
      <c r="EL182" s="14">
        <f t="shared" si="179"/>
        <v>2.3376205369651282E-12</v>
      </c>
      <c r="EM182" s="22">
        <f t="shared" si="180"/>
        <v>4.3586208069709543E-12</v>
      </c>
      <c r="EN182" s="62">
        <f t="shared" si="128"/>
        <v>293.33333333333769</v>
      </c>
      <c r="EO182" s="62">
        <f ca="1">AVERAGE(OFFSET($EN$3,0,0,'Données projet'!$E$15+1,1))-AVERAGE(OFFSET($H$3,0,0,'Données projet'!$E$15+1,1))</f>
        <v>301.18531163828169</v>
      </c>
      <c r="EP182" s="62">
        <f t="shared" si="154"/>
        <v>192.30530273268101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22.59064121382217</v>
      </c>
      <c r="EW182" s="23">
        <f>EXP(-LN(2)/25)*EW181+(1-EXP(-LN(2)/25))/(LN(2)/25)*Calculateur!ER182*Calculateur!ET182*VLOOKUP('Données projet'!$B$15,Paramètres!$A$1:$I$89,3,0)*0.475*44/12</f>
        <v>0.87035034252790844</v>
      </c>
      <c r="EX182" s="23">
        <f>EXP(-LN(2)/2)*EX181+(1-EXP(-LN(2)/2))/(LN(2)/2)*ER182*EU182*VLOOKUP('Données projet'!$B$15,Paramètres!$A$1:$I$89,3,0)*0.475*44/12</f>
        <v>7.7681663519747152E-17</v>
      </c>
      <c r="EY182" s="24">
        <f t="shared" si="181"/>
        <v>23.460991556350081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1.7053025658242404E-13</v>
      </c>
      <c r="FF182" s="18">
        <f>FE182*VLOOKUP('Données projet'!$B$16,Paramètres!$A$1:$I$89,3,0)*VLOOKUP('Données projet'!$B$16,Paramètres!$A$1:$I$89,5,0)</f>
        <v>1.3301360013429075E-13</v>
      </c>
      <c r="FG182" s="14">
        <f t="shared" si="182"/>
        <v>1.9329766731057041E-12</v>
      </c>
      <c r="FH182" s="22">
        <f t="shared" si="183"/>
        <v>3.5982663925596575E-12</v>
      </c>
      <c r="FI182" s="62">
        <f t="shared" si="131"/>
        <v>293.3333333333369</v>
      </c>
      <c r="FJ182" s="62">
        <f ca="1">AVERAGE(OFFSET($FI$3,0,0,'Données projet'!$E$16+1,1))-AVERAGE(OFFSET($H$3,0,0,'Données projet'!$E$16+1,1))</f>
        <v>249.2899297828755</v>
      </c>
      <c r="FK182" s="62">
        <f t="shared" si="156"/>
        <v>162.88011837476813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18.218259043404984</v>
      </c>
      <c r="FR182" s="23">
        <f>EXP(-LN(2)/25)*FR181+(1-EXP(-LN(2)/25))/(LN(2)/25)*Calculateur!FM182*Calculateur!FO182*VLOOKUP('Données projet'!$B$16,Paramètres!$A$1:$I$89,3,0)*0.475*44/12</f>
        <v>0.70189543752250538</v>
      </c>
      <c r="FS182" s="23">
        <f>EXP(-LN(2)/2)*FS181+(1-EXP(-LN(2)/2))/(LN(2)/2)*FM182*FP182*VLOOKUP('Données projet'!$B$16,Paramètres!$A$1:$I$89,3,0)*0.475*44/12</f>
        <v>6.26465028385052E-17</v>
      </c>
      <c r="FT182" s="24">
        <f t="shared" si="184"/>
        <v>18.92015448092749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1.7053025658242404E-13</v>
      </c>
      <c r="GA182" s="18">
        <f>FZ182*VLOOKUP('Données projet'!$B$17,Paramètres!$A$1:$I$89,3,0)*VLOOKUP('Données projet'!$B$17,Paramètres!$A$1:$I$89,5,0)</f>
        <v>1.1439169611549005E-13</v>
      </c>
      <c r="GB182" s="14">
        <f t="shared" si="185"/>
        <v>1.6918016515029816E-12</v>
      </c>
      <c r="GC182" s="22">
        <f t="shared" si="186"/>
        <v>3.1457867471021712E-12</v>
      </c>
      <c r="GD182" s="62">
        <f t="shared" si="134"/>
        <v>293.33333333333644</v>
      </c>
      <c r="GE182" s="62">
        <f ca="1">AVERAGE(OFFSET($GD$3,0,0,'Données projet'!$E$17+1,1))-AVERAGE(OFFSET($H$3,0,0,'Données projet'!$E$17+1,1))</f>
        <v>218.89895999738746</v>
      </c>
      <c r="GF182" s="62">
        <f t="shared" si="158"/>
        <v>145.64042897395763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19.311354586009259</v>
      </c>
      <c r="GM182" s="23">
        <f>EXP(-LN(2)/25)*GM181+(1-EXP(-LN(2)/25))/(LN(2)/25)*Calculateur!GH182*Calculateur!GJ182*VLOOKUP('Données projet'!$B$17,Paramètres!$A$1:$I$89,3,0)*0.475*44/12</f>
        <v>0.74400916377385684</v>
      </c>
      <c r="GN182" s="23">
        <f>EXP(-LN(2)/2)*GN181+(1-EXP(-LN(2)/2))/(LN(2)/2)*GH182*GK182*VLOOKUP('Données projet'!$B$17,Paramètres!$A$1:$I$89,3,0)*0.475*44/12</f>
        <v>5.3875992441114942E-17</v>
      </c>
      <c r="GO182" s="23">
        <f t="shared" si="187"/>
        <v>20.055363749783115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1.7053025658242404E-13</v>
      </c>
      <c r="GV182" s="18">
        <f>GU182*VLOOKUP('Données projet'!$B$18,Paramètres!$A$1:$I$89,3,0)*VLOOKUP('Données projet'!$B$18,Paramètres!$A$1:$I$89,5,0)</f>
        <v>1.8355876818532125E-13</v>
      </c>
      <c r="GW182" s="14">
        <f t="shared" si="188"/>
        <v>2.5693529898865504E-12</v>
      </c>
      <c r="GX182" s="22">
        <f t="shared" si="189"/>
        <v>4.7946546453085093E-12</v>
      </c>
      <c r="GY182" s="62">
        <f t="shared" si="137"/>
        <v>293.33333333333809</v>
      </c>
      <c r="GZ182" s="62">
        <f ca="1">AVERAGE(OFFSET($GY$3,0,0,'Données projet'!$E$18+1,1))-AVERAGE(OFFSET($H$3,0,0,'Données projet'!$E$18+1,1))</f>
        <v>331.3579800635751</v>
      </c>
      <c r="HA182" s="62">
        <f t="shared" si="160"/>
        <v>209.40702003535273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25.141197479898874</v>
      </c>
      <c r="HH182" s="23">
        <f>EXP(-LN(2)/25)*HH181+(1-EXP(-LN(2)/25))/(LN(2)/25)*Calculateur!HC182*Calculateur!HE182*VLOOKUP('Données projet'!$B$18,Paramètres!$A$1:$I$89,3,0)*0.475*44/12</f>
        <v>0.96861570378105943</v>
      </c>
      <c r="HI182" s="23">
        <f>EXP(-LN(2)/2)*HI181+(1-EXP(-LN(2)/2))/(LN(2)/2)*HC182*HF182*VLOOKUP('Données projet'!$B$18,Paramètres!$A$1:$I$89,3,0)*0.475*44/12</f>
        <v>8.64521739171372E-17</v>
      </c>
      <c r="HJ182" s="24">
        <f t="shared" si="190"/>
        <v>26.109813183679933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5.0022208597511053E-12</v>
      </c>
      <c r="O183" s="14">
        <f>N183*VLOOKUP('Données projet'!$B$9,Paramètres!$A$1:$I$89,3,0)*VLOOKUP('Données projet'!$B$9,Paramètres!$A$1:$I$89,5,0)</f>
        <v>4.5260094339028E-12</v>
      </c>
      <c r="P183" s="14">
        <f t="shared" si="141"/>
        <v>4.3625683148570328E-11</v>
      </c>
      <c r="Q183" s="22">
        <f t="shared" si="162"/>
        <v>8.3864197914474037E-11</v>
      </c>
      <c r="R183" s="62">
        <f t="shared" si="109"/>
        <v>293.33333333341716</v>
      </c>
      <c r="S183" s="62">
        <f ca="1">AVERAGE(OFFSET($R$3,0,0,'Données projet'!$E$9+1,1))-AVERAGE(OFFSET($H$3,0,0,'Données projet'!$E$9+1,1))</f>
        <v>2472.5049373954762</v>
      </c>
      <c r="T183" s="62">
        <f t="shared" si="142"/>
        <v>286.98388307318311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788.72557003946758</v>
      </c>
      <c r="AA183" s="23">
        <f>EXP(-LN(2)/25)*AA182+(1-EXP(-LN(2)/25))/(LN(2)/25)*Calculateur!V183*Calculateur!X183*VLOOKUP('Données projet'!$B$9,Paramètres!$A$1:$I$89,3,0)*0.475*44/12</f>
        <v>28.904537471005675</v>
      </c>
      <c r="AB183" s="23">
        <f>EXP(-LN(2)/2)*AB182+(1-EXP(-LN(2)/2))/(LN(2)/2)*V183*Y183*VLOOKUP('Données projet'!$B$9,Paramètres!$A$1:$I$89,3,0)*0.475*44/12</f>
        <v>1.9685666340789915E-4</v>
      </c>
      <c r="AC183" s="24">
        <f t="shared" si="163"/>
        <v>817.63030436713666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5.0022208597511053E-12</v>
      </c>
      <c r="AJ183" s="14">
        <f>AI183*VLOOKUP('Données projet'!$B$10,Paramètres!$A$1:$I$89,3,0)*VLOOKUP('Données projet'!$B$10,Paramètres!$A$1:$I$89,5,0)</f>
        <v>5.0722519517876216E-12</v>
      </c>
      <c r="AK183" s="14">
        <f t="shared" si="164"/>
        <v>4.8246688221215311E-11</v>
      </c>
      <c r="AL183" s="22">
        <f t="shared" si="165"/>
        <v>9.2863820801313432E-11</v>
      </c>
      <c r="AM183" s="62">
        <f t="shared" si="113"/>
        <v>293.3333333334262</v>
      </c>
      <c r="AN183" s="62">
        <f ca="1">AVERAGE(OFFSET($AM$3,0,0,'Données projet'!$E$10+1,1))-AVERAGE(OFFSET($H$3,0,0,'Données projet'!$E$10+1,1))</f>
        <v>2761.1400657295467</v>
      </c>
      <c r="AO183" s="62">
        <f t="shared" si="144"/>
        <v>316.41877504316409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883.91658711319599</v>
      </c>
      <c r="AV183" s="23">
        <f>EXP(-LN(2)/25)*AV182+(1-EXP(-LN(2)/25))/(LN(2)/25)*Calculateur!AQ183*Calculateur!AS183*VLOOKUP('Données projet'!$B$10,Paramètres!$A$1:$I$89,3,0)*0.475*44/12</f>
        <v>32.393016131299497</v>
      </c>
      <c r="AW183" s="23">
        <f>EXP(-LN(2)/2)*AW182+(1-EXP(-LN(2)/2))/(LN(2)/2)*AQ183*AT183*VLOOKUP('Données projet'!$B$10,Paramètres!$A$1:$I$89,3,0)*0.475*44/12</f>
        <v>2.2061522623299047E-4</v>
      </c>
      <c r="AX183" s="23">
        <f t="shared" si="166"/>
        <v>916.30982385972175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5.0022208597511053E-12</v>
      </c>
      <c r="BE183" s="14">
        <f>BD183*VLOOKUP('Données projet'!$B$11,Paramètres!$A$1:$I$89,3,0)*VLOOKUP('Données projet'!$B$11,Paramètres!$A$1:$I$89,5,0)</f>
        <v>5.2283212426118558E-12</v>
      </c>
      <c r="BF183" s="14">
        <f t="shared" si="167"/>
        <v>4.9556081821365385E-11</v>
      </c>
      <c r="BG183" s="22">
        <f t="shared" si="168"/>
        <v>9.5416168669760364E-11</v>
      </c>
      <c r="BH183" s="62">
        <f t="shared" si="116"/>
        <v>293.33333333342875</v>
      </c>
      <c r="BI183" s="62">
        <f ca="1">AVERAGE(OFFSET($BH$3,0,0,'Données projet'!$E$11+1,1))-AVERAGE(OFFSET($H$3,0,0,'Données projet'!$E$11+1,1))</f>
        <v>2843.5086223152098</v>
      </c>
      <c r="BJ183" s="62">
        <f t="shared" si="146"/>
        <v>324.81562437645522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911.11402056283305</v>
      </c>
      <c r="BQ183" s="23">
        <f>EXP(-LN(2)/25)*BQ182+(1-EXP(-LN(2)/25))/(LN(2)/25)*Calculateur!BL183*Calculateur!BN183*VLOOKUP('Données projet'!$B$11,Paramètres!$A$1:$I$89,3,0)*0.475*44/12</f>
        <v>33.389724319954851</v>
      </c>
      <c r="BR183" s="23">
        <f>EXP(-LN(2)/2)*BR182+(1-EXP(-LN(2)/2))/(LN(2)/2)*BL183*BO183*VLOOKUP('Données projet'!$B$11,Paramètres!$A$1:$I$89,3,0)*0.475*44/12</f>
        <v>2.274033870401596E-4</v>
      </c>
      <c r="BS183" s="24">
        <f t="shared" si="169"/>
        <v>944.50397228617499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5.0022208597511053E-12</v>
      </c>
      <c r="BZ183" s="14">
        <f>BY183*VLOOKUP('Données projet'!$B$12,Paramètres!$A$1:$I$89,3,0)*VLOOKUP('Données projet'!$B$12,Paramètres!$A$1:$I$89,5,0)</f>
        <v>4.9942173063755036E-12</v>
      </c>
      <c r="CA183" s="14">
        <f t="shared" si="170"/>
        <v>4.7590239529202817E-11</v>
      </c>
      <c r="CB183" s="22">
        <f t="shared" si="171"/>
        <v>9.1584595655298897E-11</v>
      </c>
      <c r="CC183" s="62">
        <f t="shared" si="119"/>
        <v>293.33333333342489</v>
      </c>
      <c r="CD183" s="62">
        <f ca="1">AVERAGE(OFFSET($CC$3,0,0,'Données projet'!$E$12+1,1))-AVERAGE(OFFSET($H$3,0,0,'Données projet'!$E$12+1,1))</f>
        <v>2719.939926994799</v>
      </c>
      <c r="CE183" s="62">
        <f t="shared" si="148"/>
        <v>312.21824046329749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870.31787038837797</v>
      </c>
      <c r="CL183" s="23">
        <f>EXP(-LN(2)/25)*CL182+(1-EXP(-LN(2)/25))/(LN(2)/25)*Calculateur!CG183*Calculateur!CI183*VLOOKUP('Données projet'!$B$12,Paramètres!$A$1:$I$89,3,0)*0.475*44/12</f>
        <v>31.894662036971795</v>
      </c>
      <c r="CM183" s="23">
        <f>EXP(-LN(2)/2)*CM182+(1-EXP(-LN(2)/2))/(LN(2)/2)*CG183*CJ183*VLOOKUP('Données projet'!$B$12,Paramètres!$A$1:$I$89,3,0)*0.475*44/12</f>
        <v>2.1722114582940587E-4</v>
      </c>
      <c r="CN183" s="24">
        <f t="shared" si="172"/>
        <v>902.21274964649558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1.1368683772161603E-12</v>
      </c>
      <c r="CU183" s="18">
        <f>CT183*VLOOKUP('Données projet'!$B$13,Paramètres!$A$1:$I$89,3,0)*VLOOKUP('Données projet'!$B$13,Paramètres!$A$1:$I$89,5,0)</f>
        <v>9.9316821433603771E-13</v>
      </c>
      <c r="CV183" s="14">
        <f t="shared" si="173"/>
        <v>1.1421454694498936E-11</v>
      </c>
      <c r="CW183" s="22">
        <f t="shared" si="174"/>
        <v>2.1622134899554243E-11</v>
      </c>
      <c r="CX183" s="62">
        <f t="shared" si="122"/>
        <v>293.33333333335491</v>
      </c>
      <c r="CY183" s="62">
        <f ca="1">AVERAGE(OFFSET($CX$3,0,0,'Données projet'!$E$13+1,1))-AVERAGE(OFFSET($H$3,0,0,'Données projet'!$E$13+1,1))</f>
        <v>1036.0130072090849</v>
      </c>
      <c r="CZ183" s="62">
        <f t="shared" si="150"/>
        <v>346.56593355696174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92.423425154197332</v>
      </c>
      <c r="DG183" s="23">
        <f>EXP(-LN(2)/25)*DG182+(1-EXP(-LN(2)/25))/(LN(2)/25)*Calculateur!DB183*Calculateur!DD183*VLOOKUP('Données projet'!$B$13,Paramètres!$A$1:$I$89,3,0)*0.475*44/12</f>
        <v>2.6450942789862459</v>
      </c>
      <c r="DH183" s="23">
        <f>EXP(-LN(2)/2)*DH182+(1-EXP(-LN(2)/2))/(LN(2)/2)*DB183*DE183*VLOOKUP('Données projet'!$B$13,Paramètres!$A$1:$I$89,3,0)*0.475*44/12</f>
        <v>8.0269138534792662E-14</v>
      </c>
      <c r="DI183" s="24">
        <f t="shared" si="175"/>
        <v>95.068519433183667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6.8212102632969618E-13</v>
      </c>
      <c r="DP183" s="18">
        <f>DO183*VLOOKUP('Données projet'!$B$14,Paramètres!$A$1:$I$89,3,0)*VLOOKUP('Données projet'!$B$14,Paramètres!$A$1:$I$89,5,0)</f>
        <v>3.8130565371830017E-13</v>
      </c>
      <c r="DQ183" s="14">
        <f t="shared" si="176"/>
        <v>4.9019074112354236E-12</v>
      </c>
      <c r="DR183" s="22">
        <f t="shared" si="177"/>
        <v>9.2015960881277352E-12</v>
      </c>
      <c r="DS183" s="62">
        <f t="shared" si="125"/>
        <v>293.33333333334252</v>
      </c>
      <c r="DT183" s="62">
        <f ca="1">AVERAGE(OFFSET($DS$3,0,0,'Données projet'!$E$14+1,1))-AVERAGE(OFFSET($H$3,0,0,'Données projet'!$E$14+1,1))</f>
        <v>446.48069057792151</v>
      </c>
      <c r="DU183" s="62">
        <f t="shared" si="152"/>
        <v>561.75656782935948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17.150304961072631</v>
      </c>
      <c r="EB183" s="23">
        <f>EXP(-LN(2)/25)*EB182+(1-EXP(-LN(2)/25))/(LN(2)/25)*Calculateur!DW183*Calculateur!DY183*VLOOKUP('Données projet'!$B$14,Paramètres!$A$1:$I$89,3,0)*0.475*44/12</f>
        <v>2.9088851945014933</v>
      </c>
      <c r="EC183" s="23">
        <f>EXP(-LN(2)/2)*EC182+(1-EXP(-LN(2)/2))/(LN(2)/2)*DW183*DZ183*VLOOKUP('Données projet'!$B$14,Paramètres!$A$1:$I$89,3,0)*0.475*44/12</f>
        <v>1.1638708391339682E-16</v>
      </c>
      <c r="ED183" s="24">
        <f t="shared" si="178"/>
        <v>20.059190155574125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1.7053025658242404E-13</v>
      </c>
      <c r="EK183" s="18">
        <f>EJ183*VLOOKUP('Données projet'!$B$15,Paramètres!$A$1:$I$89,3,0)*VLOOKUP('Données projet'!$B$15,Paramètres!$A$1:$I$89,5,0)</f>
        <v>1.6493686416652052E-13</v>
      </c>
      <c r="EL183" s="14">
        <f t="shared" si="179"/>
        <v>2.3376205369651282E-12</v>
      </c>
      <c r="EM183" s="22">
        <f t="shared" si="180"/>
        <v>4.3586208069709543E-12</v>
      </c>
      <c r="EN183" s="62">
        <f t="shared" si="128"/>
        <v>293.33333333333769</v>
      </c>
      <c r="EO183" s="62">
        <f ca="1">AVERAGE(OFFSET($EN$3,0,0,'Données projet'!$E$15+1,1))-AVERAGE(OFFSET($H$3,0,0,'Données projet'!$E$15+1,1))</f>
        <v>301.18531163828169</v>
      </c>
      <c r="EP183" s="62">
        <f t="shared" si="154"/>
        <v>192.30530273268101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22.147652518549702</v>
      </c>
      <c r="EW183" s="23">
        <f>EXP(-LN(2)/25)*EW182+(1-EXP(-LN(2)/25))/(LN(2)/25)*Calculateur!ER183*Calculateur!ET183*VLOOKUP('Données projet'!$B$15,Paramètres!$A$1:$I$89,3,0)*0.475*44/12</f>
        <v>0.84655056664174744</v>
      </c>
      <c r="EX183" s="23">
        <f>EXP(-LN(2)/2)*EX182+(1-EXP(-LN(2)/2))/(LN(2)/2)*ER183*EU183*VLOOKUP('Données projet'!$B$15,Paramètres!$A$1:$I$89,3,0)*0.475*44/12</f>
        <v>5.4929231048664864E-17</v>
      </c>
      <c r="EY183" s="24">
        <f t="shared" si="181"/>
        <v>22.994203085191451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1.7053025658242404E-13</v>
      </c>
      <c r="FF183" s="18">
        <f>FE183*VLOOKUP('Données projet'!$B$16,Paramètres!$A$1:$I$89,3,0)*VLOOKUP('Données projet'!$B$16,Paramètres!$A$1:$I$89,5,0)</f>
        <v>1.3301360013429075E-13</v>
      </c>
      <c r="FG183" s="14">
        <f t="shared" si="182"/>
        <v>1.9329766731057041E-12</v>
      </c>
      <c r="FH183" s="22">
        <f t="shared" si="183"/>
        <v>3.5982663925596575E-12</v>
      </c>
      <c r="FI183" s="62">
        <f t="shared" si="131"/>
        <v>293.3333333333369</v>
      </c>
      <c r="FJ183" s="62">
        <f ca="1">AVERAGE(OFFSET($FI$3,0,0,'Données projet'!$E$16+1,1))-AVERAGE(OFFSET($H$3,0,0,'Données projet'!$E$16+1,1))</f>
        <v>249.2899297828755</v>
      </c>
      <c r="FK183" s="62">
        <f t="shared" si="156"/>
        <v>162.88011837476813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17.861010095604605</v>
      </c>
      <c r="FR183" s="23">
        <f>EXP(-LN(2)/25)*FR182+(1-EXP(-LN(2)/25))/(LN(2)/25)*Calculateur!FM183*Calculateur!FO183*VLOOKUP('Données projet'!$B$16,Paramètres!$A$1:$I$89,3,0)*0.475*44/12</f>
        <v>0.68270206987237558</v>
      </c>
      <c r="FS183" s="23">
        <f>EXP(-LN(2)/2)*FS182+(1-EXP(-LN(2)/2))/(LN(2)/2)*FM183*FP183*VLOOKUP('Données projet'!$B$16,Paramètres!$A$1:$I$89,3,0)*0.475*44/12</f>
        <v>4.4297766974729326E-17</v>
      </c>
      <c r="FT183" s="24">
        <f t="shared" si="184"/>
        <v>18.543712165476983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1.7053025658242404E-13</v>
      </c>
      <c r="GA183" s="18">
        <f>FZ183*VLOOKUP('Données projet'!$B$17,Paramètres!$A$1:$I$89,3,0)*VLOOKUP('Données projet'!$B$17,Paramètres!$A$1:$I$89,5,0)</f>
        <v>1.1439169611549005E-13</v>
      </c>
      <c r="GB183" s="14">
        <f t="shared" si="185"/>
        <v>1.6918016515029816E-12</v>
      </c>
      <c r="GC183" s="22">
        <f t="shared" si="186"/>
        <v>3.1457867471021712E-12</v>
      </c>
      <c r="GD183" s="62">
        <f t="shared" si="134"/>
        <v>293.33333333333644</v>
      </c>
      <c r="GE183" s="62">
        <f ca="1">AVERAGE(OFFSET($GD$3,0,0,'Données projet'!$E$17+1,1))-AVERAGE(OFFSET($H$3,0,0,'Données projet'!$E$17+1,1))</f>
        <v>218.89895999738746</v>
      </c>
      <c r="GF183" s="62">
        <f t="shared" si="158"/>
        <v>145.64042897395763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18.932670701340857</v>
      </c>
      <c r="GM183" s="23">
        <f>EXP(-LN(2)/25)*GM182+(1-EXP(-LN(2)/25))/(LN(2)/25)*Calculateur!GH183*Calculateur!GJ183*VLOOKUP('Données projet'!$B$17,Paramètres!$A$1:$I$89,3,0)*0.475*44/12</f>
        <v>0.72366419406471927</v>
      </c>
      <c r="GN183" s="23">
        <f>EXP(-LN(2)/2)*GN182+(1-EXP(-LN(2)/2))/(LN(2)/2)*GH183*GK183*VLOOKUP('Données projet'!$B$17,Paramètres!$A$1:$I$89,3,0)*0.475*44/12</f>
        <v>3.8096079598267551E-17</v>
      </c>
      <c r="GO183" s="23">
        <f t="shared" si="187"/>
        <v>19.656334895405578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1.7053025658242404E-13</v>
      </c>
      <c r="GV183" s="18">
        <f>GU183*VLOOKUP('Données projet'!$B$18,Paramètres!$A$1:$I$89,3,0)*VLOOKUP('Données projet'!$B$18,Paramètres!$A$1:$I$89,5,0)</f>
        <v>1.8355876818532125E-13</v>
      </c>
      <c r="GW183" s="14">
        <f t="shared" si="188"/>
        <v>2.5693529898865504E-12</v>
      </c>
      <c r="GX183" s="22">
        <f t="shared" si="189"/>
        <v>4.7946546453085093E-12</v>
      </c>
      <c r="GY183" s="62">
        <f t="shared" si="137"/>
        <v>293.33333333333809</v>
      </c>
      <c r="GZ183" s="62">
        <f ca="1">AVERAGE(OFFSET($GY$3,0,0,'Données projet'!$E$18+1,1))-AVERAGE(OFFSET($H$3,0,0,'Données projet'!$E$18+1,1))</f>
        <v>331.3579800635751</v>
      </c>
      <c r="HA183" s="62">
        <f t="shared" si="160"/>
        <v>209.40702003535273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24.648193931934351</v>
      </c>
      <c r="HH183" s="23">
        <f>EXP(-LN(2)/25)*HH182+(1-EXP(-LN(2)/25))/(LN(2)/25)*Calculateur!HC183*Calculateur!HE183*VLOOKUP('Données projet'!$B$18,Paramètres!$A$1:$I$89,3,0)*0.475*44/12</f>
        <v>0.94212885642388033</v>
      </c>
      <c r="HI183" s="23">
        <f>EXP(-LN(2)/2)*HI182+(1-EXP(-LN(2)/2))/(LN(2)/2)*HC183*HF183*VLOOKUP('Données projet'!$B$18,Paramètres!$A$1:$I$89,3,0)*0.475*44/12</f>
        <v>6.1130918425126484E-17</v>
      </c>
      <c r="HJ183" s="24">
        <f t="shared" si="190"/>
        <v>25.590322788358232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5.0022208597511053E-12</v>
      </c>
      <c r="O184" s="14">
        <f>N184*VLOOKUP('Données projet'!$B$9,Paramètres!$A$1:$I$89,3,0)*VLOOKUP('Données projet'!$B$9,Paramètres!$A$1:$I$89,5,0)</f>
        <v>4.5260094339028E-12</v>
      </c>
      <c r="P184" s="14">
        <f t="shared" si="141"/>
        <v>4.3625683148570328E-11</v>
      </c>
      <c r="Q184" s="22">
        <f t="shared" si="162"/>
        <v>8.3864197914474037E-11</v>
      </c>
      <c r="R184" s="62">
        <f t="shared" si="109"/>
        <v>293.33333333341716</v>
      </c>
      <c r="S184" s="62">
        <f ca="1">AVERAGE(OFFSET($R$3,0,0,'Données projet'!$E$9+1,1))-AVERAGE(OFFSET($H$3,0,0,'Données projet'!$E$9+1,1))</f>
        <v>2472.5049373954762</v>
      </c>
      <c r="T184" s="62">
        <f t="shared" si="142"/>
        <v>286.98388307318311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773.25914268608915</v>
      </c>
      <c r="AA184" s="23">
        <f>EXP(-LN(2)/25)*AA183+(1-EXP(-LN(2)/25))/(LN(2)/25)*Calculateur!V184*Calculateur!X184*VLOOKUP('Données projet'!$B$9,Paramètres!$A$1:$I$89,3,0)*0.475*44/12</f>
        <v>28.114141373837462</v>
      </c>
      <c r="AB184" s="23">
        <f>EXP(-LN(2)/2)*AB183+(1-EXP(-LN(2)/2))/(LN(2)/2)*V184*Y184*VLOOKUP('Données projet'!$B$9,Paramètres!$A$1:$I$89,3,0)*0.475*44/12</f>
        <v>1.3919868161748318E-4</v>
      </c>
      <c r="AC184" s="24">
        <f t="shared" si="163"/>
        <v>801.37342325860823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5.0022208597511053E-12</v>
      </c>
      <c r="AJ184" s="14">
        <f>AI184*VLOOKUP('Données projet'!$B$10,Paramètres!$A$1:$I$89,3,0)*VLOOKUP('Données projet'!$B$10,Paramètres!$A$1:$I$89,5,0)</f>
        <v>5.0722519517876216E-12</v>
      </c>
      <c r="AK184" s="14">
        <f t="shared" si="164"/>
        <v>4.8246688221215311E-11</v>
      </c>
      <c r="AL184" s="22">
        <f t="shared" si="165"/>
        <v>9.2863820801313432E-11</v>
      </c>
      <c r="AM184" s="62">
        <f t="shared" si="113"/>
        <v>293.3333333334262</v>
      </c>
      <c r="AN184" s="62">
        <f ca="1">AVERAGE(OFFSET($AM$3,0,0,'Données projet'!$E$10+1,1))-AVERAGE(OFFSET($H$3,0,0,'Données projet'!$E$10+1,1))</f>
        <v>2761.1400657295467</v>
      </c>
      <c r="AO184" s="62">
        <f t="shared" si="144"/>
        <v>316.41877504316409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866.58352197578915</v>
      </c>
      <c r="AV184" s="23">
        <f>EXP(-LN(2)/25)*AV183+(1-EXP(-LN(2)/25))/(LN(2)/25)*Calculateur!AQ184*Calculateur!AS184*VLOOKUP('Données projet'!$B$10,Paramètres!$A$1:$I$89,3,0)*0.475*44/12</f>
        <v>31.507227401714427</v>
      </c>
      <c r="AW184" s="23">
        <f>EXP(-LN(2)/2)*AW183+(1-EXP(-LN(2)/2))/(LN(2)/2)*AQ184*AT184*VLOOKUP('Données projet'!$B$10,Paramètres!$A$1:$I$89,3,0)*0.475*44/12</f>
        <v>1.5599852250235187E-4</v>
      </c>
      <c r="AX184" s="23">
        <f t="shared" si="166"/>
        <v>898.09090537602606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5.0022208597511053E-12</v>
      </c>
      <c r="BE184" s="14">
        <f>BD184*VLOOKUP('Données projet'!$B$11,Paramètres!$A$1:$I$89,3,0)*VLOOKUP('Données projet'!$B$11,Paramètres!$A$1:$I$89,5,0)</f>
        <v>5.2283212426118558E-12</v>
      </c>
      <c r="BF184" s="14">
        <f t="shared" si="167"/>
        <v>4.9556081821365385E-11</v>
      </c>
      <c r="BG184" s="22">
        <f t="shared" si="168"/>
        <v>9.5416168669760364E-11</v>
      </c>
      <c r="BH184" s="62">
        <f t="shared" si="116"/>
        <v>293.33333333342875</v>
      </c>
      <c r="BI184" s="62">
        <f ca="1">AVERAGE(OFFSET($BH$3,0,0,'Données projet'!$E$11+1,1))-AVERAGE(OFFSET($H$3,0,0,'Données projet'!$E$11+1,1))</f>
        <v>2843.5086223152098</v>
      </c>
      <c r="BJ184" s="62">
        <f t="shared" si="146"/>
        <v>324.81562437645522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893.24763034427519</v>
      </c>
      <c r="BQ184" s="23">
        <f>EXP(-LN(2)/25)*BQ183+(1-EXP(-LN(2)/25))/(LN(2)/25)*Calculateur!BL184*Calculateur!BN184*VLOOKUP('Données projet'!$B$11,Paramètres!$A$1:$I$89,3,0)*0.475*44/12</f>
        <v>32.476680552536401</v>
      </c>
      <c r="BR184" s="23">
        <f>EXP(-LN(2)/2)*BR183+(1-EXP(-LN(2)/2))/(LN(2)/2)*BL184*BO184*VLOOKUP('Données projet'!$B$11,Paramètres!$A$1:$I$89,3,0)*0.475*44/12</f>
        <v>1.6079847704088591E-4</v>
      </c>
      <c r="BS184" s="24">
        <f t="shared" si="169"/>
        <v>925.72447169528868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5.0022208597511053E-12</v>
      </c>
      <c r="BZ184" s="14">
        <f>BY184*VLOOKUP('Données projet'!$B$12,Paramètres!$A$1:$I$89,3,0)*VLOOKUP('Données projet'!$B$12,Paramètres!$A$1:$I$89,5,0)</f>
        <v>4.9942173063755036E-12</v>
      </c>
      <c r="CA184" s="14">
        <f t="shared" si="170"/>
        <v>4.7590239529202817E-11</v>
      </c>
      <c r="CB184" s="22">
        <f t="shared" si="171"/>
        <v>9.1584595655298897E-11</v>
      </c>
      <c r="CC184" s="62">
        <f t="shared" si="119"/>
        <v>293.33333333342489</v>
      </c>
      <c r="CD184" s="62">
        <f ca="1">AVERAGE(OFFSET($CC$3,0,0,'Données projet'!$E$12+1,1))-AVERAGE(OFFSET($H$3,0,0,'Données projet'!$E$12+1,1))</f>
        <v>2719.939926994799</v>
      </c>
      <c r="CE184" s="62">
        <f t="shared" si="148"/>
        <v>312.21824046329749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853.25146779154659</v>
      </c>
      <c r="CL184" s="23">
        <f>EXP(-LN(2)/25)*CL183+(1-EXP(-LN(2)/25))/(LN(2)/25)*Calculateur!CG184*Calculateur!CI184*VLOOKUP('Données projet'!$B$12,Paramètres!$A$1:$I$89,3,0)*0.475*44/12</f>
        <v>31.022500826303421</v>
      </c>
      <c r="CM184" s="23">
        <f>EXP(-LN(2)/2)*CM183+(1-EXP(-LN(2)/2))/(LN(2)/2)*CG184*CJ184*VLOOKUP('Données projet'!$B$12,Paramètres!$A$1:$I$89,3,0)*0.475*44/12</f>
        <v>1.5359854523308483E-4</v>
      </c>
      <c r="CN184" s="24">
        <f t="shared" si="172"/>
        <v>884.2741222163952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1.1368683772161603E-12</v>
      </c>
      <c r="CU184" s="18">
        <f>CT184*VLOOKUP('Données projet'!$B$13,Paramètres!$A$1:$I$89,3,0)*VLOOKUP('Données projet'!$B$13,Paramètres!$A$1:$I$89,5,0)</f>
        <v>9.9316821433603771E-13</v>
      </c>
      <c r="CV184" s="14">
        <f t="shared" si="173"/>
        <v>1.1421454694498936E-11</v>
      </c>
      <c r="CW184" s="22">
        <f t="shared" si="174"/>
        <v>2.1622134899554243E-11</v>
      </c>
      <c r="CX184" s="62">
        <f t="shared" si="122"/>
        <v>293.33333333335491</v>
      </c>
      <c r="CY184" s="62">
        <f ca="1">AVERAGE(OFFSET($CX$3,0,0,'Données projet'!$E$13+1,1))-AVERAGE(OFFSET($H$3,0,0,'Données projet'!$E$13+1,1))</f>
        <v>1036.0130072090849</v>
      </c>
      <c r="CZ184" s="62">
        <f t="shared" si="150"/>
        <v>346.56593355696174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90.611058159646518</v>
      </c>
      <c r="DG184" s="23">
        <f>EXP(-LN(2)/25)*DG183+(1-EXP(-LN(2)/25))/(LN(2)/25)*Calculateur!DB184*Calculateur!DD184*VLOOKUP('Données projet'!$B$13,Paramètres!$A$1:$I$89,3,0)*0.475*44/12</f>
        <v>2.5727640368279046</v>
      </c>
      <c r="DH184" s="23">
        <f>EXP(-LN(2)/2)*DH183+(1-EXP(-LN(2)/2))/(LN(2)/2)*DB184*DE184*VLOOKUP('Données projet'!$B$13,Paramètres!$A$1:$I$89,3,0)*0.475*44/12</f>
        <v>5.6758852177954311E-14</v>
      </c>
      <c r="DI184" s="24">
        <f t="shared" si="175"/>
        <v>93.18382219647448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6.8212102632969618E-13</v>
      </c>
      <c r="DP184" s="18">
        <f>DO184*VLOOKUP('Données projet'!$B$14,Paramètres!$A$1:$I$89,3,0)*VLOOKUP('Données projet'!$B$14,Paramètres!$A$1:$I$89,5,0)</f>
        <v>3.8130565371830017E-13</v>
      </c>
      <c r="DQ184" s="14">
        <f t="shared" si="176"/>
        <v>4.9019074112354236E-12</v>
      </c>
      <c r="DR184" s="22">
        <f t="shared" si="177"/>
        <v>9.2015960881277352E-12</v>
      </c>
      <c r="DS184" s="62">
        <f t="shared" si="125"/>
        <v>293.33333333334252</v>
      </c>
      <c r="DT184" s="62">
        <f ca="1">AVERAGE(OFFSET($DS$3,0,0,'Données projet'!$E$14+1,1))-AVERAGE(OFFSET($H$3,0,0,'Données projet'!$E$14+1,1))</f>
        <v>446.48069057792151</v>
      </c>
      <c r="DU184" s="62">
        <f t="shared" si="152"/>
        <v>561.75656782935948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16.813997941439119</v>
      </c>
      <c r="EB184" s="23">
        <f>EXP(-LN(2)/25)*EB183+(1-EXP(-LN(2)/25))/(LN(2)/25)*Calculateur!DW184*Calculateur!DY184*VLOOKUP('Données projet'!$B$14,Paramètres!$A$1:$I$89,3,0)*0.475*44/12</f>
        <v>2.8293415758862261</v>
      </c>
      <c r="EC184" s="23">
        <f>EXP(-LN(2)/2)*EC183+(1-EXP(-LN(2)/2))/(LN(2)/2)*DW184*DZ184*VLOOKUP('Données projet'!$B$14,Paramètres!$A$1:$I$89,3,0)*0.475*44/12</f>
        <v>8.2298096277690631E-17</v>
      </c>
      <c r="ED184" s="24">
        <f t="shared" si="178"/>
        <v>19.643339517325344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1.7053025658242404E-13</v>
      </c>
      <c r="EK184" s="18">
        <f>EJ184*VLOOKUP('Données projet'!$B$15,Paramètres!$A$1:$I$89,3,0)*VLOOKUP('Données projet'!$B$15,Paramètres!$A$1:$I$89,5,0)</f>
        <v>1.6493686416652052E-13</v>
      </c>
      <c r="EL184" s="14">
        <f t="shared" si="179"/>
        <v>2.3376205369651282E-12</v>
      </c>
      <c r="EM184" s="22">
        <f t="shared" si="180"/>
        <v>4.3586208069709543E-12</v>
      </c>
      <c r="EN184" s="62">
        <f t="shared" si="128"/>
        <v>293.33333333333769</v>
      </c>
      <c r="EO184" s="62">
        <f ca="1">AVERAGE(OFFSET($EN$3,0,0,'Données projet'!$E$15+1,1))-AVERAGE(OFFSET($H$3,0,0,'Données projet'!$E$15+1,1))</f>
        <v>301.18531163828169</v>
      </c>
      <c r="EP184" s="62">
        <f t="shared" si="154"/>
        <v>192.30530273268101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21.713350561395103</v>
      </c>
      <c r="EW184" s="23">
        <f>EXP(-LN(2)/25)*EW183+(1-EXP(-LN(2)/25))/(LN(2)/25)*Calculateur!ER184*Calculateur!ET184*VLOOKUP('Données projet'!$B$15,Paramètres!$A$1:$I$89,3,0)*0.475*44/12</f>
        <v>0.82340159687876935</v>
      </c>
      <c r="EX184" s="23">
        <f>EXP(-LN(2)/2)*EX183+(1-EXP(-LN(2)/2))/(LN(2)/2)*ER184*EU184*VLOOKUP('Données projet'!$B$15,Paramètres!$A$1:$I$89,3,0)*0.475*44/12</f>
        <v>3.8840831759873582E-17</v>
      </c>
      <c r="EY184" s="24">
        <f t="shared" si="181"/>
        <v>22.536752158273874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1.7053025658242404E-13</v>
      </c>
      <c r="FF184" s="18">
        <f>FE184*VLOOKUP('Données projet'!$B$16,Paramètres!$A$1:$I$89,3,0)*VLOOKUP('Données projet'!$B$16,Paramètres!$A$1:$I$89,5,0)</f>
        <v>1.3301360013429075E-13</v>
      </c>
      <c r="FG184" s="14">
        <f t="shared" si="182"/>
        <v>1.9329766731057041E-12</v>
      </c>
      <c r="FH184" s="22">
        <f t="shared" si="183"/>
        <v>3.5982663925596575E-12</v>
      </c>
      <c r="FI184" s="62">
        <f t="shared" si="131"/>
        <v>293.3333333333369</v>
      </c>
      <c r="FJ184" s="62">
        <f ca="1">AVERAGE(OFFSET($FI$3,0,0,'Données projet'!$E$16+1,1))-AVERAGE(OFFSET($H$3,0,0,'Données projet'!$E$16+1,1))</f>
        <v>249.2899297828755</v>
      </c>
      <c r="FK184" s="62">
        <f t="shared" si="156"/>
        <v>162.88011837476813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17.510766581770252</v>
      </c>
      <c r="FR184" s="23">
        <f>EXP(-LN(2)/25)*FR183+(1-EXP(-LN(2)/25))/(LN(2)/25)*Calculateur!FM184*Calculateur!FO184*VLOOKUP('Données projet'!$B$16,Paramètres!$A$1:$I$89,3,0)*0.475*44/12</f>
        <v>0.66403354586997398</v>
      </c>
      <c r="FS184" s="23">
        <f>EXP(-LN(2)/2)*FS183+(1-EXP(-LN(2)/2))/(LN(2)/2)*FM184*FP184*VLOOKUP('Données projet'!$B$16,Paramètres!$A$1:$I$89,3,0)*0.475*44/12</f>
        <v>3.13232514192526E-17</v>
      </c>
      <c r="FT184" s="24">
        <f t="shared" si="184"/>
        <v>18.174800127640225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1.7053025658242404E-13</v>
      </c>
      <c r="GA184" s="18">
        <f>FZ184*VLOOKUP('Données projet'!$B$17,Paramètres!$A$1:$I$89,3,0)*VLOOKUP('Données projet'!$B$17,Paramètres!$A$1:$I$89,5,0)</f>
        <v>1.1439169611549005E-13</v>
      </c>
      <c r="GB184" s="14">
        <f t="shared" si="185"/>
        <v>1.6918016515029816E-12</v>
      </c>
      <c r="GC184" s="22">
        <f t="shared" si="186"/>
        <v>3.1457867471021712E-12</v>
      </c>
      <c r="GD184" s="62">
        <f t="shared" si="134"/>
        <v>293.33333333333644</v>
      </c>
      <c r="GE184" s="62">
        <f ca="1">AVERAGE(OFFSET($GD$3,0,0,'Données projet'!$E$17+1,1))-AVERAGE(OFFSET($H$3,0,0,'Données projet'!$E$17+1,1))</f>
        <v>218.89895999738746</v>
      </c>
      <c r="GF184" s="62">
        <f t="shared" si="158"/>
        <v>145.64042897395763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18.561412576676442</v>
      </c>
      <c r="GM184" s="23">
        <f>EXP(-LN(2)/25)*GM183+(1-EXP(-LN(2)/25))/(LN(2)/25)*Calculateur!GH184*Calculateur!GJ184*VLOOKUP('Données projet'!$B$17,Paramètres!$A$1:$I$89,3,0)*0.475*44/12</f>
        <v>0.70387555862217355</v>
      </c>
      <c r="GN184" s="23">
        <f>EXP(-LN(2)/2)*GN183+(1-EXP(-LN(2)/2))/(LN(2)/2)*GH184*GK184*VLOOKUP('Données projet'!$B$17,Paramètres!$A$1:$I$89,3,0)*0.475*44/12</f>
        <v>2.6937996220557471E-17</v>
      </c>
      <c r="GO184" s="23">
        <f t="shared" si="187"/>
        <v>19.265288135298615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1.7053025658242404E-13</v>
      </c>
      <c r="GV184" s="18">
        <f>GU184*VLOOKUP('Données projet'!$B$18,Paramètres!$A$1:$I$89,3,0)*VLOOKUP('Données projet'!$B$18,Paramètres!$A$1:$I$89,5,0)</f>
        <v>1.8355876818532125E-13</v>
      </c>
      <c r="GW184" s="14">
        <f t="shared" si="188"/>
        <v>2.5693529898865504E-12</v>
      </c>
      <c r="GX184" s="22">
        <f t="shared" si="189"/>
        <v>4.7946546453085093E-12</v>
      </c>
      <c r="GY184" s="62">
        <f t="shared" si="137"/>
        <v>293.33333333333809</v>
      </c>
      <c r="GZ184" s="62">
        <f ca="1">AVERAGE(OFFSET($GY$3,0,0,'Données projet'!$E$18+1,1))-AVERAGE(OFFSET($H$3,0,0,'Données projet'!$E$18+1,1))</f>
        <v>331.3579800635751</v>
      </c>
      <c r="HA184" s="62">
        <f t="shared" si="160"/>
        <v>209.40702003535273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24.164857882842941</v>
      </c>
      <c r="HH184" s="23">
        <f>EXP(-LN(2)/25)*HH183+(1-EXP(-LN(2)/25))/(LN(2)/25)*Calculateur!HC184*Calculateur!HE184*VLOOKUP('Données projet'!$B$18,Paramètres!$A$1:$I$89,3,0)*0.475*44/12</f>
        <v>0.91636629330056607</v>
      </c>
      <c r="HI184" s="23">
        <f>EXP(-LN(2)/2)*HI183+(1-EXP(-LN(2)/2))/(LN(2)/2)*HC184*HF184*VLOOKUP('Données projet'!$B$18,Paramètres!$A$1:$I$89,3,0)*0.475*44/12</f>
        <v>4.32260869585686E-17</v>
      </c>
      <c r="HJ184" s="24">
        <f t="shared" si="190"/>
        <v>25.081224176143508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5.0022208597511053E-12</v>
      </c>
      <c r="O185" s="14">
        <f>N185*VLOOKUP('Données projet'!$B$9,Paramètres!$A$1:$I$89,3,0)*VLOOKUP('Données projet'!$B$9,Paramètres!$A$1:$I$89,5,0)</f>
        <v>4.5260094339028E-12</v>
      </c>
      <c r="P185" s="14">
        <f t="shared" si="141"/>
        <v>4.3625683148570328E-11</v>
      </c>
      <c r="Q185" s="22">
        <f t="shared" si="162"/>
        <v>8.3864197914474037E-11</v>
      </c>
      <c r="R185" s="62">
        <f t="shared" si="109"/>
        <v>293.33333333341716</v>
      </c>
      <c r="S185" s="62">
        <f ca="1">AVERAGE(OFFSET($R$3,0,0,'Données projet'!$E$9+1,1))-AVERAGE(OFFSET($H$3,0,0,'Données projet'!$E$9+1,1))</f>
        <v>2472.5049373954762</v>
      </c>
      <c r="T185" s="62">
        <f t="shared" si="142"/>
        <v>286.98388307318311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758.09600253952124</v>
      </c>
      <c r="AA185" s="23">
        <f>EXP(-LN(2)/25)*AA184+(1-EXP(-LN(2)/25))/(LN(2)/25)*Calculateur!V185*Calculateur!X185*VLOOKUP('Données projet'!$B$9,Paramètres!$A$1:$I$89,3,0)*0.475*44/12</f>
        <v>27.345358699511436</v>
      </c>
      <c r="AB185" s="23">
        <f>EXP(-LN(2)/2)*AB184+(1-EXP(-LN(2)/2))/(LN(2)/2)*V185*Y185*VLOOKUP('Données projet'!$B$9,Paramètres!$A$1:$I$89,3,0)*0.475*44/12</f>
        <v>9.8428331703949573E-5</v>
      </c>
      <c r="AC185" s="24">
        <f t="shared" si="163"/>
        <v>785.44145966736437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5.0022208597511053E-12</v>
      </c>
      <c r="AJ185" s="14">
        <f>AI185*VLOOKUP('Données projet'!$B$10,Paramètres!$A$1:$I$89,3,0)*VLOOKUP('Données projet'!$B$10,Paramètres!$A$1:$I$89,5,0)</f>
        <v>5.0722519517876216E-12</v>
      </c>
      <c r="AK185" s="14">
        <f t="shared" si="164"/>
        <v>4.8246688221215311E-11</v>
      </c>
      <c r="AL185" s="22">
        <f t="shared" si="165"/>
        <v>9.2863820801313432E-11</v>
      </c>
      <c r="AM185" s="62">
        <f t="shared" si="113"/>
        <v>293.3333333334262</v>
      </c>
      <c r="AN185" s="62">
        <f ca="1">AVERAGE(OFFSET($AM$3,0,0,'Données projet'!$E$10+1,1))-AVERAGE(OFFSET($H$3,0,0,'Données projet'!$E$10+1,1))</f>
        <v>2761.1400657295467</v>
      </c>
      <c r="AO185" s="62">
        <f t="shared" si="144"/>
        <v>316.41877504316409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849.59034767360095</v>
      </c>
      <c r="AV185" s="23">
        <f>EXP(-LN(2)/25)*AV184+(1-EXP(-LN(2)/25))/(LN(2)/25)*Calculateur!AQ185*Calculateur!AS185*VLOOKUP('Données projet'!$B$10,Paramètres!$A$1:$I$89,3,0)*0.475*44/12</f>
        <v>30.645660611521468</v>
      </c>
      <c r="AW185" s="23">
        <f>EXP(-LN(2)/2)*AW184+(1-EXP(-LN(2)/2))/(LN(2)/2)*AQ185*AT185*VLOOKUP('Données projet'!$B$10,Paramètres!$A$1:$I$89,3,0)*0.475*44/12</f>
        <v>1.1030761311649524E-4</v>
      </c>
      <c r="AX185" s="23">
        <f t="shared" si="166"/>
        <v>880.23611859273558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5.0022208597511053E-12</v>
      </c>
      <c r="BE185" s="14">
        <f>BD185*VLOOKUP('Données projet'!$B$11,Paramètres!$A$1:$I$89,3,0)*VLOOKUP('Données projet'!$B$11,Paramètres!$A$1:$I$89,5,0)</f>
        <v>5.2283212426118558E-12</v>
      </c>
      <c r="BF185" s="14">
        <f t="shared" si="167"/>
        <v>4.9556081821365385E-11</v>
      </c>
      <c r="BG185" s="22">
        <f t="shared" si="168"/>
        <v>9.5416168669760364E-11</v>
      </c>
      <c r="BH185" s="62">
        <f t="shared" si="116"/>
        <v>293.33333333342875</v>
      </c>
      <c r="BI185" s="62">
        <f ca="1">AVERAGE(OFFSET($BH$3,0,0,'Données projet'!$E$11+1,1))-AVERAGE(OFFSET($H$3,0,0,'Données projet'!$E$11+1,1))</f>
        <v>2843.5086223152098</v>
      </c>
      <c r="BJ185" s="62">
        <f t="shared" si="146"/>
        <v>324.81562437645522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875.73158914048122</v>
      </c>
      <c r="BQ185" s="23">
        <f>EXP(-LN(2)/25)*BQ184+(1-EXP(-LN(2)/25))/(LN(2)/25)*Calculateur!BL185*Calculateur!BN185*VLOOKUP('Données projet'!$B$11,Paramètres!$A$1:$I$89,3,0)*0.475*44/12</f>
        <v>31.588604014952889</v>
      </c>
      <c r="BR185" s="23">
        <f>EXP(-LN(2)/2)*BR184+(1-EXP(-LN(2)/2))/(LN(2)/2)*BL185*BO185*VLOOKUP('Données projet'!$B$11,Paramètres!$A$1:$I$89,3,0)*0.475*44/12</f>
        <v>1.137016935200798E-4</v>
      </c>
      <c r="BS185" s="24">
        <f t="shared" si="169"/>
        <v>907.32030685712766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5.0022208597511053E-12</v>
      </c>
      <c r="BZ185" s="14">
        <f>BY185*VLOOKUP('Données projet'!$B$12,Paramètres!$A$1:$I$89,3,0)*VLOOKUP('Données projet'!$B$12,Paramètres!$A$1:$I$89,5,0)</f>
        <v>4.9942173063755036E-12</v>
      </c>
      <c r="CA185" s="14">
        <f t="shared" si="170"/>
        <v>4.7590239529202817E-11</v>
      </c>
      <c r="CB185" s="22">
        <f t="shared" si="171"/>
        <v>9.1584595655298897E-11</v>
      </c>
      <c r="CC185" s="62">
        <f t="shared" si="119"/>
        <v>293.33333333342489</v>
      </c>
      <c r="CD185" s="62">
        <f ca="1">AVERAGE(OFFSET($CC$3,0,0,'Données projet'!$E$12+1,1))-AVERAGE(OFFSET($H$3,0,0,'Données projet'!$E$12+1,1))</f>
        <v>2719.939926994799</v>
      </c>
      <c r="CE185" s="62">
        <f t="shared" si="148"/>
        <v>312.21824046329749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836.51972694016138</v>
      </c>
      <c r="CL185" s="23">
        <f>EXP(-LN(2)/25)*CL184+(1-EXP(-LN(2)/25))/(LN(2)/25)*Calculateur!CG185*Calculateur!CI185*VLOOKUP('Données projet'!$B$12,Paramètres!$A$1:$I$89,3,0)*0.475*44/12</f>
        <v>30.174188909805739</v>
      </c>
      <c r="CM185" s="23">
        <f>EXP(-LN(2)/2)*CM184+(1-EXP(-LN(2)/2))/(LN(2)/2)*CG185*CJ185*VLOOKUP('Données projet'!$B$12,Paramètres!$A$1:$I$89,3,0)*0.475*44/12</f>
        <v>1.0861057291470293E-4</v>
      </c>
      <c r="CN185" s="24">
        <f t="shared" si="172"/>
        <v>866.69402446054005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1.1368683772161603E-12</v>
      </c>
      <c r="CU185" s="18">
        <f>CT185*VLOOKUP('Données projet'!$B$13,Paramètres!$A$1:$I$89,3,0)*VLOOKUP('Données projet'!$B$13,Paramètres!$A$1:$I$89,5,0)</f>
        <v>9.9316821433603771E-13</v>
      </c>
      <c r="CV185" s="14">
        <f t="shared" si="173"/>
        <v>1.1421454694498936E-11</v>
      </c>
      <c r="CW185" s="22">
        <f t="shared" si="174"/>
        <v>2.1622134899554243E-11</v>
      </c>
      <c r="CX185" s="62">
        <f t="shared" si="122"/>
        <v>293.33333333335491</v>
      </c>
      <c r="CY185" s="62">
        <f ca="1">AVERAGE(OFFSET($CX$3,0,0,'Données projet'!$E$13+1,1))-AVERAGE(OFFSET($H$3,0,0,'Données projet'!$E$13+1,1))</f>
        <v>1036.0130072090849</v>
      </c>
      <c r="CZ185" s="62">
        <f t="shared" si="150"/>
        <v>346.56593355696174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88.834230576424133</v>
      </c>
      <c r="DG185" s="23">
        <f>EXP(-LN(2)/25)*DG184+(1-EXP(-LN(2)/25))/(LN(2)/25)*Calculateur!DB185*Calculateur!DD185*VLOOKUP('Données projet'!$B$13,Paramètres!$A$1:$I$89,3,0)*0.475*44/12</f>
        <v>2.5024116689450651</v>
      </c>
      <c r="DH185" s="23">
        <f>EXP(-LN(2)/2)*DH184+(1-EXP(-LN(2)/2))/(LN(2)/2)*DB185*DE185*VLOOKUP('Données projet'!$B$13,Paramètres!$A$1:$I$89,3,0)*0.475*44/12</f>
        <v>4.0134569267396337E-14</v>
      </c>
      <c r="DI185" s="24">
        <f t="shared" si="175"/>
        <v>91.336642245369248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6.8212102632969618E-13</v>
      </c>
      <c r="DP185" s="18">
        <f>DO185*VLOOKUP('Données projet'!$B$14,Paramètres!$A$1:$I$89,3,0)*VLOOKUP('Données projet'!$B$14,Paramètres!$A$1:$I$89,5,0)</f>
        <v>3.8130565371830017E-13</v>
      </c>
      <c r="DQ185" s="14">
        <f t="shared" si="176"/>
        <v>4.9019074112354236E-12</v>
      </c>
      <c r="DR185" s="22">
        <f t="shared" si="177"/>
        <v>9.2015960881277352E-12</v>
      </c>
      <c r="DS185" s="62">
        <f t="shared" si="125"/>
        <v>293.33333333334252</v>
      </c>
      <c r="DT185" s="62">
        <f ca="1">AVERAGE(OFFSET($DS$3,0,0,'Données projet'!$E$14+1,1))-AVERAGE(OFFSET($H$3,0,0,'Données projet'!$E$14+1,1))</f>
        <v>446.48069057792151</v>
      </c>
      <c r="DU185" s="62">
        <f t="shared" si="152"/>
        <v>561.75656782935948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16.484285697333593</v>
      </c>
      <c r="EB185" s="23">
        <f>EXP(-LN(2)/25)*EB184+(1-EXP(-LN(2)/25))/(LN(2)/25)*Calculateur!DW185*Calculateur!DY185*VLOOKUP('Données projet'!$B$14,Paramètres!$A$1:$I$89,3,0)*0.475*44/12</f>
        <v>2.7519730817050103</v>
      </c>
      <c r="EC185" s="23">
        <f>EXP(-LN(2)/2)*EC184+(1-EXP(-LN(2)/2))/(LN(2)/2)*DW185*DZ185*VLOOKUP('Données projet'!$B$14,Paramètres!$A$1:$I$89,3,0)*0.475*44/12</f>
        <v>5.819354195669841E-17</v>
      </c>
      <c r="ED185" s="24">
        <f t="shared" si="178"/>
        <v>19.236258779038604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1.7053025658242404E-13</v>
      </c>
      <c r="EK185" s="18">
        <f>EJ185*VLOOKUP('Données projet'!$B$15,Paramètres!$A$1:$I$89,3,0)*VLOOKUP('Données projet'!$B$15,Paramètres!$A$1:$I$89,5,0)</f>
        <v>1.6493686416652052E-13</v>
      </c>
      <c r="EL185" s="14">
        <f t="shared" si="179"/>
        <v>2.3376205369651282E-12</v>
      </c>
      <c r="EM185" s="22">
        <f t="shared" si="180"/>
        <v>4.3586208069709543E-12</v>
      </c>
      <c r="EN185" s="62">
        <f t="shared" si="128"/>
        <v>293.33333333333769</v>
      </c>
      <c r="EO185" s="62">
        <f ca="1">AVERAGE(OFFSET($EN$3,0,0,'Données projet'!$E$15+1,1))-AVERAGE(OFFSET($H$3,0,0,'Données projet'!$E$15+1,1))</f>
        <v>301.18531163828169</v>
      </c>
      <c r="EP185" s="62">
        <f t="shared" si="154"/>
        <v>192.30530273268101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21.287565000722267</v>
      </c>
      <c r="EW185" s="23">
        <f>EXP(-LN(2)/25)*EW184+(1-EXP(-LN(2)/25))/(LN(2)/25)*Calculateur!ER185*Calculateur!ET185*VLOOKUP('Données projet'!$B$15,Paramètres!$A$1:$I$89,3,0)*0.475*44/12</f>
        <v>0.80088563691131132</v>
      </c>
      <c r="EX185" s="23">
        <f>EXP(-LN(2)/2)*EX184+(1-EXP(-LN(2)/2))/(LN(2)/2)*ER185*EU185*VLOOKUP('Données projet'!$B$15,Paramètres!$A$1:$I$89,3,0)*0.475*44/12</f>
        <v>2.7464615524332435E-17</v>
      </c>
      <c r="EY185" s="24">
        <f t="shared" si="181"/>
        <v>22.088450637633578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1.7053025658242404E-13</v>
      </c>
      <c r="FF185" s="18">
        <f>FE185*VLOOKUP('Données projet'!$B$16,Paramètres!$A$1:$I$89,3,0)*VLOOKUP('Données projet'!$B$16,Paramètres!$A$1:$I$89,5,0)</f>
        <v>1.3301360013429075E-13</v>
      </c>
      <c r="FG185" s="14">
        <f t="shared" si="182"/>
        <v>1.9329766731057041E-12</v>
      </c>
      <c r="FH185" s="22">
        <f t="shared" si="183"/>
        <v>3.5982663925596575E-12</v>
      </c>
      <c r="FI185" s="62">
        <f t="shared" si="131"/>
        <v>293.3333333333369</v>
      </c>
      <c r="FJ185" s="62">
        <f ca="1">AVERAGE(OFFSET($FI$3,0,0,'Données projet'!$E$16+1,1))-AVERAGE(OFFSET($H$3,0,0,'Données projet'!$E$16+1,1))</f>
        <v>249.2899297828755</v>
      </c>
      <c r="FK185" s="62">
        <f t="shared" si="156"/>
        <v>162.88011837476813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17.167391129614739</v>
      </c>
      <c r="FR185" s="23">
        <f>EXP(-LN(2)/25)*FR184+(1-EXP(-LN(2)/25))/(LN(2)/25)*Calculateur!FM185*Calculateur!FO185*VLOOKUP('Données projet'!$B$16,Paramètres!$A$1:$I$89,3,0)*0.475*44/12</f>
        <v>0.64587551363815299</v>
      </c>
      <c r="FS185" s="23">
        <f>EXP(-LN(2)/2)*FS184+(1-EXP(-LN(2)/2))/(LN(2)/2)*FM185*FP185*VLOOKUP('Données projet'!$B$16,Paramètres!$A$1:$I$89,3,0)*0.475*44/12</f>
        <v>2.2148883487364663E-17</v>
      </c>
      <c r="FT185" s="24">
        <f t="shared" si="184"/>
        <v>17.813266643252891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1.7053025658242404E-13</v>
      </c>
      <c r="GA185" s="18">
        <f>FZ185*VLOOKUP('Données projet'!$B$17,Paramètres!$A$1:$I$89,3,0)*VLOOKUP('Données projet'!$B$17,Paramètres!$A$1:$I$89,5,0)</f>
        <v>1.1439169611549005E-13</v>
      </c>
      <c r="GB185" s="14">
        <f t="shared" si="185"/>
        <v>1.6918016515029816E-12</v>
      </c>
      <c r="GC185" s="22">
        <f t="shared" si="186"/>
        <v>3.1457867471021712E-12</v>
      </c>
      <c r="GD185" s="62">
        <f t="shared" si="134"/>
        <v>293.33333333333644</v>
      </c>
      <c r="GE185" s="62">
        <f ca="1">AVERAGE(OFFSET($GD$3,0,0,'Données projet'!$E$17+1,1))-AVERAGE(OFFSET($H$3,0,0,'Données projet'!$E$17+1,1))</f>
        <v>218.89895999738746</v>
      </c>
      <c r="GF185" s="62">
        <f t="shared" si="158"/>
        <v>145.64042897395763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18.197434597391599</v>
      </c>
      <c r="GM185" s="23">
        <f>EXP(-LN(2)/25)*GM184+(1-EXP(-LN(2)/25))/(LN(2)/25)*Calculateur!GH185*Calculateur!GJ185*VLOOKUP('Données projet'!$B$17,Paramètres!$A$1:$I$89,3,0)*0.475*44/12</f>
        <v>0.68462804445644332</v>
      </c>
      <c r="GN185" s="23">
        <f>EXP(-LN(2)/2)*GN184+(1-EXP(-LN(2)/2))/(LN(2)/2)*GH185*GK185*VLOOKUP('Données projet'!$B$17,Paramètres!$A$1:$I$89,3,0)*0.475*44/12</f>
        <v>1.9048039799133776E-17</v>
      </c>
      <c r="GO185" s="23">
        <f t="shared" si="187"/>
        <v>18.882062641848041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1.7053025658242404E-13</v>
      </c>
      <c r="GV185" s="18">
        <f>GU185*VLOOKUP('Données projet'!$B$18,Paramètres!$A$1:$I$89,3,0)*VLOOKUP('Données projet'!$B$18,Paramètres!$A$1:$I$89,5,0)</f>
        <v>1.8355876818532125E-13</v>
      </c>
      <c r="GW185" s="14">
        <f t="shared" si="188"/>
        <v>2.5693529898865504E-12</v>
      </c>
      <c r="GX185" s="22">
        <f t="shared" si="189"/>
        <v>4.7946546453085093E-12</v>
      </c>
      <c r="GY185" s="62">
        <f t="shared" si="137"/>
        <v>293.33333333333809</v>
      </c>
      <c r="GZ185" s="62">
        <f ca="1">AVERAGE(OFFSET($GY$3,0,0,'Données projet'!$E$18+1,1))-AVERAGE(OFFSET($H$3,0,0,'Données projet'!$E$18+1,1))</f>
        <v>331.3579800635751</v>
      </c>
      <c r="HA185" s="62">
        <f t="shared" si="160"/>
        <v>209.40702003535273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23.690999758868333</v>
      </c>
      <c r="HH185" s="23">
        <f>EXP(-LN(2)/25)*HH184+(1-EXP(-LN(2)/25))/(LN(2)/25)*Calculateur!HC185*Calculateur!HE185*VLOOKUP('Données projet'!$B$18,Paramètres!$A$1:$I$89,3,0)*0.475*44/12</f>
        <v>0.89130820882065309</v>
      </c>
      <c r="HI185" s="23">
        <f>EXP(-LN(2)/2)*HI184+(1-EXP(-LN(2)/2))/(LN(2)/2)*HC185*HF185*VLOOKUP('Données projet'!$B$18,Paramètres!$A$1:$I$89,3,0)*0.475*44/12</f>
        <v>3.0565459212563242E-17</v>
      </c>
      <c r="HJ185" s="24">
        <f t="shared" si="190"/>
        <v>24.582307967688987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5.0022208597511053E-12</v>
      </c>
      <c r="O186" s="14">
        <f>N186*VLOOKUP('Données projet'!$B$9,Paramètres!$A$1:$I$89,3,0)*VLOOKUP('Données projet'!$B$9,Paramètres!$A$1:$I$89,5,0)</f>
        <v>4.5260094339028E-12</v>
      </c>
      <c r="P186" s="14">
        <f t="shared" si="141"/>
        <v>4.3625683148570328E-11</v>
      </c>
      <c r="Q186" s="22">
        <f t="shared" si="162"/>
        <v>8.3864197914474037E-11</v>
      </c>
      <c r="R186" s="62">
        <f t="shared" si="109"/>
        <v>293.33333333341716</v>
      </c>
      <c r="S186" s="62">
        <f ca="1">AVERAGE(OFFSET($R$3,0,0,'Données projet'!$E$9+1,1))-AVERAGE(OFFSET($H$3,0,0,'Données projet'!$E$9+1,1))</f>
        <v>2472.5049373954762</v>
      </c>
      <c r="T186" s="62">
        <f t="shared" si="142"/>
        <v>286.98388307318311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743.23020232262525</v>
      </c>
      <c r="AA186" s="23">
        <f>EXP(-LN(2)/25)*AA185+(1-EXP(-LN(2)/25))/(LN(2)/25)*Calculateur!V186*Calculateur!X186*VLOOKUP('Données projet'!$B$9,Paramètres!$A$1:$I$89,3,0)*0.475*44/12</f>
        <v>26.59759842784338</v>
      </c>
      <c r="AB186" s="23">
        <f>EXP(-LN(2)/2)*AB185+(1-EXP(-LN(2)/2))/(LN(2)/2)*V186*Y186*VLOOKUP('Données projet'!$B$9,Paramètres!$A$1:$I$89,3,0)*0.475*44/12</f>
        <v>6.9599340808741589E-5</v>
      </c>
      <c r="AC186" s="24">
        <f t="shared" si="163"/>
        <v>769.82787034980947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5.0022208597511053E-12</v>
      </c>
      <c r="AJ186" s="14">
        <f>AI186*VLOOKUP('Données projet'!$B$10,Paramètres!$A$1:$I$89,3,0)*VLOOKUP('Données projet'!$B$10,Paramètres!$A$1:$I$89,5,0)</f>
        <v>5.0722519517876216E-12</v>
      </c>
      <c r="AK186" s="14">
        <f t="shared" si="164"/>
        <v>4.8246688221215311E-11</v>
      </c>
      <c r="AL186" s="22">
        <f t="shared" si="165"/>
        <v>9.2863820801313432E-11</v>
      </c>
      <c r="AM186" s="62">
        <f t="shared" si="113"/>
        <v>293.3333333334262</v>
      </c>
      <c r="AN186" s="62">
        <f ca="1">AVERAGE(OFFSET($AM$3,0,0,'Données projet'!$E$10+1,1))-AVERAGE(OFFSET($H$3,0,0,'Données projet'!$E$10+1,1))</f>
        <v>2761.1400657295467</v>
      </c>
      <c r="AO186" s="62">
        <f t="shared" si="144"/>
        <v>316.41877504316409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832.93039915466579</v>
      </c>
      <c r="AV186" s="23">
        <f>EXP(-LN(2)/25)*AV185+(1-EXP(-LN(2)/25))/(LN(2)/25)*Calculateur!AQ186*Calculateur!AS186*VLOOKUP('Données projet'!$B$10,Paramètres!$A$1:$I$89,3,0)*0.475*44/12</f>
        <v>29.807653410514163</v>
      </c>
      <c r="AW186" s="23">
        <f>EXP(-LN(2)/2)*AW185+(1-EXP(-LN(2)/2))/(LN(2)/2)*AQ186*AT186*VLOOKUP('Données projet'!$B$10,Paramètres!$A$1:$I$89,3,0)*0.475*44/12</f>
        <v>7.7999261251175935E-5</v>
      </c>
      <c r="AX186" s="23">
        <f t="shared" si="166"/>
        <v>862.73813056444124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5.0022208597511053E-12</v>
      </c>
      <c r="BE186" s="14">
        <f>BD186*VLOOKUP('Données projet'!$B$11,Paramètres!$A$1:$I$89,3,0)*VLOOKUP('Données projet'!$B$11,Paramètres!$A$1:$I$89,5,0)</f>
        <v>5.2283212426118558E-12</v>
      </c>
      <c r="BF186" s="14">
        <f t="shared" si="167"/>
        <v>4.9556081821365385E-11</v>
      </c>
      <c r="BG186" s="22">
        <f t="shared" si="168"/>
        <v>9.5416168669760364E-11</v>
      </c>
      <c r="BH186" s="62">
        <f t="shared" si="116"/>
        <v>293.33333333342875</v>
      </c>
      <c r="BI186" s="62">
        <f ca="1">AVERAGE(OFFSET($BH$3,0,0,'Données projet'!$E$11+1,1))-AVERAGE(OFFSET($H$3,0,0,'Données projet'!$E$11+1,1))</f>
        <v>2843.5086223152098</v>
      </c>
      <c r="BJ186" s="62">
        <f t="shared" si="146"/>
        <v>324.81562437645522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858.55902682096348</v>
      </c>
      <c r="BQ186" s="23">
        <f>EXP(-LN(2)/25)*BQ185+(1-EXP(-LN(2)/25))/(LN(2)/25)*Calculateur!BL186*Calculateur!BN186*VLOOKUP('Données projet'!$B$11,Paramètres!$A$1:$I$89,3,0)*0.475*44/12</f>
        <v>30.724811976991514</v>
      </c>
      <c r="BR186" s="23">
        <f>EXP(-LN(2)/2)*BR185+(1-EXP(-LN(2)/2))/(LN(2)/2)*BL186*BO186*VLOOKUP('Données projet'!$B$11,Paramètres!$A$1:$I$89,3,0)*0.475*44/12</f>
        <v>8.0399238520442953E-5</v>
      </c>
      <c r="BS186" s="24">
        <f t="shared" si="169"/>
        <v>889.28391919719354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5.0022208597511053E-12</v>
      </c>
      <c r="BZ186" s="14">
        <f>BY186*VLOOKUP('Données projet'!$B$12,Paramètres!$A$1:$I$89,3,0)*VLOOKUP('Données projet'!$B$12,Paramètres!$A$1:$I$89,5,0)</f>
        <v>4.9942173063755036E-12</v>
      </c>
      <c r="CA186" s="14">
        <f t="shared" si="170"/>
        <v>4.7590239529202817E-11</v>
      </c>
      <c r="CB186" s="22">
        <f t="shared" si="171"/>
        <v>9.1584595655298897E-11</v>
      </c>
      <c r="CC186" s="62">
        <f t="shared" si="119"/>
        <v>293.33333333342489</v>
      </c>
      <c r="CD186" s="62">
        <f ca="1">AVERAGE(OFFSET($CC$3,0,0,'Données projet'!$E$12+1,1))-AVERAGE(OFFSET($H$3,0,0,'Données projet'!$E$12+1,1))</f>
        <v>2719.939926994799</v>
      </c>
      <c r="CE186" s="62">
        <f t="shared" si="148"/>
        <v>312.21824046329749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820.11608532151752</v>
      </c>
      <c r="CL186" s="23">
        <f>EXP(-LN(2)/25)*CL185+(1-EXP(-LN(2)/25))/(LN(2)/25)*Calculateur!CG186*Calculateur!CI186*VLOOKUP('Données projet'!$B$12,Paramètres!$A$1:$I$89,3,0)*0.475*44/12</f>
        <v>29.349074127275472</v>
      </c>
      <c r="CM186" s="23">
        <f>EXP(-LN(2)/2)*CM185+(1-EXP(-LN(2)/2))/(LN(2)/2)*CG186*CJ186*VLOOKUP('Données projet'!$B$12,Paramètres!$A$1:$I$89,3,0)*0.475*44/12</f>
        <v>7.6799272616542413E-5</v>
      </c>
      <c r="CN186" s="24">
        <f t="shared" si="172"/>
        <v>849.46523624806559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1.1368683772161603E-12</v>
      </c>
      <c r="CU186" s="18">
        <f>CT186*VLOOKUP('Données projet'!$B$13,Paramètres!$A$1:$I$89,3,0)*VLOOKUP('Données projet'!$B$13,Paramètres!$A$1:$I$89,5,0)</f>
        <v>9.9316821433603771E-13</v>
      </c>
      <c r="CV186" s="14">
        <f t="shared" si="173"/>
        <v>1.1421454694498936E-11</v>
      </c>
      <c r="CW186" s="22">
        <f t="shared" si="174"/>
        <v>2.1622134899554243E-11</v>
      </c>
      <c r="CX186" s="62">
        <f t="shared" si="122"/>
        <v>293.33333333335491</v>
      </c>
      <c r="CY186" s="62">
        <f ca="1">AVERAGE(OFFSET($CX$3,0,0,'Données projet'!$E$13+1,1))-AVERAGE(OFFSET($H$3,0,0,'Données projet'!$E$13+1,1))</f>
        <v>1036.0130072090849</v>
      </c>
      <c r="CZ186" s="62">
        <f t="shared" si="150"/>
        <v>346.56593355696174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87.092245498350934</v>
      </c>
      <c r="DG186" s="23">
        <f>EXP(-LN(2)/25)*DG185+(1-EXP(-LN(2)/25))/(LN(2)/25)*Calculateur!DB186*Calculateur!DD186*VLOOKUP('Données projet'!$B$13,Paramètres!$A$1:$I$89,3,0)*0.475*44/12</f>
        <v>2.4339830902616519</v>
      </c>
      <c r="DH186" s="23">
        <f>EXP(-LN(2)/2)*DH185+(1-EXP(-LN(2)/2))/(LN(2)/2)*DB186*DE186*VLOOKUP('Données projet'!$B$13,Paramètres!$A$1:$I$89,3,0)*0.475*44/12</f>
        <v>2.8379426088977159E-14</v>
      </c>
      <c r="DI186" s="24">
        <f t="shared" si="175"/>
        <v>89.526228588612611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6.8212102632969618E-13</v>
      </c>
      <c r="DP186" s="18">
        <f>DO186*VLOOKUP('Données projet'!$B$14,Paramètres!$A$1:$I$89,3,0)*VLOOKUP('Données projet'!$B$14,Paramètres!$A$1:$I$89,5,0)</f>
        <v>3.8130565371830017E-13</v>
      </c>
      <c r="DQ186" s="14">
        <f t="shared" si="176"/>
        <v>4.9019074112354236E-12</v>
      </c>
      <c r="DR186" s="22">
        <f t="shared" si="177"/>
        <v>9.2015960881277352E-12</v>
      </c>
      <c r="DS186" s="62">
        <f t="shared" si="125"/>
        <v>293.33333333334252</v>
      </c>
      <c r="DT186" s="62">
        <f ca="1">AVERAGE(OFFSET($DS$3,0,0,'Données projet'!$E$14+1,1))-AVERAGE(OFFSET($H$3,0,0,'Données projet'!$E$14+1,1))</f>
        <v>446.48069057792151</v>
      </c>
      <c r="DU186" s="62">
        <f t="shared" si="152"/>
        <v>561.75656782935948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16.161038909230367</v>
      </c>
      <c r="EB186" s="23">
        <f>EXP(-LN(2)/25)*EB185+(1-EXP(-LN(2)/25))/(LN(2)/25)*Calculateur!DW186*Calculateur!DY186*VLOOKUP('Données projet'!$B$14,Paramètres!$A$1:$I$89,3,0)*0.475*44/12</f>
        <v>2.676720233065812</v>
      </c>
      <c r="EC186" s="23">
        <f>EXP(-LN(2)/2)*EC185+(1-EXP(-LN(2)/2))/(LN(2)/2)*DW186*DZ186*VLOOKUP('Données projet'!$B$14,Paramètres!$A$1:$I$89,3,0)*0.475*44/12</f>
        <v>4.1149048138845316E-17</v>
      </c>
      <c r="ED186" s="24">
        <f t="shared" si="178"/>
        <v>18.837759142296179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1.7053025658242404E-13</v>
      </c>
      <c r="EK186" s="18">
        <f>EJ186*VLOOKUP('Données projet'!$B$15,Paramètres!$A$1:$I$89,3,0)*VLOOKUP('Données projet'!$B$15,Paramètres!$A$1:$I$89,5,0)</f>
        <v>1.6493686416652052E-13</v>
      </c>
      <c r="EL186" s="14">
        <f t="shared" si="179"/>
        <v>2.3376205369651282E-12</v>
      </c>
      <c r="EM186" s="22">
        <f t="shared" si="180"/>
        <v>4.3586208069709543E-12</v>
      </c>
      <c r="EN186" s="62">
        <f t="shared" si="128"/>
        <v>293.33333333333769</v>
      </c>
      <c r="EO186" s="62">
        <f ca="1">AVERAGE(OFFSET($EN$3,0,0,'Données projet'!$E$15+1,1))-AVERAGE(OFFSET($H$3,0,0,'Données projet'!$E$15+1,1))</f>
        <v>301.18531163828169</v>
      </c>
      <c r="EP186" s="62">
        <f t="shared" si="154"/>
        <v>192.30530273268101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20.870128835190677</v>
      </c>
      <c r="EW186" s="23">
        <f>EXP(-LN(2)/25)*EW185+(1-EXP(-LN(2)/25))/(LN(2)/25)*Calculateur!ER186*Calculateur!ET186*VLOOKUP('Données projet'!$B$15,Paramètres!$A$1:$I$89,3,0)*0.475*44/12</f>
        <v>0.77898537705322635</v>
      </c>
      <c r="EX186" s="23">
        <f>EXP(-LN(2)/2)*EX185+(1-EXP(-LN(2)/2))/(LN(2)/2)*ER186*EU186*VLOOKUP('Données projet'!$B$15,Paramètres!$A$1:$I$89,3,0)*0.475*44/12</f>
        <v>1.9420415879936794E-17</v>
      </c>
      <c r="EY186" s="24">
        <f t="shared" si="181"/>
        <v>21.649114212243902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1.7053025658242404E-13</v>
      </c>
      <c r="FF186" s="18">
        <f>FE186*VLOOKUP('Données projet'!$B$16,Paramètres!$A$1:$I$89,3,0)*VLOOKUP('Données projet'!$B$16,Paramètres!$A$1:$I$89,5,0)</f>
        <v>1.3301360013429075E-13</v>
      </c>
      <c r="FG186" s="14">
        <f t="shared" si="182"/>
        <v>1.9329766731057041E-12</v>
      </c>
      <c r="FH186" s="22">
        <f t="shared" si="183"/>
        <v>3.5982663925596575E-12</v>
      </c>
      <c r="FI186" s="62">
        <f t="shared" si="131"/>
        <v>293.3333333333369</v>
      </c>
      <c r="FJ186" s="62">
        <f ca="1">AVERAGE(OFFSET($FI$3,0,0,'Données projet'!$E$16+1,1))-AVERAGE(OFFSET($H$3,0,0,'Données projet'!$E$16+1,1))</f>
        <v>249.2899297828755</v>
      </c>
      <c r="FK186" s="62">
        <f t="shared" si="156"/>
        <v>162.88011837476813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16.83074906063765</v>
      </c>
      <c r="FR186" s="23">
        <f>EXP(-LN(2)/25)*FR185+(1-EXP(-LN(2)/25))/(LN(2)/25)*Calculateur!FM186*Calculateur!FO186*VLOOKUP('Données projet'!$B$16,Paramètres!$A$1:$I$89,3,0)*0.475*44/12</f>
        <v>0.62821401375260055</v>
      </c>
      <c r="FS186" s="23">
        <f>EXP(-LN(2)/2)*FS185+(1-EXP(-LN(2)/2))/(LN(2)/2)*FM186*FP186*VLOOKUP('Données projet'!$B$16,Paramètres!$A$1:$I$89,3,0)*0.475*44/12</f>
        <v>1.56616257096263E-17</v>
      </c>
      <c r="FT186" s="24">
        <f t="shared" si="184"/>
        <v>17.458963074390251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1.7053025658242404E-13</v>
      </c>
      <c r="GA186" s="18">
        <f>FZ186*VLOOKUP('Données projet'!$B$17,Paramètres!$A$1:$I$89,3,0)*VLOOKUP('Données projet'!$B$17,Paramètres!$A$1:$I$89,5,0)</f>
        <v>1.1439169611549005E-13</v>
      </c>
      <c r="GB186" s="14">
        <f t="shared" si="185"/>
        <v>1.6918016515029816E-12</v>
      </c>
      <c r="GC186" s="22">
        <f t="shared" si="186"/>
        <v>3.1457867471021712E-12</v>
      </c>
      <c r="GD186" s="62">
        <f t="shared" si="134"/>
        <v>293.33333333333644</v>
      </c>
      <c r="GE186" s="62">
        <f ca="1">AVERAGE(OFFSET($GD$3,0,0,'Données projet'!$E$17+1,1))-AVERAGE(OFFSET($H$3,0,0,'Données projet'!$E$17+1,1))</f>
        <v>218.89895999738746</v>
      </c>
      <c r="GF186" s="62">
        <f t="shared" si="158"/>
        <v>145.64042897395763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17.840594004275886</v>
      </c>
      <c r="GM186" s="23">
        <f>EXP(-LN(2)/25)*GM185+(1-EXP(-LN(2)/25))/(LN(2)/25)*Calculateur!GH186*Calculateur!GJ186*VLOOKUP('Données projet'!$B$17,Paramètres!$A$1:$I$89,3,0)*0.475*44/12</f>
        <v>0.66590685457775778</v>
      </c>
      <c r="GN186" s="23">
        <f>EXP(-LN(2)/2)*GN185+(1-EXP(-LN(2)/2))/(LN(2)/2)*GH186*GK186*VLOOKUP('Données projet'!$B$17,Paramètres!$A$1:$I$89,3,0)*0.475*44/12</f>
        <v>1.3468998110278735E-17</v>
      </c>
      <c r="GO186" s="23">
        <f t="shared" si="187"/>
        <v>18.506500858853645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1.7053025658242404E-13</v>
      </c>
      <c r="GV186" s="18">
        <f>GU186*VLOOKUP('Données projet'!$B$18,Paramètres!$A$1:$I$89,3,0)*VLOOKUP('Données projet'!$B$18,Paramètres!$A$1:$I$89,5,0)</f>
        <v>1.8355876818532125E-13</v>
      </c>
      <c r="GW186" s="14">
        <f t="shared" si="188"/>
        <v>2.5693529898865504E-12</v>
      </c>
      <c r="GX186" s="22">
        <f t="shared" si="189"/>
        <v>4.7946546453085093E-12</v>
      </c>
      <c r="GY186" s="62">
        <f t="shared" si="137"/>
        <v>293.33333333333809</v>
      </c>
      <c r="GZ186" s="62">
        <f ca="1">AVERAGE(OFFSET($GY$3,0,0,'Données projet'!$E$18+1,1))-AVERAGE(OFFSET($H$3,0,0,'Données projet'!$E$18+1,1))</f>
        <v>331.3579800635751</v>
      </c>
      <c r="HA186" s="62">
        <f t="shared" si="160"/>
        <v>209.40702003535273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23.226433703679952</v>
      </c>
      <c r="HH186" s="23">
        <f>EXP(-LN(2)/25)*HH185+(1-EXP(-LN(2)/25))/(LN(2)/25)*Calculateur!HC186*Calculateur!HE186*VLOOKUP('Données projet'!$B$18,Paramètres!$A$1:$I$89,3,0)*0.475*44/12</f>
        <v>0.86693533897859076</v>
      </c>
      <c r="HI186" s="23">
        <f>EXP(-LN(2)/2)*HI185+(1-EXP(-LN(2)/2))/(LN(2)/2)*HC186*HF186*VLOOKUP('Données projet'!$B$18,Paramètres!$A$1:$I$89,3,0)*0.475*44/12</f>
        <v>2.16130434792843E-17</v>
      </c>
      <c r="HJ186" s="24">
        <f t="shared" si="190"/>
        <v>24.093369042658544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5.0022208597511053E-12</v>
      </c>
      <c r="O187" s="14">
        <f>N187*VLOOKUP('Données projet'!$B$9,Paramètres!$A$1:$I$89,3,0)*VLOOKUP('Données projet'!$B$9,Paramètres!$A$1:$I$89,5,0)</f>
        <v>4.5260094339028E-12</v>
      </c>
      <c r="P187" s="14">
        <f t="shared" si="141"/>
        <v>4.3625683148570328E-11</v>
      </c>
      <c r="Q187" s="22">
        <f t="shared" si="162"/>
        <v>8.3864197914474037E-11</v>
      </c>
      <c r="R187" s="62">
        <f t="shared" si="109"/>
        <v>293.33333333341716</v>
      </c>
      <c r="S187" s="62">
        <f ca="1">AVERAGE(OFFSET($R$3,0,0,'Données projet'!$E$9+1,1))-AVERAGE(OFFSET($H$3,0,0,'Données projet'!$E$9+1,1))</f>
        <v>2472.5049373954762</v>
      </c>
      <c r="T187" s="62">
        <f t="shared" si="142"/>
        <v>286.98388307318311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728.65591138073978</v>
      </c>
      <c r="AA187" s="23">
        <f>EXP(-LN(2)/25)*AA186+(1-EXP(-LN(2)/25))/(LN(2)/25)*Calculateur!V187*Calculateur!X187*VLOOKUP('Données projet'!$B$9,Paramètres!$A$1:$I$89,3,0)*0.475*44/12</f>
        <v>25.870285700127091</v>
      </c>
      <c r="AB187" s="23">
        <f>EXP(-LN(2)/2)*AB186+(1-EXP(-LN(2)/2))/(LN(2)/2)*V187*Y187*VLOOKUP('Données projet'!$B$9,Paramètres!$A$1:$I$89,3,0)*0.475*44/12</f>
        <v>4.9214165851974786E-5</v>
      </c>
      <c r="AC187" s="24">
        <f t="shared" si="163"/>
        <v>754.52624629503271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5.0022208597511053E-12</v>
      </c>
      <c r="AJ187" s="14">
        <f>AI187*VLOOKUP('Données projet'!$B$10,Paramètres!$A$1:$I$89,3,0)*VLOOKUP('Données projet'!$B$10,Paramètres!$A$1:$I$89,5,0)</f>
        <v>5.0722519517876216E-12</v>
      </c>
      <c r="AK187" s="14">
        <f t="shared" si="164"/>
        <v>4.8246688221215311E-11</v>
      </c>
      <c r="AL187" s="22">
        <f t="shared" si="165"/>
        <v>9.2863820801313432E-11</v>
      </c>
      <c r="AM187" s="62">
        <f t="shared" si="113"/>
        <v>293.3333333334262</v>
      </c>
      <c r="AN187" s="62">
        <f ca="1">AVERAGE(OFFSET($AM$3,0,0,'Données projet'!$E$10+1,1))-AVERAGE(OFFSET($H$3,0,0,'Données projet'!$E$10+1,1))</f>
        <v>2761.1400657295467</v>
      </c>
      <c r="AO187" s="62">
        <f t="shared" si="144"/>
        <v>316.41877504316409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816.59714206462172</v>
      </c>
      <c r="AV187" s="23">
        <f>EXP(-LN(2)/25)*AV186+(1-EXP(-LN(2)/25))/(LN(2)/25)*Calculateur!AQ187*Calculateur!AS187*VLOOKUP('Données projet'!$B$10,Paramètres!$A$1:$I$89,3,0)*0.475*44/12</f>
        <v>28.992561560487285</v>
      </c>
      <c r="AW187" s="23">
        <f>EXP(-LN(2)/2)*AW186+(1-EXP(-LN(2)/2))/(LN(2)/2)*AQ187*AT187*VLOOKUP('Données projet'!$B$10,Paramètres!$A$1:$I$89,3,0)*0.475*44/12</f>
        <v>5.5153806558247618E-5</v>
      </c>
      <c r="AX187" s="23">
        <f t="shared" si="166"/>
        <v>845.58975877891555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5.0022208597511053E-12</v>
      </c>
      <c r="BE187" s="14">
        <f>BD187*VLOOKUP('Données projet'!$B$11,Paramètres!$A$1:$I$89,3,0)*VLOOKUP('Données projet'!$B$11,Paramètres!$A$1:$I$89,5,0)</f>
        <v>5.2283212426118558E-12</v>
      </c>
      <c r="BF187" s="14">
        <f t="shared" si="167"/>
        <v>4.9556081821365385E-11</v>
      </c>
      <c r="BG187" s="22">
        <f t="shared" si="168"/>
        <v>9.5416168669760364E-11</v>
      </c>
      <c r="BH187" s="62">
        <f t="shared" si="116"/>
        <v>293.33333333342875</v>
      </c>
      <c r="BI187" s="62">
        <f ca="1">AVERAGE(OFFSET($BH$3,0,0,'Données projet'!$E$11+1,1))-AVERAGE(OFFSET($H$3,0,0,'Données projet'!$E$11+1,1))</f>
        <v>2843.5086223152098</v>
      </c>
      <c r="BJ187" s="62">
        <f t="shared" si="146"/>
        <v>324.81562437645522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841.72320797430268</v>
      </c>
      <c r="BQ187" s="23">
        <f>EXP(-LN(2)/25)*BQ186+(1-EXP(-LN(2)/25))/(LN(2)/25)*Calculateur!BL187*Calculateur!BN187*VLOOKUP('Données projet'!$B$11,Paramètres!$A$1:$I$89,3,0)*0.475*44/12</f>
        <v>29.884640377733042</v>
      </c>
      <c r="BR187" s="23">
        <f>EXP(-LN(2)/2)*BR186+(1-EXP(-LN(2)/2))/(LN(2)/2)*BL187*BO187*VLOOKUP('Données projet'!$B$11,Paramètres!$A$1:$I$89,3,0)*0.475*44/12</f>
        <v>5.6850846760039899E-5</v>
      </c>
      <c r="BS187" s="24">
        <f t="shared" si="169"/>
        <v>871.60790520288242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5.0022208597511053E-12</v>
      </c>
      <c r="BZ187" s="14">
        <f>BY187*VLOOKUP('Données projet'!$B$12,Paramètres!$A$1:$I$89,3,0)*VLOOKUP('Données projet'!$B$12,Paramètres!$A$1:$I$89,5,0)</f>
        <v>4.9942173063755036E-12</v>
      </c>
      <c r="CA187" s="14">
        <f t="shared" si="170"/>
        <v>4.7590239529202817E-11</v>
      </c>
      <c r="CB187" s="22">
        <f t="shared" si="171"/>
        <v>9.1584595655298897E-11</v>
      </c>
      <c r="CC187" s="62">
        <f t="shared" si="119"/>
        <v>293.33333333342489</v>
      </c>
      <c r="CD187" s="62">
        <f ca="1">AVERAGE(OFFSET($CC$3,0,0,'Données projet'!$E$12+1,1))-AVERAGE(OFFSET($H$3,0,0,'Données projet'!$E$12+1,1))</f>
        <v>2719.939926994799</v>
      </c>
      <c r="CE187" s="62">
        <f t="shared" si="148"/>
        <v>312.21824046329749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804.03410910978187</v>
      </c>
      <c r="CL187" s="23">
        <f>EXP(-LN(2)/25)*CL186+(1-EXP(-LN(2)/25))/(LN(2)/25)*Calculateur!CG187*Calculateur!CI187*VLOOKUP('Données projet'!$B$12,Paramètres!$A$1:$I$89,3,0)*0.475*44/12</f>
        <v>28.546522151864394</v>
      </c>
      <c r="CM187" s="23">
        <f>EXP(-LN(2)/2)*CM186+(1-EXP(-LN(2)/2))/(LN(2)/2)*CG187*CJ187*VLOOKUP('Données projet'!$B$12,Paramètres!$A$1:$I$89,3,0)*0.475*44/12</f>
        <v>5.4305286457351467E-5</v>
      </c>
      <c r="CN187" s="24">
        <f t="shared" si="172"/>
        <v>832.58068556693263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1.1368683772161603E-12</v>
      </c>
      <c r="CU187" s="18">
        <f>CT187*VLOOKUP('Données projet'!$B$13,Paramètres!$A$1:$I$89,3,0)*VLOOKUP('Données projet'!$B$13,Paramètres!$A$1:$I$89,5,0)</f>
        <v>9.9316821433603771E-13</v>
      </c>
      <c r="CV187" s="14">
        <f t="shared" si="173"/>
        <v>1.1421454694498936E-11</v>
      </c>
      <c r="CW187" s="22">
        <f t="shared" si="174"/>
        <v>2.1622134899554243E-11</v>
      </c>
      <c r="CX187" s="62">
        <f t="shared" si="122"/>
        <v>293.33333333335491</v>
      </c>
      <c r="CY187" s="62">
        <f ca="1">AVERAGE(OFFSET($CX$3,0,0,'Données projet'!$E$13+1,1))-AVERAGE(OFFSET($H$3,0,0,'Données projet'!$E$13+1,1))</f>
        <v>1036.0130072090849</v>
      </c>
      <c r="CZ187" s="62">
        <f t="shared" si="150"/>
        <v>346.56593355696174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85.384419685152764</v>
      </c>
      <c r="DG187" s="23">
        <f>EXP(-LN(2)/25)*DG186+(1-EXP(-LN(2)/25))/(LN(2)/25)*Calculateur!DB187*Calculateur!DD187*VLOOKUP('Données projet'!$B$13,Paramètres!$A$1:$I$89,3,0)*0.475*44/12</f>
        <v>2.3674256946608394</v>
      </c>
      <c r="DH187" s="23">
        <f>EXP(-LN(2)/2)*DH186+(1-EXP(-LN(2)/2))/(LN(2)/2)*DB187*DE187*VLOOKUP('Données projet'!$B$13,Paramètres!$A$1:$I$89,3,0)*0.475*44/12</f>
        <v>2.0067284633698172E-14</v>
      </c>
      <c r="DI187" s="24">
        <f t="shared" si="175"/>
        <v>87.751845379813616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6.8212102632969618E-13</v>
      </c>
      <c r="DP187" s="18">
        <f>DO187*VLOOKUP('Données projet'!$B$14,Paramètres!$A$1:$I$89,3,0)*VLOOKUP('Données projet'!$B$14,Paramètres!$A$1:$I$89,5,0)</f>
        <v>3.8130565371830017E-13</v>
      </c>
      <c r="DQ187" s="14">
        <f t="shared" si="176"/>
        <v>4.9019074112354236E-12</v>
      </c>
      <c r="DR187" s="22">
        <f t="shared" si="177"/>
        <v>9.2015960881277352E-12</v>
      </c>
      <c r="DS187" s="62">
        <f t="shared" si="125"/>
        <v>293.33333333334252</v>
      </c>
      <c r="DT187" s="62">
        <f ca="1">AVERAGE(OFFSET($DS$3,0,0,'Données projet'!$E$14+1,1))-AVERAGE(OFFSET($H$3,0,0,'Données projet'!$E$14+1,1))</f>
        <v>446.48069057792151</v>
      </c>
      <c r="DU187" s="62">
        <f t="shared" si="152"/>
        <v>561.75656782935948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15.844130793480771</v>
      </c>
      <c r="EB187" s="23">
        <f>EXP(-LN(2)/25)*EB186+(1-EXP(-LN(2)/25))/(LN(2)/25)*Calculateur!DW187*Calculateur!DY187*VLOOKUP('Données projet'!$B$14,Paramètres!$A$1:$I$89,3,0)*0.475*44/12</f>
        <v>2.6035251775300279</v>
      </c>
      <c r="EC187" s="23">
        <f>EXP(-LN(2)/2)*EC186+(1-EXP(-LN(2)/2))/(LN(2)/2)*DW187*DZ187*VLOOKUP('Données projet'!$B$14,Paramètres!$A$1:$I$89,3,0)*0.475*44/12</f>
        <v>2.9096770978349205E-17</v>
      </c>
      <c r="ED187" s="24">
        <f t="shared" si="178"/>
        <v>18.4476559710108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1.7053025658242404E-13</v>
      </c>
      <c r="EK187" s="18">
        <f>EJ187*VLOOKUP('Données projet'!$B$15,Paramètres!$A$1:$I$89,3,0)*VLOOKUP('Données projet'!$B$15,Paramètres!$A$1:$I$89,5,0)</f>
        <v>1.6493686416652052E-13</v>
      </c>
      <c r="EL187" s="14">
        <f t="shared" si="179"/>
        <v>2.3376205369651282E-12</v>
      </c>
      <c r="EM187" s="22">
        <f t="shared" si="180"/>
        <v>4.3586208069709543E-12</v>
      </c>
      <c r="EN187" s="62">
        <f t="shared" si="128"/>
        <v>293.33333333333769</v>
      </c>
      <c r="EO187" s="62">
        <f ca="1">AVERAGE(OFFSET($EN$3,0,0,'Données projet'!$E$15+1,1))-AVERAGE(OFFSET($H$3,0,0,'Données projet'!$E$15+1,1))</f>
        <v>301.18531163828169</v>
      </c>
      <c r="EP187" s="62">
        <f t="shared" si="154"/>
        <v>192.30530273268101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20.46087833825424</v>
      </c>
      <c r="EW187" s="23">
        <f>EXP(-LN(2)/25)*EW186+(1-EXP(-LN(2)/25))/(LN(2)/25)*Calculateur!ER187*Calculateur!ET187*VLOOKUP('Données projet'!$B$15,Paramètres!$A$1:$I$89,3,0)*0.475*44/12</f>
        <v>0.75768398095264533</v>
      </c>
      <c r="EX187" s="23">
        <f>EXP(-LN(2)/2)*EX186+(1-EXP(-LN(2)/2))/(LN(2)/2)*ER187*EU187*VLOOKUP('Données projet'!$B$15,Paramètres!$A$1:$I$89,3,0)*0.475*44/12</f>
        <v>1.3732307762166221E-17</v>
      </c>
      <c r="EY187" s="24">
        <f t="shared" si="181"/>
        <v>21.218562319206885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1.7053025658242404E-13</v>
      </c>
      <c r="FF187" s="18">
        <f>FE187*VLOOKUP('Données projet'!$B$16,Paramètres!$A$1:$I$89,3,0)*VLOOKUP('Données projet'!$B$16,Paramètres!$A$1:$I$89,5,0)</f>
        <v>1.3301360013429075E-13</v>
      </c>
      <c r="FG187" s="14">
        <f t="shared" si="182"/>
        <v>1.9329766731057041E-12</v>
      </c>
      <c r="FH187" s="22">
        <f t="shared" si="183"/>
        <v>3.5982663925596575E-12</v>
      </c>
      <c r="FI187" s="62">
        <f t="shared" si="131"/>
        <v>293.3333333333369</v>
      </c>
      <c r="FJ187" s="62">
        <f ca="1">AVERAGE(OFFSET($FI$3,0,0,'Données projet'!$E$16+1,1))-AVERAGE(OFFSET($H$3,0,0,'Données projet'!$E$16+1,1))</f>
        <v>249.2899297828755</v>
      </c>
      <c r="FK187" s="62">
        <f t="shared" si="156"/>
        <v>162.88011837476813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16.500708337301816</v>
      </c>
      <c r="FR187" s="23">
        <f>EXP(-LN(2)/25)*FR186+(1-EXP(-LN(2)/25))/(LN(2)/25)*Calculateur!FM187*Calculateur!FO187*VLOOKUP('Données projet'!$B$16,Paramètres!$A$1:$I$89,3,0)*0.475*44/12</f>
        <v>0.61103546851019652</v>
      </c>
      <c r="FS187" s="23">
        <f>EXP(-LN(2)/2)*FS186+(1-EXP(-LN(2)/2))/(LN(2)/2)*FM187*FP187*VLOOKUP('Données projet'!$B$16,Paramètres!$A$1:$I$89,3,0)*0.475*44/12</f>
        <v>1.1074441743682331E-17</v>
      </c>
      <c r="FT187" s="24">
        <f t="shared" si="184"/>
        <v>17.111743805812011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1.7053025658242404E-13</v>
      </c>
      <c r="GA187" s="18">
        <f>FZ187*VLOOKUP('Données projet'!$B$17,Paramètres!$A$1:$I$89,3,0)*VLOOKUP('Données projet'!$B$17,Paramètres!$A$1:$I$89,5,0)</f>
        <v>1.1439169611549005E-13</v>
      </c>
      <c r="GB187" s="14">
        <f t="shared" si="185"/>
        <v>1.6918016515029816E-12</v>
      </c>
      <c r="GC187" s="22">
        <f t="shared" si="186"/>
        <v>3.1457867471021712E-12</v>
      </c>
      <c r="GD187" s="62">
        <f t="shared" si="134"/>
        <v>293.33333333333644</v>
      </c>
      <c r="GE187" s="62">
        <f ca="1">AVERAGE(OFFSET($GD$3,0,0,'Données projet'!$E$17+1,1))-AVERAGE(OFFSET($H$3,0,0,'Données projet'!$E$17+1,1))</f>
        <v>218.89895999738746</v>
      </c>
      <c r="GF187" s="62">
        <f t="shared" si="158"/>
        <v>145.64042897395763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17.490750837539899</v>
      </c>
      <c r="GM187" s="23">
        <f>EXP(-LN(2)/25)*GM186+(1-EXP(-LN(2)/25))/(LN(2)/25)*Calculateur!GH187*Calculateur!GJ187*VLOOKUP('Données projet'!$B$17,Paramètres!$A$1:$I$89,3,0)*0.475*44/12</f>
        <v>0.6476975966208095</v>
      </c>
      <c r="GN187" s="23">
        <f>EXP(-LN(2)/2)*GN186+(1-EXP(-LN(2)/2))/(LN(2)/2)*GH187*GK187*VLOOKUP('Données projet'!$B$17,Paramètres!$A$1:$I$89,3,0)*0.475*44/12</f>
        <v>9.5240198995668878E-18</v>
      </c>
      <c r="GO187" s="23">
        <f t="shared" si="187"/>
        <v>18.138448434160708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1.7053025658242404E-13</v>
      </c>
      <c r="GV187" s="18">
        <f>GU187*VLOOKUP('Données projet'!$B$18,Paramètres!$A$1:$I$89,3,0)*VLOOKUP('Données projet'!$B$18,Paramètres!$A$1:$I$89,5,0)</f>
        <v>1.8355876818532125E-13</v>
      </c>
      <c r="GW187" s="14">
        <f t="shared" si="188"/>
        <v>2.5693529898865504E-12</v>
      </c>
      <c r="GX187" s="22">
        <f t="shared" si="189"/>
        <v>4.7946546453085093E-12</v>
      </c>
      <c r="GY187" s="62">
        <f t="shared" si="137"/>
        <v>293.33333333333809</v>
      </c>
      <c r="GZ187" s="62">
        <f ca="1">AVERAGE(OFFSET($GY$3,0,0,'Données projet'!$E$18+1,1))-AVERAGE(OFFSET($H$3,0,0,'Données projet'!$E$18+1,1))</f>
        <v>331.3579800635751</v>
      </c>
      <c r="HA187" s="62">
        <f t="shared" si="160"/>
        <v>209.40702003535273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22.770977505476498</v>
      </c>
      <c r="HH187" s="23">
        <f>EXP(-LN(2)/25)*HH186+(1-EXP(-LN(2)/25))/(LN(2)/25)*Calculateur!HC187*Calculateur!HE187*VLOOKUP('Données projet'!$B$18,Paramètres!$A$1:$I$89,3,0)*0.475*44/12</f>
        <v>0.8432289465440731</v>
      </c>
      <c r="HI187" s="23">
        <f>EXP(-LN(2)/2)*HI186+(1-EXP(-LN(2)/2))/(LN(2)/2)*HC187*HF187*VLOOKUP('Données projet'!$B$18,Paramètres!$A$1:$I$89,3,0)*0.475*44/12</f>
        <v>1.5282729606281621E-17</v>
      </c>
      <c r="HJ187" s="24">
        <f t="shared" si="190"/>
        <v>23.614206452020571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5.0022208597511053E-12</v>
      </c>
      <c r="O188" s="14">
        <f>N188*VLOOKUP('Données projet'!$B$9,Paramètres!$A$1:$I$89,3,0)*VLOOKUP('Données projet'!$B$9,Paramètres!$A$1:$I$89,5,0)</f>
        <v>4.5260094339028E-12</v>
      </c>
      <c r="P188" s="14">
        <f t="shared" si="141"/>
        <v>4.3625683148570328E-11</v>
      </c>
      <c r="Q188" s="22">
        <f t="shared" si="162"/>
        <v>8.3864197914474037E-11</v>
      </c>
      <c r="R188" s="62">
        <f t="shared" si="109"/>
        <v>293.33333333341716</v>
      </c>
      <c r="S188" s="62">
        <f ca="1">AVERAGE(OFFSET($R$3,0,0,'Données projet'!$E$9+1,1))-AVERAGE(OFFSET($H$3,0,0,'Données projet'!$E$9+1,1))</f>
        <v>2472.5049373954762</v>
      </c>
      <c r="T188" s="62">
        <f t="shared" si="142"/>
        <v>286.98388307318311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714.36741339478499</v>
      </c>
      <c r="AA188" s="23">
        <f>EXP(-LN(2)/25)*AA187+(1-EXP(-LN(2)/25))/(LN(2)/25)*Calculateur!V188*Calculateur!X188*VLOOKUP('Données projet'!$B$9,Paramètres!$A$1:$I$89,3,0)*0.475*44/12</f>
        <v>25.162861377197917</v>
      </c>
      <c r="AB188" s="23">
        <f>EXP(-LN(2)/2)*AB187+(1-EXP(-LN(2)/2))/(LN(2)/2)*V188*Y188*VLOOKUP('Données projet'!$B$9,Paramètres!$A$1:$I$89,3,0)*0.475*44/12</f>
        <v>3.4799670404370794E-5</v>
      </c>
      <c r="AC188" s="24">
        <f t="shared" si="163"/>
        <v>739.53030957165333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5.0022208597511053E-12</v>
      </c>
      <c r="AJ188" s="14">
        <f>AI188*VLOOKUP('Données projet'!$B$10,Paramètres!$A$1:$I$89,3,0)*VLOOKUP('Données projet'!$B$10,Paramètres!$A$1:$I$89,5,0)</f>
        <v>5.0722519517876216E-12</v>
      </c>
      <c r="AK188" s="14">
        <f t="shared" si="164"/>
        <v>4.8246688221215311E-11</v>
      </c>
      <c r="AL188" s="22">
        <f t="shared" si="165"/>
        <v>9.2863820801313432E-11</v>
      </c>
      <c r="AM188" s="62">
        <f t="shared" si="113"/>
        <v>293.3333333334262</v>
      </c>
      <c r="AN188" s="62">
        <f ca="1">AVERAGE(OFFSET($AM$3,0,0,'Données projet'!$E$10+1,1))-AVERAGE(OFFSET($H$3,0,0,'Données projet'!$E$10+1,1))</f>
        <v>2761.1400657295467</v>
      </c>
      <c r="AO188" s="62">
        <f t="shared" si="144"/>
        <v>316.41877504316409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800.58417018381033</v>
      </c>
      <c r="AV188" s="23">
        <f>EXP(-LN(2)/25)*AV187+(1-EXP(-LN(2)/25))/(LN(2)/25)*Calculateur!AQ188*Calculateur!AS188*VLOOKUP('Données projet'!$B$10,Paramètres!$A$1:$I$89,3,0)*0.475*44/12</f>
        <v>28.199758439963212</v>
      </c>
      <c r="AW188" s="23">
        <f>EXP(-LN(2)/2)*AW187+(1-EXP(-LN(2)/2))/(LN(2)/2)*AQ188*AT188*VLOOKUP('Données projet'!$B$10,Paramètres!$A$1:$I$89,3,0)*0.475*44/12</f>
        <v>3.8999630625587968E-5</v>
      </c>
      <c r="AX188" s="23">
        <f t="shared" si="166"/>
        <v>828.78396762340424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5.0022208597511053E-12</v>
      </c>
      <c r="BE188" s="14">
        <f>BD188*VLOOKUP('Données projet'!$B$11,Paramètres!$A$1:$I$89,3,0)*VLOOKUP('Données projet'!$B$11,Paramètres!$A$1:$I$89,5,0)</f>
        <v>5.2283212426118558E-12</v>
      </c>
      <c r="BF188" s="14">
        <f t="shared" si="167"/>
        <v>4.9556081821365385E-11</v>
      </c>
      <c r="BG188" s="22">
        <f t="shared" si="168"/>
        <v>9.5416168669760364E-11</v>
      </c>
      <c r="BH188" s="62">
        <f t="shared" si="116"/>
        <v>293.33333333342875</v>
      </c>
      <c r="BI188" s="62">
        <f ca="1">AVERAGE(OFFSET($BH$3,0,0,'Données projet'!$E$11+1,1))-AVERAGE(OFFSET($H$3,0,0,'Données projet'!$E$11+1,1))</f>
        <v>2843.5086223152098</v>
      </c>
      <c r="BJ188" s="62">
        <f t="shared" si="146"/>
        <v>324.81562437645522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825.21752926638942</v>
      </c>
      <c r="BQ188" s="23">
        <f>EXP(-LN(2)/25)*BQ187+(1-EXP(-LN(2)/25))/(LN(2)/25)*Calculateur!BL188*Calculateur!BN188*VLOOKUP('Données projet'!$B$11,Paramètres!$A$1:$I$89,3,0)*0.475*44/12</f>
        <v>29.067443315038997</v>
      </c>
      <c r="BR188" s="23">
        <f>EXP(-LN(2)/2)*BR187+(1-EXP(-LN(2)/2))/(LN(2)/2)*BL188*BO188*VLOOKUP('Données projet'!$B$11,Paramètres!$A$1:$I$89,3,0)*0.475*44/12</f>
        <v>4.0199619260221477E-5</v>
      </c>
      <c r="BS188" s="24">
        <f t="shared" si="169"/>
        <v>854.28501278104761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5.0022208597511053E-12</v>
      </c>
      <c r="BZ188" s="14">
        <f>BY188*VLOOKUP('Données projet'!$B$12,Paramètres!$A$1:$I$89,3,0)*VLOOKUP('Données projet'!$B$12,Paramètres!$A$1:$I$89,5,0)</f>
        <v>4.9942173063755036E-12</v>
      </c>
      <c r="CA188" s="14">
        <f t="shared" si="170"/>
        <v>4.7590239529202817E-11</v>
      </c>
      <c r="CB188" s="22">
        <f t="shared" si="171"/>
        <v>9.1584595655298897E-11</v>
      </c>
      <c r="CC188" s="62">
        <f t="shared" si="119"/>
        <v>293.33333333342489</v>
      </c>
      <c r="CD188" s="62">
        <f ca="1">AVERAGE(OFFSET($CC$3,0,0,'Données projet'!$E$12+1,1))-AVERAGE(OFFSET($H$3,0,0,'Données projet'!$E$12+1,1))</f>
        <v>2719.939926994799</v>
      </c>
      <c r="CE188" s="62">
        <f t="shared" si="148"/>
        <v>312.21824046329749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788.26749064252135</v>
      </c>
      <c r="CL188" s="23">
        <f>EXP(-LN(2)/25)*CL187+(1-EXP(-LN(2)/25))/(LN(2)/25)*Calculateur!CG188*Calculateur!CI188*VLOOKUP('Données projet'!$B$12,Paramètres!$A$1:$I$89,3,0)*0.475*44/12</f>
        <v>27.765916002425307</v>
      </c>
      <c r="CM188" s="23">
        <f>EXP(-LN(2)/2)*CM187+(1-EXP(-LN(2)/2))/(LN(2)/2)*CG188*CJ188*VLOOKUP('Données projet'!$B$12,Paramètres!$A$1:$I$89,3,0)*0.475*44/12</f>
        <v>3.8399636308271206E-5</v>
      </c>
      <c r="CN188" s="24">
        <f t="shared" si="172"/>
        <v>816.033445044583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1.1368683772161603E-12</v>
      </c>
      <c r="CU188" s="18">
        <f>CT188*VLOOKUP('Données projet'!$B$13,Paramètres!$A$1:$I$89,3,0)*VLOOKUP('Données projet'!$B$13,Paramètres!$A$1:$I$89,5,0)</f>
        <v>9.9316821433603771E-13</v>
      </c>
      <c r="CV188" s="14">
        <f t="shared" si="173"/>
        <v>1.1421454694498936E-11</v>
      </c>
      <c r="CW188" s="22">
        <f t="shared" si="174"/>
        <v>2.1622134899554243E-11</v>
      </c>
      <c r="CX188" s="62">
        <f t="shared" si="122"/>
        <v>293.33333333335491</v>
      </c>
      <c r="CY188" s="62">
        <f ca="1">AVERAGE(OFFSET($CX$3,0,0,'Données projet'!$E$13+1,1))-AVERAGE(OFFSET($H$3,0,0,'Données projet'!$E$13+1,1))</f>
        <v>1036.0130072090849</v>
      </c>
      <c r="CZ188" s="62">
        <f t="shared" si="150"/>
        <v>346.56593355696174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83.710083294480512</v>
      </c>
      <c r="DG188" s="23">
        <f>EXP(-LN(2)/25)*DG187+(1-EXP(-LN(2)/25))/(LN(2)/25)*Calculateur!DB188*Calculateur!DD188*VLOOKUP('Données projet'!$B$13,Paramètres!$A$1:$I$89,3,0)*0.475*44/12</f>
        <v>2.3026883145428325</v>
      </c>
      <c r="DH188" s="23">
        <f>EXP(-LN(2)/2)*DH187+(1-EXP(-LN(2)/2))/(LN(2)/2)*DB188*DE188*VLOOKUP('Données projet'!$B$13,Paramètres!$A$1:$I$89,3,0)*0.475*44/12</f>
        <v>1.4189713044488581E-14</v>
      </c>
      <c r="DI188" s="24">
        <f t="shared" si="175"/>
        <v>86.01277160902336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6.8212102632969618E-13</v>
      </c>
      <c r="DP188" s="18">
        <f>DO188*VLOOKUP('Données projet'!$B$14,Paramètres!$A$1:$I$89,3,0)*VLOOKUP('Données projet'!$B$14,Paramètres!$A$1:$I$89,5,0)</f>
        <v>3.8130565371830017E-13</v>
      </c>
      <c r="DQ188" s="14">
        <f t="shared" si="176"/>
        <v>4.9019074112354236E-12</v>
      </c>
      <c r="DR188" s="22">
        <f t="shared" si="177"/>
        <v>9.2015960881277352E-12</v>
      </c>
      <c r="DS188" s="62">
        <f t="shared" si="125"/>
        <v>293.33333333334252</v>
      </c>
      <c r="DT188" s="62">
        <f ca="1">AVERAGE(OFFSET($DS$3,0,0,'Données projet'!$E$14+1,1))-AVERAGE(OFFSET($H$3,0,0,'Données projet'!$E$14+1,1))</f>
        <v>446.48069057792151</v>
      </c>
      <c r="DU188" s="62">
        <f t="shared" si="152"/>
        <v>561.75656782935948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15.533437052586159</v>
      </c>
      <c r="EB188" s="23">
        <f>EXP(-LN(2)/25)*EB187+(1-EXP(-LN(2)/25))/(LN(2)/25)*Calculateur!DW188*Calculateur!DY188*VLOOKUP('Données projet'!$B$14,Paramètres!$A$1:$I$89,3,0)*0.475*44/12</f>
        <v>2.5323316446370305</v>
      </c>
      <c r="EC188" s="23">
        <f>EXP(-LN(2)/2)*EC187+(1-EXP(-LN(2)/2))/(LN(2)/2)*DW188*DZ188*VLOOKUP('Données projet'!$B$14,Paramètres!$A$1:$I$89,3,0)*0.475*44/12</f>
        <v>2.0574524069422658E-17</v>
      </c>
      <c r="ED188" s="24">
        <f t="shared" si="178"/>
        <v>18.065768697223188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1.7053025658242404E-13</v>
      </c>
      <c r="EK188" s="18">
        <f>EJ188*VLOOKUP('Données projet'!$B$15,Paramètres!$A$1:$I$89,3,0)*VLOOKUP('Données projet'!$B$15,Paramètres!$A$1:$I$89,5,0)</f>
        <v>1.6493686416652052E-13</v>
      </c>
      <c r="EL188" s="14">
        <f t="shared" si="179"/>
        <v>2.3376205369651282E-12</v>
      </c>
      <c r="EM188" s="22">
        <f t="shared" si="180"/>
        <v>4.3586208069709543E-12</v>
      </c>
      <c r="EN188" s="62">
        <f t="shared" si="128"/>
        <v>293.33333333333769</v>
      </c>
      <c r="EO188" s="62">
        <f ca="1">AVERAGE(OFFSET($EN$3,0,0,'Données projet'!$E$15+1,1))-AVERAGE(OFFSET($H$3,0,0,'Données projet'!$E$15+1,1))</f>
        <v>301.18531163828169</v>
      </c>
      <c r="EP188" s="62">
        <f t="shared" si="154"/>
        <v>192.30530273268101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20.059652993944571</v>
      </c>
      <c r="EW188" s="23">
        <f>EXP(-LN(2)/25)*EW187+(1-EXP(-LN(2)/25))/(LN(2)/25)*Calculateur!ER188*Calculateur!ET188*VLOOKUP('Données projet'!$B$15,Paramètres!$A$1:$I$89,3,0)*0.475*44/12</f>
        <v>0.73696507264862643</v>
      </c>
      <c r="EX188" s="23">
        <f>EXP(-LN(2)/2)*EX187+(1-EXP(-LN(2)/2))/(LN(2)/2)*ER188*EU188*VLOOKUP('Données projet'!$B$15,Paramètres!$A$1:$I$89,3,0)*0.475*44/12</f>
        <v>9.7102079399683986E-18</v>
      </c>
      <c r="EY188" s="24">
        <f t="shared" si="181"/>
        <v>20.796618066593197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1.7053025658242404E-13</v>
      </c>
      <c r="FF188" s="18">
        <f>FE188*VLOOKUP('Données projet'!$B$16,Paramètres!$A$1:$I$89,3,0)*VLOOKUP('Données projet'!$B$16,Paramètres!$A$1:$I$89,5,0)</f>
        <v>1.3301360013429075E-13</v>
      </c>
      <c r="FG188" s="14">
        <f t="shared" si="182"/>
        <v>1.9329766731057041E-12</v>
      </c>
      <c r="FH188" s="22">
        <f t="shared" si="183"/>
        <v>3.5982663925596575E-12</v>
      </c>
      <c r="FI188" s="62">
        <f t="shared" si="131"/>
        <v>293.3333333333369</v>
      </c>
      <c r="FJ188" s="62">
        <f ca="1">AVERAGE(OFFSET($FI$3,0,0,'Données projet'!$E$16+1,1))-AVERAGE(OFFSET($H$3,0,0,'Données projet'!$E$16+1,1))</f>
        <v>249.2899297828755</v>
      </c>
      <c r="FK188" s="62">
        <f t="shared" si="156"/>
        <v>162.88011837476813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16.177139511245631</v>
      </c>
      <c r="FR188" s="23">
        <f>EXP(-LN(2)/25)*FR187+(1-EXP(-LN(2)/25))/(LN(2)/25)*Calculateur!FM188*Calculateur!FO188*VLOOKUP('Données projet'!$B$16,Paramètres!$A$1:$I$89,3,0)*0.475*44/12</f>
        <v>0.59432667149082641</v>
      </c>
      <c r="FS188" s="23">
        <f>EXP(-LN(2)/2)*FS187+(1-EXP(-LN(2)/2))/(LN(2)/2)*FM188*FP188*VLOOKUP('Données projet'!$B$16,Paramètres!$A$1:$I$89,3,0)*0.475*44/12</f>
        <v>7.83081285481315E-18</v>
      </c>
      <c r="FT188" s="24">
        <f t="shared" si="184"/>
        <v>16.771466182736457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1.7053025658242404E-13</v>
      </c>
      <c r="GA188" s="18">
        <f>FZ188*VLOOKUP('Données projet'!$B$17,Paramètres!$A$1:$I$89,3,0)*VLOOKUP('Données projet'!$B$17,Paramètres!$A$1:$I$89,5,0)</f>
        <v>1.1439169611549005E-13</v>
      </c>
      <c r="GB188" s="14">
        <f t="shared" si="185"/>
        <v>1.6918016515029816E-12</v>
      </c>
      <c r="GC188" s="22">
        <f t="shared" si="186"/>
        <v>3.1457867471021712E-12</v>
      </c>
      <c r="GD188" s="62">
        <f t="shared" si="134"/>
        <v>293.33333333333644</v>
      </c>
      <c r="GE188" s="62">
        <f ca="1">AVERAGE(OFFSET($GD$3,0,0,'Données projet'!$E$17+1,1))-AVERAGE(OFFSET($H$3,0,0,'Données projet'!$E$17+1,1))</f>
        <v>218.89895999738746</v>
      </c>
      <c r="GF188" s="62">
        <f t="shared" si="158"/>
        <v>145.64042897395763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17.147767881920345</v>
      </c>
      <c r="GM188" s="23">
        <f>EXP(-LN(2)/25)*GM187+(1-EXP(-LN(2)/25))/(LN(2)/25)*Calculateur!GH188*Calculateur!GJ188*VLOOKUP('Données projet'!$B$17,Paramètres!$A$1:$I$89,3,0)*0.475*44/12</f>
        <v>0.62998627178027722</v>
      </c>
      <c r="GN188" s="23">
        <f>EXP(-LN(2)/2)*GN187+(1-EXP(-LN(2)/2))/(LN(2)/2)*GH188*GK188*VLOOKUP('Données projet'!$B$17,Paramètres!$A$1:$I$89,3,0)*0.475*44/12</f>
        <v>6.7344990551393677E-18</v>
      </c>
      <c r="GO188" s="23">
        <f t="shared" si="187"/>
        <v>17.777754153700624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1.7053025658242404E-13</v>
      </c>
      <c r="GV188" s="18">
        <f>GU188*VLOOKUP('Données projet'!$B$18,Paramètres!$A$1:$I$89,3,0)*VLOOKUP('Données projet'!$B$18,Paramètres!$A$1:$I$89,5,0)</f>
        <v>1.8355876818532125E-13</v>
      </c>
      <c r="GW188" s="14">
        <f t="shared" si="188"/>
        <v>2.5693529898865504E-12</v>
      </c>
      <c r="GX188" s="22">
        <f t="shared" si="189"/>
        <v>4.7946546453085093E-12</v>
      </c>
      <c r="GY188" s="62">
        <f t="shared" si="137"/>
        <v>293.33333333333809</v>
      </c>
      <c r="GZ188" s="62">
        <f ca="1">AVERAGE(OFFSET($GY$3,0,0,'Données projet'!$E$18+1,1))-AVERAGE(OFFSET($H$3,0,0,'Données projet'!$E$18+1,1))</f>
        <v>331.3579800635751</v>
      </c>
      <c r="HA188" s="62">
        <f t="shared" si="160"/>
        <v>209.40702003535273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22.324452525518964</v>
      </c>
      <c r="HH188" s="23">
        <f>EXP(-LN(2)/25)*HH187+(1-EXP(-LN(2)/25))/(LN(2)/25)*Calculateur!HC188*Calculateur!HE188*VLOOKUP('Données projet'!$B$18,Paramètres!$A$1:$I$89,3,0)*0.475*44/12</f>
        <v>0.82017080665734232</v>
      </c>
      <c r="HI188" s="23">
        <f>EXP(-LN(2)/2)*HI187+(1-EXP(-LN(2)/2))/(LN(2)/2)*HC188*HF188*VLOOKUP('Données projet'!$B$18,Paramètres!$A$1:$I$89,3,0)*0.475*44/12</f>
        <v>1.080652173964215E-17</v>
      </c>
      <c r="HJ188" s="24">
        <f t="shared" si="190"/>
        <v>23.144623332176305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5.0022208597511053E-12</v>
      </c>
      <c r="O189" s="14">
        <f>N189*VLOOKUP('Données projet'!$B$9,Paramètres!$A$1:$I$89,3,0)*VLOOKUP('Données projet'!$B$9,Paramètres!$A$1:$I$89,5,0)</f>
        <v>4.5260094339028E-12</v>
      </c>
      <c r="P189" s="14">
        <f t="shared" si="141"/>
        <v>4.3625683148570328E-11</v>
      </c>
      <c r="Q189" s="22">
        <f t="shared" si="162"/>
        <v>8.3864197914474037E-11</v>
      </c>
      <c r="R189" s="62">
        <f t="shared" si="109"/>
        <v>293.33333333341716</v>
      </c>
      <c r="S189" s="62">
        <f ca="1">AVERAGE(OFFSET($R$3,0,0,'Données projet'!$E$9+1,1))-AVERAGE(OFFSET($H$3,0,0,'Données projet'!$E$9+1,1))</f>
        <v>2472.5049373954762</v>
      </c>
      <c r="T189" s="62">
        <f t="shared" si="142"/>
        <v>286.98388307318311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700.35910413921158</v>
      </c>
      <c r="AA189" s="23">
        <f>EXP(-LN(2)/25)*AA188+(1-EXP(-LN(2)/25))/(LN(2)/25)*Calculateur!V189*Calculateur!X189*VLOOKUP('Données projet'!$B$9,Paramètres!$A$1:$I$89,3,0)*0.475*44/12</f>
        <v>24.474781609581072</v>
      </c>
      <c r="AB189" s="23">
        <f>EXP(-LN(2)/2)*AB188+(1-EXP(-LN(2)/2))/(LN(2)/2)*V189*Y189*VLOOKUP('Données projet'!$B$9,Paramètres!$A$1:$I$89,3,0)*0.475*44/12</f>
        <v>2.4607082925987393E-5</v>
      </c>
      <c r="AC189" s="24">
        <f t="shared" si="163"/>
        <v>724.83391035587556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5.0022208597511053E-12</v>
      </c>
      <c r="AJ189" s="14">
        <f>AI189*VLOOKUP('Données projet'!$B$10,Paramètres!$A$1:$I$89,3,0)*VLOOKUP('Données projet'!$B$10,Paramètres!$A$1:$I$89,5,0)</f>
        <v>5.0722519517876216E-12</v>
      </c>
      <c r="AK189" s="14">
        <f t="shared" si="164"/>
        <v>4.8246688221215311E-11</v>
      </c>
      <c r="AL189" s="22">
        <f t="shared" si="165"/>
        <v>9.2863820801313432E-11</v>
      </c>
      <c r="AM189" s="62">
        <f t="shared" si="113"/>
        <v>293.3333333334262</v>
      </c>
      <c r="AN189" s="62">
        <f ca="1">AVERAGE(OFFSET($AM$3,0,0,'Données projet'!$E$10+1,1))-AVERAGE(OFFSET($H$3,0,0,'Données projet'!$E$10+1,1))</f>
        <v>2761.1400657295467</v>
      </c>
      <c r="AO189" s="62">
        <f t="shared" si="144"/>
        <v>316.41877504316409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784.88520291463317</v>
      </c>
      <c r="AV189" s="23">
        <f>EXP(-LN(2)/25)*AV188+(1-EXP(-LN(2)/25))/(LN(2)/25)*Calculateur!AQ189*Calculateur!AS189*VLOOKUP('Données projet'!$B$10,Paramètres!$A$1:$I$89,3,0)*0.475*44/12</f>
        <v>27.428634562461571</v>
      </c>
      <c r="AW189" s="23">
        <f>EXP(-LN(2)/2)*AW188+(1-EXP(-LN(2)/2))/(LN(2)/2)*AQ189*AT189*VLOOKUP('Données projet'!$B$10,Paramètres!$A$1:$I$89,3,0)*0.475*44/12</f>
        <v>2.7576903279123809E-5</v>
      </c>
      <c r="AX189" s="23">
        <f t="shared" si="166"/>
        <v>812.31386505399803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5.0022208597511053E-12</v>
      </c>
      <c r="BE189" s="14">
        <f>BD189*VLOOKUP('Données projet'!$B$11,Paramètres!$A$1:$I$89,3,0)*VLOOKUP('Données projet'!$B$11,Paramètres!$A$1:$I$89,5,0)</f>
        <v>5.2283212426118558E-12</v>
      </c>
      <c r="BF189" s="14">
        <f t="shared" si="167"/>
        <v>4.9556081821365385E-11</v>
      </c>
      <c r="BG189" s="22">
        <f t="shared" si="168"/>
        <v>9.5416168669760364E-11</v>
      </c>
      <c r="BH189" s="62">
        <f t="shared" si="116"/>
        <v>293.33333333342875</v>
      </c>
      <c r="BI189" s="62">
        <f ca="1">AVERAGE(OFFSET($BH$3,0,0,'Données projet'!$E$11+1,1))-AVERAGE(OFFSET($H$3,0,0,'Données projet'!$E$11+1,1))</f>
        <v>2843.5086223152098</v>
      </c>
      <c r="BJ189" s="62">
        <f t="shared" si="146"/>
        <v>324.81562437645522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809.03551685046841</v>
      </c>
      <c r="BQ189" s="23">
        <f>EXP(-LN(2)/25)*BQ188+(1-EXP(-LN(2)/25))/(LN(2)/25)*Calculateur!BL189*Calculateur!BN189*VLOOKUP('Données projet'!$B$11,Paramètres!$A$1:$I$89,3,0)*0.475*44/12</f>
        <v>28.272592548998844</v>
      </c>
      <c r="BR189" s="23">
        <f>EXP(-LN(2)/2)*BR188+(1-EXP(-LN(2)/2))/(LN(2)/2)*BL189*BO189*VLOOKUP('Données projet'!$B$11,Paramètres!$A$1:$I$89,3,0)*0.475*44/12</f>
        <v>2.842542338001995E-5</v>
      </c>
      <c r="BS189" s="24">
        <f t="shared" si="169"/>
        <v>837.30813782489065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5.0022208597511053E-12</v>
      </c>
      <c r="BZ189" s="14">
        <f>BY189*VLOOKUP('Données projet'!$B$12,Paramètres!$A$1:$I$89,3,0)*VLOOKUP('Données projet'!$B$12,Paramètres!$A$1:$I$89,5,0)</f>
        <v>4.9942173063755036E-12</v>
      </c>
      <c r="CA189" s="14">
        <f t="shared" si="170"/>
        <v>4.7590239529202817E-11</v>
      </c>
      <c r="CB189" s="22">
        <f t="shared" si="171"/>
        <v>9.1584595655298897E-11</v>
      </c>
      <c r="CC189" s="62">
        <f t="shared" si="119"/>
        <v>293.33333333342489</v>
      </c>
      <c r="CD189" s="62">
        <f ca="1">AVERAGE(OFFSET($CC$3,0,0,'Données projet'!$E$12+1,1))-AVERAGE(OFFSET($H$3,0,0,'Données projet'!$E$12+1,1))</f>
        <v>2719.939926994799</v>
      </c>
      <c r="CE189" s="62">
        <f t="shared" si="148"/>
        <v>312.21824046329749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772.81004594671617</v>
      </c>
      <c r="CL189" s="23">
        <f>EXP(-LN(2)/25)*CL188+(1-EXP(-LN(2)/25))/(LN(2)/25)*Calculateur!CG189*Calculateur!CI189*VLOOKUP('Données projet'!$B$12,Paramètres!$A$1:$I$89,3,0)*0.475*44/12</f>
        <v>27.006655569192922</v>
      </c>
      <c r="CM189" s="23">
        <f>EXP(-LN(2)/2)*CM188+(1-EXP(-LN(2)/2))/(LN(2)/2)*CG189*CJ189*VLOOKUP('Données projet'!$B$12,Paramètres!$A$1:$I$89,3,0)*0.475*44/12</f>
        <v>2.7152643228675734E-5</v>
      </c>
      <c r="CN189" s="24">
        <f t="shared" si="172"/>
        <v>799.8167286685524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1.1368683772161603E-12</v>
      </c>
      <c r="CU189" s="18">
        <f>CT189*VLOOKUP('Données projet'!$B$13,Paramètres!$A$1:$I$89,3,0)*VLOOKUP('Données projet'!$B$13,Paramètres!$A$1:$I$89,5,0)</f>
        <v>9.9316821433603771E-13</v>
      </c>
      <c r="CV189" s="14">
        <f t="shared" si="173"/>
        <v>1.1421454694498936E-11</v>
      </c>
      <c r="CW189" s="22">
        <f t="shared" si="174"/>
        <v>2.1622134899554243E-11</v>
      </c>
      <c r="CX189" s="62">
        <f t="shared" si="122"/>
        <v>293.33333333335491</v>
      </c>
      <c r="CY189" s="62">
        <f ca="1">AVERAGE(OFFSET($CX$3,0,0,'Données projet'!$E$13+1,1))-AVERAGE(OFFSET($H$3,0,0,'Données projet'!$E$13+1,1))</f>
        <v>1036.0130072090849</v>
      </c>
      <c r="CZ189" s="62">
        <f t="shared" si="150"/>
        <v>346.56593355696174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82.068579619184987</v>
      </c>
      <c r="DG189" s="23">
        <f>EXP(-LN(2)/25)*DG188+(1-EXP(-LN(2)/25))/(LN(2)/25)*Calculateur!DB189*Calculateur!DD189*VLOOKUP('Données projet'!$B$13,Paramètres!$A$1:$I$89,3,0)*0.475*44/12</f>
        <v>2.2397211814885432</v>
      </c>
      <c r="DH189" s="23">
        <f>EXP(-LN(2)/2)*DH188+(1-EXP(-LN(2)/2))/(LN(2)/2)*DB189*DE189*VLOOKUP('Données projet'!$B$13,Paramètres!$A$1:$I$89,3,0)*0.475*44/12</f>
        <v>1.0033642316849087E-14</v>
      </c>
      <c r="DI189" s="24">
        <f t="shared" si="175"/>
        <v>84.30830080067355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6.8212102632969618E-13</v>
      </c>
      <c r="DP189" s="18">
        <f>DO189*VLOOKUP('Données projet'!$B$14,Paramètres!$A$1:$I$89,3,0)*VLOOKUP('Données projet'!$B$14,Paramètres!$A$1:$I$89,5,0)</f>
        <v>3.8130565371830017E-13</v>
      </c>
      <c r="DQ189" s="14">
        <f t="shared" si="176"/>
        <v>4.9019074112354236E-12</v>
      </c>
      <c r="DR189" s="22">
        <f t="shared" si="177"/>
        <v>9.2015960881277352E-12</v>
      </c>
      <c r="DS189" s="62">
        <f t="shared" si="125"/>
        <v>293.33333333334252</v>
      </c>
      <c r="DT189" s="62">
        <f ca="1">AVERAGE(OFFSET($DS$3,0,0,'Données projet'!$E$14+1,1))-AVERAGE(OFFSET($H$3,0,0,'Données projet'!$E$14+1,1))</f>
        <v>446.48069057792151</v>
      </c>
      <c r="DU189" s="62">
        <f t="shared" si="152"/>
        <v>561.75656782935948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15.228835826446021</v>
      </c>
      <c r="EB189" s="23">
        <f>EXP(-LN(2)/25)*EB188+(1-EXP(-LN(2)/25))/(LN(2)/25)*Calculateur!DW189*Calculateur!DY189*VLOOKUP('Données projet'!$B$14,Paramètres!$A$1:$I$89,3,0)*0.475*44/12</f>
        <v>2.4630849026448973</v>
      </c>
      <c r="EC189" s="23">
        <f>EXP(-LN(2)/2)*EC188+(1-EXP(-LN(2)/2))/(LN(2)/2)*DW189*DZ189*VLOOKUP('Données projet'!$B$14,Paramètres!$A$1:$I$89,3,0)*0.475*44/12</f>
        <v>1.4548385489174602E-17</v>
      </c>
      <c r="ED189" s="24">
        <f t="shared" si="178"/>
        <v>17.691920729090917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1.7053025658242404E-13</v>
      </c>
      <c r="EK189" s="18">
        <f>EJ189*VLOOKUP('Données projet'!$B$15,Paramètres!$A$1:$I$89,3,0)*VLOOKUP('Données projet'!$B$15,Paramètres!$A$1:$I$89,5,0)</f>
        <v>1.6493686416652052E-13</v>
      </c>
      <c r="EL189" s="14">
        <f t="shared" si="179"/>
        <v>2.3376205369651282E-12</v>
      </c>
      <c r="EM189" s="22">
        <f t="shared" si="180"/>
        <v>4.3586208069709543E-12</v>
      </c>
      <c r="EN189" s="62">
        <f t="shared" si="128"/>
        <v>293.33333333333769</v>
      </c>
      <c r="EO189" s="62">
        <f ca="1">AVERAGE(OFFSET($EN$3,0,0,'Données projet'!$E$15+1,1))-AVERAGE(OFFSET($H$3,0,0,'Données projet'!$E$15+1,1))</f>
        <v>301.18531163828169</v>
      </c>
      <c r="EP189" s="62">
        <f t="shared" si="154"/>
        <v>192.30530273268101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19.666295433913522</v>
      </c>
      <c r="EW189" s="23">
        <f>EXP(-LN(2)/25)*EW188+(1-EXP(-LN(2)/25))/(LN(2)/25)*Calculateur!ER189*Calculateur!ET189*VLOOKUP('Données projet'!$B$15,Paramètres!$A$1:$I$89,3,0)*0.475*44/12</f>
        <v>0.7168127239817409</v>
      </c>
      <c r="EX189" s="23">
        <f>EXP(-LN(2)/2)*EX188+(1-EXP(-LN(2)/2))/(LN(2)/2)*ER189*EU189*VLOOKUP('Données projet'!$B$15,Paramètres!$A$1:$I$89,3,0)*0.475*44/12</f>
        <v>6.8661538810831111E-18</v>
      </c>
      <c r="EY189" s="24">
        <f t="shared" si="181"/>
        <v>20.383108157895261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1.7053025658242404E-13</v>
      </c>
      <c r="FF189" s="18">
        <f>FE189*VLOOKUP('Données projet'!$B$16,Paramètres!$A$1:$I$89,3,0)*VLOOKUP('Données projet'!$B$16,Paramètres!$A$1:$I$89,5,0)</f>
        <v>1.3301360013429075E-13</v>
      </c>
      <c r="FG189" s="14">
        <f t="shared" si="182"/>
        <v>1.9329766731057041E-12</v>
      </c>
      <c r="FH189" s="22">
        <f t="shared" si="183"/>
        <v>3.5982663925596575E-12</v>
      </c>
      <c r="FI189" s="62">
        <f t="shared" si="131"/>
        <v>293.3333333333369</v>
      </c>
      <c r="FJ189" s="62">
        <f ca="1">AVERAGE(OFFSET($FI$3,0,0,'Données projet'!$E$16+1,1))-AVERAGE(OFFSET($H$3,0,0,'Données projet'!$E$16+1,1))</f>
        <v>249.2899297828755</v>
      </c>
      <c r="FK189" s="62">
        <f t="shared" si="156"/>
        <v>162.88011837476813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15.859915672510914</v>
      </c>
      <c r="FR189" s="23">
        <f>EXP(-LN(2)/25)*FR188+(1-EXP(-LN(2)/25))/(LN(2)/25)*Calculateur!FM189*Calculateur!FO189*VLOOKUP('Données projet'!$B$16,Paramètres!$A$1:$I$89,3,0)*0.475*44/12</f>
        <v>0.57807477740462843</v>
      </c>
      <c r="FS189" s="23">
        <f>EXP(-LN(2)/2)*FS188+(1-EXP(-LN(2)/2))/(LN(2)/2)*FM189*FP189*VLOOKUP('Données projet'!$B$16,Paramètres!$A$1:$I$89,3,0)*0.475*44/12</f>
        <v>5.5372208718411657E-18</v>
      </c>
      <c r="FT189" s="24">
        <f t="shared" si="184"/>
        <v>16.437990449915542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1.7053025658242404E-13</v>
      </c>
      <c r="GA189" s="18">
        <f>FZ189*VLOOKUP('Données projet'!$B$17,Paramètres!$A$1:$I$89,3,0)*VLOOKUP('Données projet'!$B$17,Paramètres!$A$1:$I$89,5,0)</f>
        <v>1.1439169611549005E-13</v>
      </c>
      <c r="GB189" s="14">
        <f t="shared" si="185"/>
        <v>1.6918016515029816E-12</v>
      </c>
      <c r="GC189" s="22">
        <f t="shared" si="186"/>
        <v>3.1457867471021712E-12</v>
      </c>
      <c r="GD189" s="62">
        <f t="shared" si="134"/>
        <v>293.33333333333644</v>
      </c>
      <c r="GE189" s="62">
        <f ca="1">AVERAGE(OFFSET($GD$3,0,0,'Données projet'!$E$17+1,1))-AVERAGE(OFFSET($H$3,0,0,'Données projet'!$E$17+1,1))</f>
        <v>218.89895999738746</v>
      </c>
      <c r="GF189" s="62">
        <f t="shared" si="158"/>
        <v>145.64042897395763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16.811510612861543</v>
      </c>
      <c r="GM189" s="23">
        <f>EXP(-LN(2)/25)*GM188+(1-EXP(-LN(2)/25))/(LN(2)/25)*Calculateur!GH189*Calculateur!GJ189*VLOOKUP('Données projet'!$B$17,Paramètres!$A$1:$I$89,3,0)*0.475*44/12</f>
        <v>0.61275926404890735</v>
      </c>
      <c r="GN189" s="23">
        <f>EXP(-LN(2)/2)*GN188+(1-EXP(-LN(2)/2))/(LN(2)/2)*GH189*GK189*VLOOKUP('Données projet'!$B$17,Paramètres!$A$1:$I$89,3,0)*0.475*44/12</f>
        <v>4.7620099497834439E-18</v>
      </c>
      <c r="GO189" s="23">
        <f t="shared" si="187"/>
        <v>17.424269876910451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1.7053025658242404E-13</v>
      </c>
      <c r="GV189" s="18">
        <f>GU189*VLOOKUP('Données projet'!$B$18,Paramètres!$A$1:$I$89,3,0)*VLOOKUP('Données projet'!$B$18,Paramètres!$A$1:$I$89,5,0)</f>
        <v>1.8355876818532125E-13</v>
      </c>
      <c r="GW189" s="14">
        <f t="shared" si="188"/>
        <v>2.5693529898865504E-12</v>
      </c>
      <c r="GX189" s="22">
        <f t="shared" si="189"/>
        <v>4.7946546453085093E-12</v>
      </c>
      <c r="GY189" s="62">
        <f t="shared" si="137"/>
        <v>293.33333333333809</v>
      </c>
      <c r="GZ189" s="62">
        <f ca="1">AVERAGE(OFFSET($GY$3,0,0,'Données projet'!$E$18+1,1))-AVERAGE(OFFSET($H$3,0,0,'Données projet'!$E$18+1,1))</f>
        <v>331.3579800635751</v>
      </c>
      <c r="HA189" s="62">
        <f t="shared" si="160"/>
        <v>209.40702003535273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21.886683628065054</v>
      </c>
      <c r="HH189" s="23">
        <f>EXP(-LN(2)/25)*HH188+(1-EXP(-LN(2)/25))/(LN(2)/25)*Calculateur!HC189*Calculateur!HE189*VLOOKUP('Données projet'!$B$18,Paramètres!$A$1:$I$89,3,0)*0.475*44/12</f>
        <v>0.79774319281838912</v>
      </c>
      <c r="HI189" s="23">
        <f>EXP(-LN(2)/2)*HI188+(1-EXP(-LN(2)/2))/(LN(2)/2)*HC189*HF189*VLOOKUP('Données projet'!$B$18,Paramètres!$A$1:$I$89,3,0)*0.475*44/12</f>
        <v>7.6413648031408105E-18</v>
      </c>
      <c r="HJ189" s="24">
        <f t="shared" si="190"/>
        <v>22.684426820883441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5.0022208597511053E-12</v>
      </c>
      <c r="O190" s="14">
        <f>N190*VLOOKUP('Données projet'!$B$9,Paramètres!$A$1:$I$89,3,0)*VLOOKUP('Données projet'!$B$9,Paramètres!$A$1:$I$89,5,0)</f>
        <v>4.5260094339028E-12</v>
      </c>
      <c r="P190" s="14">
        <f t="shared" si="141"/>
        <v>4.3625683148570328E-11</v>
      </c>
      <c r="Q190" s="22">
        <f t="shared" si="162"/>
        <v>8.3864197914474037E-11</v>
      </c>
      <c r="R190" s="62">
        <f t="shared" si="109"/>
        <v>293.33333333341716</v>
      </c>
      <c r="S190" s="62">
        <f ca="1">AVERAGE(OFFSET($R$3,0,0,'Données projet'!$E$9+1,1))-AVERAGE(OFFSET($H$3,0,0,'Données projet'!$E$9+1,1))</f>
        <v>2472.5049373954762</v>
      </c>
      <c r="T190" s="62">
        <f t="shared" si="142"/>
        <v>286.98388307318311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686.62548928391493</v>
      </c>
      <c r="AA190" s="23">
        <f>EXP(-LN(2)/25)*AA189+(1-EXP(-LN(2)/25))/(LN(2)/25)*Calculateur!V190*Calculateur!X190*VLOOKUP('Données projet'!$B$9,Paramètres!$A$1:$I$89,3,0)*0.475*44/12</f>
        <v>23.805517419394249</v>
      </c>
      <c r="AB190" s="23">
        <f>EXP(-LN(2)/2)*AB189+(1-EXP(-LN(2)/2))/(LN(2)/2)*V190*Y190*VLOOKUP('Données projet'!$B$9,Paramètres!$A$1:$I$89,3,0)*0.475*44/12</f>
        <v>1.7399835202185397E-5</v>
      </c>
      <c r="AC190" s="24">
        <f t="shared" si="163"/>
        <v>710.43102410314441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5.0022208597511053E-12</v>
      </c>
      <c r="AJ190" s="14">
        <f>AI190*VLOOKUP('Données projet'!$B$10,Paramètres!$A$1:$I$89,3,0)*VLOOKUP('Données projet'!$B$10,Paramètres!$A$1:$I$89,5,0)</f>
        <v>5.0722519517876216E-12</v>
      </c>
      <c r="AK190" s="14">
        <f t="shared" si="164"/>
        <v>4.8246688221215311E-11</v>
      </c>
      <c r="AL190" s="22">
        <f t="shared" si="165"/>
        <v>9.2863820801313432E-11</v>
      </c>
      <c r="AM190" s="62">
        <f t="shared" si="113"/>
        <v>293.3333333334262</v>
      </c>
      <c r="AN190" s="62">
        <f ca="1">AVERAGE(OFFSET($AM$3,0,0,'Données projet'!$E$10+1,1))-AVERAGE(OFFSET($H$3,0,0,'Données projet'!$E$10+1,1))</f>
        <v>2761.1400657295467</v>
      </c>
      <c r="AO190" s="62">
        <f t="shared" si="144"/>
        <v>316.41877504316409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769.49408281818012</v>
      </c>
      <c r="AV190" s="23">
        <f>EXP(-LN(2)/25)*AV189+(1-EXP(-LN(2)/25))/(LN(2)/25)*Calculateur!AQ190*Calculateur!AS190*VLOOKUP('Données projet'!$B$10,Paramètres!$A$1:$I$89,3,0)*0.475*44/12</f>
        <v>26.678597107941858</v>
      </c>
      <c r="AW190" s="23">
        <f>EXP(-LN(2)/2)*AW189+(1-EXP(-LN(2)/2))/(LN(2)/2)*AQ190*AT190*VLOOKUP('Données projet'!$B$10,Paramètres!$A$1:$I$89,3,0)*0.475*44/12</f>
        <v>1.9499815312793984E-5</v>
      </c>
      <c r="AX190" s="23">
        <f t="shared" si="166"/>
        <v>796.17269942593725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5.0022208597511053E-12</v>
      </c>
      <c r="BE190" s="14">
        <f>BD190*VLOOKUP('Données projet'!$B$11,Paramètres!$A$1:$I$89,3,0)*VLOOKUP('Données projet'!$B$11,Paramètres!$A$1:$I$89,5,0)</f>
        <v>5.2283212426118558E-12</v>
      </c>
      <c r="BF190" s="14">
        <f t="shared" si="167"/>
        <v>4.9556081821365385E-11</v>
      </c>
      <c r="BG190" s="22">
        <f t="shared" si="168"/>
        <v>9.5416168669760364E-11</v>
      </c>
      <c r="BH190" s="62">
        <f t="shared" si="116"/>
        <v>293.33333333342875</v>
      </c>
      <c r="BI190" s="62">
        <f ca="1">AVERAGE(OFFSET($BH$3,0,0,'Données projet'!$E$11+1,1))-AVERAGE(OFFSET($H$3,0,0,'Données projet'!$E$11+1,1))</f>
        <v>2843.5086223152098</v>
      </c>
      <c r="BJ190" s="62">
        <f t="shared" si="146"/>
        <v>324.81562437645522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793.17082382797059</v>
      </c>
      <c r="BQ190" s="23">
        <f>EXP(-LN(2)/25)*BQ189+(1-EXP(-LN(2)/25))/(LN(2)/25)*Calculateur!BL190*Calculateur!BN190*VLOOKUP('Données projet'!$B$11,Paramètres!$A$1:$I$89,3,0)*0.475*44/12</f>
        <v>27.499477018955446</v>
      </c>
      <c r="BR190" s="23">
        <f>EXP(-LN(2)/2)*BR189+(1-EXP(-LN(2)/2))/(LN(2)/2)*BL190*BO190*VLOOKUP('Données projet'!$B$11,Paramètres!$A$1:$I$89,3,0)*0.475*44/12</f>
        <v>2.0099809630110738E-5</v>
      </c>
      <c r="BS190" s="24">
        <f t="shared" si="169"/>
        <v>820.67032094673561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5.0022208597511053E-12</v>
      </c>
      <c r="BZ190" s="14">
        <f>BY190*VLOOKUP('Données projet'!$B$12,Paramètres!$A$1:$I$89,3,0)*VLOOKUP('Données projet'!$B$12,Paramètres!$A$1:$I$89,5,0)</f>
        <v>4.9942173063755036E-12</v>
      </c>
      <c r="CA190" s="14">
        <f t="shared" si="170"/>
        <v>4.7590239529202817E-11</v>
      </c>
      <c r="CB190" s="22">
        <f t="shared" si="171"/>
        <v>9.1584595655298897E-11</v>
      </c>
      <c r="CC190" s="62">
        <f t="shared" si="119"/>
        <v>293.33333333342489</v>
      </c>
      <c r="CD190" s="62">
        <f ca="1">AVERAGE(OFFSET($CC$3,0,0,'Données projet'!$E$12+1,1))-AVERAGE(OFFSET($H$3,0,0,'Données projet'!$E$12+1,1))</f>
        <v>2719.939926994799</v>
      </c>
      <c r="CE190" s="62">
        <f t="shared" si="148"/>
        <v>312.21824046329749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757.65571231328545</v>
      </c>
      <c r="CL190" s="23">
        <f>EXP(-LN(2)/25)*CL189+(1-EXP(-LN(2)/25))/(LN(2)/25)*Calculateur!CG190*Calculateur!CI190*VLOOKUP('Données projet'!$B$12,Paramètres!$A$1:$I$89,3,0)*0.475*44/12</f>
        <v>26.268157152435052</v>
      </c>
      <c r="CM190" s="23">
        <f>EXP(-LN(2)/2)*CM189+(1-EXP(-LN(2)/2))/(LN(2)/2)*CG190*CJ190*VLOOKUP('Données projet'!$B$12,Paramètres!$A$1:$I$89,3,0)*0.475*44/12</f>
        <v>1.9199818154135603E-5</v>
      </c>
      <c r="CN190" s="24">
        <f t="shared" si="172"/>
        <v>783.92388866553858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1.1368683772161603E-12</v>
      </c>
      <c r="CU190" s="18">
        <f>CT190*VLOOKUP('Données projet'!$B$13,Paramètres!$A$1:$I$89,3,0)*VLOOKUP('Données projet'!$B$13,Paramètres!$A$1:$I$89,5,0)</f>
        <v>9.9316821433603771E-13</v>
      </c>
      <c r="CV190" s="14">
        <f t="shared" si="173"/>
        <v>1.1421454694498936E-11</v>
      </c>
      <c r="CW190" s="22">
        <f t="shared" si="174"/>
        <v>2.1622134899554243E-11</v>
      </c>
      <c r="CX190" s="62">
        <f t="shared" si="122"/>
        <v>293.33333333335491</v>
      </c>
      <c r="CY190" s="62">
        <f ca="1">AVERAGE(OFFSET($CX$3,0,0,'Données projet'!$E$13+1,1))-AVERAGE(OFFSET($H$3,0,0,'Données projet'!$E$13+1,1))</f>
        <v>1036.0130072090849</v>
      </c>
      <c r="CZ190" s="62">
        <f t="shared" si="150"/>
        <v>346.56593355696174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80.459264829743631</v>
      </c>
      <c r="DG190" s="23">
        <f>EXP(-LN(2)/25)*DG189+(1-EXP(-LN(2)/25))/(LN(2)/25)*Calculateur!DB190*Calculateur!DD190*VLOOKUP('Données projet'!$B$13,Paramètres!$A$1:$I$89,3,0)*0.475*44/12</f>
        <v>2.1784758879989208</v>
      </c>
      <c r="DH190" s="23">
        <f>EXP(-LN(2)/2)*DH189+(1-EXP(-LN(2)/2))/(LN(2)/2)*DB190*DE190*VLOOKUP('Données projet'!$B$13,Paramètres!$A$1:$I$89,3,0)*0.475*44/12</f>
        <v>7.094856522244292E-15</v>
      </c>
      <c r="DI190" s="24">
        <f t="shared" si="175"/>
        <v>82.637740717742545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6.8212102632969618E-13</v>
      </c>
      <c r="DP190" s="18">
        <f>DO190*VLOOKUP('Données projet'!$B$14,Paramètres!$A$1:$I$89,3,0)*VLOOKUP('Données projet'!$B$14,Paramètres!$A$1:$I$89,5,0)</f>
        <v>3.8130565371830017E-13</v>
      </c>
      <c r="DQ190" s="14">
        <f t="shared" si="176"/>
        <v>4.9019074112354236E-12</v>
      </c>
      <c r="DR190" s="22">
        <f t="shared" si="177"/>
        <v>9.2015960881277352E-12</v>
      </c>
      <c r="DS190" s="62">
        <f t="shared" si="125"/>
        <v>293.33333333334252</v>
      </c>
      <c r="DT190" s="62">
        <f ca="1">AVERAGE(OFFSET($DS$3,0,0,'Données projet'!$E$14+1,1))-AVERAGE(OFFSET($H$3,0,0,'Données projet'!$E$14+1,1))</f>
        <v>446.48069057792151</v>
      </c>
      <c r="DU190" s="62">
        <f t="shared" si="152"/>
        <v>561.75656782935948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14.930207644562088</v>
      </c>
      <c r="EB190" s="23">
        <f>EXP(-LN(2)/25)*EB189+(1-EXP(-LN(2)/25))/(LN(2)/25)*Calculateur!DW190*Calculateur!DY190*VLOOKUP('Données projet'!$B$14,Paramètres!$A$1:$I$89,3,0)*0.475*44/12</f>
        <v>2.3957317164540672</v>
      </c>
      <c r="EC190" s="23">
        <f>EXP(-LN(2)/2)*EC189+(1-EXP(-LN(2)/2))/(LN(2)/2)*DW190*DZ190*VLOOKUP('Données projet'!$B$14,Paramètres!$A$1:$I$89,3,0)*0.475*44/12</f>
        <v>1.0287262034711329E-17</v>
      </c>
      <c r="ED190" s="24">
        <f t="shared" si="178"/>
        <v>17.325939361016154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1.7053025658242404E-13</v>
      </c>
      <c r="EK190" s="18">
        <f>EJ190*VLOOKUP('Données projet'!$B$15,Paramètres!$A$1:$I$89,3,0)*VLOOKUP('Données projet'!$B$15,Paramètres!$A$1:$I$89,5,0)</f>
        <v>1.6493686416652052E-13</v>
      </c>
      <c r="EL190" s="14">
        <f t="shared" si="179"/>
        <v>2.3376205369651282E-12</v>
      </c>
      <c r="EM190" s="22">
        <f t="shared" si="180"/>
        <v>4.3586208069709543E-12</v>
      </c>
      <c r="EN190" s="62">
        <f t="shared" si="128"/>
        <v>293.33333333333769</v>
      </c>
      <c r="EO190" s="62">
        <f ca="1">AVERAGE(OFFSET($EN$3,0,0,'Données projet'!$E$15+1,1))-AVERAGE(OFFSET($H$3,0,0,'Données projet'!$E$15+1,1))</f>
        <v>301.18531163828169</v>
      </c>
      <c r="EP190" s="62">
        <f t="shared" si="154"/>
        <v>192.30530273268101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19.28065137571026</v>
      </c>
      <c r="EW190" s="23">
        <f>EXP(-LN(2)/25)*EW189+(1-EXP(-LN(2)/25))/(LN(2)/25)*Calculateur!ER190*Calculateur!ET190*VLOOKUP('Données projet'!$B$15,Paramètres!$A$1:$I$89,3,0)*0.475*44/12</f>
        <v>0.6972114423489173</v>
      </c>
      <c r="EX190" s="23">
        <f>EXP(-LN(2)/2)*EX189+(1-EXP(-LN(2)/2))/(LN(2)/2)*ER190*EU190*VLOOKUP('Données projet'!$B$15,Paramètres!$A$1:$I$89,3,0)*0.475*44/12</f>
        <v>4.8551039699842001E-18</v>
      </c>
      <c r="EY190" s="24">
        <f t="shared" si="181"/>
        <v>19.977862818059176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1.7053025658242404E-13</v>
      </c>
      <c r="FF190" s="18">
        <f>FE190*VLOOKUP('Données projet'!$B$16,Paramètres!$A$1:$I$89,3,0)*VLOOKUP('Données projet'!$B$16,Paramètres!$A$1:$I$89,5,0)</f>
        <v>1.3301360013429075E-13</v>
      </c>
      <c r="FG190" s="14">
        <f t="shared" si="182"/>
        <v>1.9329766731057041E-12</v>
      </c>
      <c r="FH190" s="22">
        <f t="shared" si="183"/>
        <v>3.5982663925596575E-12</v>
      </c>
      <c r="FI190" s="62">
        <f t="shared" si="131"/>
        <v>293.3333333333369</v>
      </c>
      <c r="FJ190" s="62">
        <f ca="1">AVERAGE(OFFSET($FI$3,0,0,'Données projet'!$E$16+1,1))-AVERAGE(OFFSET($H$3,0,0,'Données projet'!$E$16+1,1))</f>
        <v>249.2899297828755</v>
      </c>
      <c r="FK190" s="62">
        <f t="shared" si="156"/>
        <v>162.88011837476813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15.548912399766348</v>
      </c>
      <c r="FR190" s="23">
        <f>EXP(-LN(2)/25)*FR189+(1-EXP(-LN(2)/25))/(LN(2)/25)*Calculateur!FM190*Calculateur!FO190*VLOOKUP('Données projet'!$B$16,Paramètres!$A$1:$I$89,3,0)*0.475*44/12</f>
        <v>0.56226729221686755</v>
      </c>
      <c r="FS190" s="23">
        <f>EXP(-LN(2)/2)*FS189+(1-EXP(-LN(2)/2))/(LN(2)/2)*FM190*FP190*VLOOKUP('Données projet'!$B$16,Paramètres!$A$1:$I$89,3,0)*0.475*44/12</f>
        <v>3.915406427406575E-18</v>
      </c>
      <c r="FT190" s="24">
        <f t="shared" si="184"/>
        <v>16.111179691983214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1.7053025658242404E-13</v>
      </c>
      <c r="GA190" s="18">
        <f>FZ190*VLOOKUP('Données projet'!$B$17,Paramètres!$A$1:$I$89,3,0)*VLOOKUP('Données projet'!$B$17,Paramètres!$A$1:$I$89,5,0)</f>
        <v>1.1439169611549005E-13</v>
      </c>
      <c r="GB190" s="14">
        <f t="shared" si="185"/>
        <v>1.6918016515029816E-12</v>
      </c>
      <c r="GC190" s="22">
        <f t="shared" si="186"/>
        <v>3.1457867471021712E-12</v>
      </c>
      <c r="GD190" s="62">
        <f t="shared" si="134"/>
        <v>293.33333333333644</v>
      </c>
      <c r="GE190" s="62">
        <f ca="1">AVERAGE(OFFSET($GD$3,0,0,'Données projet'!$E$17+1,1))-AVERAGE(OFFSET($H$3,0,0,'Données projet'!$E$17+1,1))</f>
        <v>218.89895999738746</v>
      </c>
      <c r="GF190" s="62">
        <f t="shared" si="158"/>
        <v>145.64042897395763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16.481847143752304</v>
      </c>
      <c r="GM190" s="23">
        <f>EXP(-LN(2)/25)*GM189+(1-EXP(-LN(2)/25))/(LN(2)/25)*Calculateur!GH190*Calculateur!GJ190*VLOOKUP('Données projet'!$B$17,Paramètres!$A$1:$I$89,3,0)*0.475*44/12</f>
        <v>0.59600332974988079</v>
      </c>
      <c r="GN190" s="23">
        <f>EXP(-LN(2)/2)*GN189+(1-EXP(-LN(2)/2))/(LN(2)/2)*GH190*GK190*VLOOKUP('Données projet'!$B$17,Paramètres!$A$1:$I$89,3,0)*0.475*44/12</f>
        <v>3.3672495275696839E-18</v>
      </c>
      <c r="GO190" s="23">
        <f t="shared" si="187"/>
        <v>17.077850473502185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1.7053025658242404E-13</v>
      </c>
      <c r="GV190" s="18">
        <f>GU190*VLOOKUP('Données projet'!$B$18,Paramètres!$A$1:$I$89,3,0)*VLOOKUP('Données projet'!$B$18,Paramètres!$A$1:$I$89,5,0)</f>
        <v>1.8355876818532125E-13</v>
      </c>
      <c r="GW190" s="14">
        <f t="shared" si="188"/>
        <v>2.5693529898865504E-12</v>
      </c>
      <c r="GX190" s="22">
        <f t="shared" si="189"/>
        <v>4.7946546453085093E-12</v>
      </c>
      <c r="GY190" s="62">
        <f t="shared" si="137"/>
        <v>293.33333333333809</v>
      </c>
      <c r="GZ190" s="62">
        <f ca="1">AVERAGE(OFFSET($GY$3,0,0,'Données projet'!$E$18+1,1))-AVERAGE(OFFSET($H$3,0,0,'Données projet'!$E$18+1,1))</f>
        <v>331.3579800635751</v>
      </c>
      <c r="HA190" s="62">
        <f t="shared" si="160"/>
        <v>209.40702003535273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21.457499111677553</v>
      </c>
      <c r="HH190" s="23">
        <f>EXP(-LN(2)/25)*HH189+(1-EXP(-LN(2)/25))/(LN(2)/25)*Calculateur!HC190*Calculateur!HE190*VLOOKUP('Données projet'!$B$18,Paramètres!$A$1:$I$89,3,0)*0.475*44/12</f>
        <v>0.77592886325927901</v>
      </c>
      <c r="HI190" s="23">
        <f>EXP(-LN(2)/2)*HI189+(1-EXP(-LN(2)/2))/(LN(2)/2)*HC190*HF190*VLOOKUP('Données projet'!$B$18,Paramètres!$A$1:$I$89,3,0)*0.475*44/12</f>
        <v>5.403260869821075E-18</v>
      </c>
      <c r="HJ190" s="24">
        <f t="shared" si="190"/>
        <v>22.233427974936831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5.0022208597511053E-12</v>
      </c>
      <c r="O191" s="14">
        <f>N191*VLOOKUP('Données projet'!$B$9,Paramètres!$A$1:$I$89,3,0)*VLOOKUP('Données projet'!$B$9,Paramètres!$A$1:$I$89,5,0)</f>
        <v>4.5260094339028E-12</v>
      </c>
      <c r="P191" s="14">
        <f t="shared" si="141"/>
        <v>4.3625683148570328E-11</v>
      </c>
      <c r="Q191" s="22">
        <f t="shared" si="162"/>
        <v>8.3864197914474037E-11</v>
      </c>
      <c r="R191" s="62">
        <f t="shared" si="109"/>
        <v>293.33333333341716</v>
      </c>
      <c r="S191" s="62">
        <f ca="1">AVERAGE(OFFSET($R$3,0,0,'Données projet'!$E$9+1,1))-AVERAGE(OFFSET($H$3,0,0,'Données projet'!$E$9+1,1))</f>
        <v>2472.5049373954762</v>
      </c>
      <c r="T191" s="62">
        <f t="shared" si="142"/>
        <v>286.98388307318311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673.16118223925275</v>
      </c>
      <c r="AA191" s="23">
        <f>EXP(-LN(2)/25)*AA190+(1-EXP(-LN(2)/25))/(LN(2)/25)*Calculateur!V191*Calculateur!X191*VLOOKUP('Données projet'!$B$9,Paramètres!$A$1:$I$89,3,0)*0.475*44/12</f>
        <v>23.154554293683162</v>
      </c>
      <c r="AB191" s="23">
        <f>EXP(-LN(2)/2)*AB190+(1-EXP(-LN(2)/2))/(LN(2)/2)*V191*Y191*VLOOKUP('Données projet'!$B$9,Paramètres!$A$1:$I$89,3,0)*0.475*44/12</f>
        <v>1.2303541462993697E-5</v>
      </c>
      <c r="AC191" s="24">
        <f t="shared" si="163"/>
        <v>696.31574883647738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5.0022208597511053E-12</v>
      </c>
      <c r="AJ191" s="14">
        <f>AI191*VLOOKUP('Données projet'!$B$10,Paramètres!$A$1:$I$89,3,0)*VLOOKUP('Données projet'!$B$10,Paramètres!$A$1:$I$89,5,0)</f>
        <v>5.0722519517876216E-12</v>
      </c>
      <c r="AK191" s="14">
        <f t="shared" si="164"/>
        <v>4.8246688221215311E-11</v>
      </c>
      <c r="AL191" s="22">
        <f t="shared" si="165"/>
        <v>9.2863820801313432E-11</v>
      </c>
      <c r="AM191" s="62">
        <f t="shared" si="113"/>
        <v>293.3333333334262</v>
      </c>
      <c r="AN191" s="62">
        <f ca="1">AVERAGE(OFFSET($AM$3,0,0,'Données projet'!$E$10+1,1))-AVERAGE(OFFSET($H$3,0,0,'Données projet'!$E$10+1,1))</f>
        <v>2761.1400657295467</v>
      </c>
      <c r="AO191" s="62">
        <f t="shared" si="144"/>
        <v>316.41877504316409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754.40477319916215</v>
      </c>
      <c r="AV191" s="23">
        <f>EXP(-LN(2)/25)*AV190+(1-EXP(-LN(2)/25))/(LN(2)/25)*Calculateur!AQ191*Calculateur!AS191*VLOOKUP('Données projet'!$B$10,Paramètres!$A$1:$I$89,3,0)*0.475*44/12</f>
        <v>25.949069467058742</v>
      </c>
      <c r="AW191" s="23">
        <f>EXP(-LN(2)/2)*AW190+(1-EXP(-LN(2)/2))/(LN(2)/2)*AQ191*AT191*VLOOKUP('Données projet'!$B$10,Paramètres!$A$1:$I$89,3,0)*0.475*44/12</f>
        <v>1.3788451639561905E-5</v>
      </c>
      <c r="AX191" s="23">
        <f t="shared" si="166"/>
        <v>780.3538564546725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5.0022208597511053E-12</v>
      </c>
      <c r="BE191" s="14">
        <f>BD191*VLOOKUP('Données projet'!$B$11,Paramètres!$A$1:$I$89,3,0)*VLOOKUP('Données projet'!$B$11,Paramètres!$A$1:$I$89,5,0)</f>
        <v>5.2283212426118558E-12</v>
      </c>
      <c r="BF191" s="14">
        <f t="shared" si="167"/>
        <v>4.9556081821365385E-11</v>
      </c>
      <c r="BG191" s="22">
        <f t="shared" si="168"/>
        <v>9.5416168669760364E-11</v>
      </c>
      <c r="BH191" s="62">
        <f t="shared" si="116"/>
        <v>293.33333333342875</v>
      </c>
      <c r="BI191" s="62">
        <f ca="1">AVERAGE(OFFSET($BH$3,0,0,'Données projet'!$E$11+1,1))-AVERAGE(OFFSET($H$3,0,0,'Données projet'!$E$11+1,1))</f>
        <v>2843.5086223152098</v>
      </c>
      <c r="BJ191" s="62">
        <f t="shared" si="146"/>
        <v>324.81562437645522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777.61722775913665</v>
      </c>
      <c r="BQ191" s="23">
        <f>EXP(-LN(2)/25)*BQ190+(1-EXP(-LN(2)/25))/(LN(2)/25)*Calculateur!BL191*Calculateur!BN191*VLOOKUP('Données projet'!$B$11,Paramètres!$A$1:$I$89,3,0)*0.475*44/12</f>
        <v>26.747502373737465</v>
      </c>
      <c r="BR191" s="23">
        <f>EXP(-LN(2)/2)*BR190+(1-EXP(-LN(2)/2))/(LN(2)/2)*BL191*BO191*VLOOKUP('Données projet'!$B$11,Paramètres!$A$1:$I$89,3,0)*0.475*44/12</f>
        <v>1.4212711690009975E-5</v>
      </c>
      <c r="BS191" s="24">
        <f t="shared" si="169"/>
        <v>804.36474434558579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5.0022208597511053E-12</v>
      </c>
      <c r="BZ191" s="14">
        <f>BY191*VLOOKUP('Données projet'!$B$12,Paramètres!$A$1:$I$89,3,0)*VLOOKUP('Données projet'!$B$12,Paramètres!$A$1:$I$89,5,0)</f>
        <v>4.9942173063755036E-12</v>
      </c>
      <c r="CA191" s="14">
        <f t="shared" si="170"/>
        <v>4.7590239529202817E-11</v>
      </c>
      <c r="CB191" s="22">
        <f t="shared" si="171"/>
        <v>9.1584595655298897E-11</v>
      </c>
      <c r="CC191" s="62">
        <f t="shared" si="119"/>
        <v>293.33333333342489</v>
      </c>
      <c r="CD191" s="62">
        <f ca="1">AVERAGE(OFFSET($CC$3,0,0,'Données projet'!$E$12+1,1))-AVERAGE(OFFSET($H$3,0,0,'Données projet'!$E$12+1,1))</f>
        <v>2719.939926994799</v>
      </c>
      <c r="CE191" s="62">
        <f t="shared" si="148"/>
        <v>312.21824046329749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742.79854591917547</v>
      </c>
      <c r="CL191" s="23">
        <f>EXP(-LN(2)/25)*CL190+(1-EXP(-LN(2)/25))/(LN(2)/25)*Calculateur!CG191*Calculateur!CI191*VLOOKUP('Données projet'!$B$12,Paramètres!$A$1:$I$89,3,0)*0.475*44/12</f>
        <v>25.549853013719368</v>
      </c>
      <c r="CM191" s="23">
        <f>EXP(-LN(2)/2)*CM190+(1-EXP(-LN(2)/2))/(LN(2)/2)*CG191*CJ191*VLOOKUP('Données projet'!$B$12,Paramètres!$A$1:$I$89,3,0)*0.475*44/12</f>
        <v>1.3576321614337867E-5</v>
      </c>
      <c r="CN191" s="24">
        <f t="shared" si="172"/>
        <v>768.34841250921647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1.1368683772161603E-12</v>
      </c>
      <c r="CU191" s="18">
        <f>CT191*VLOOKUP('Données projet'!$B$13,Paramètres!$A$1:$I$89,3,0)*VLOOKUP('Données projet'!$B$13,Paramètres!$A$1:$I$89,5,0)</f>
        <v>9.9316821433603771E-13</v>
      </c>
      <c r="CV191" s="14">
        <f t="shared" si="173"/>
        <v>1.1421454694498936E-11</v>
      </c>
      <c r="CW191" s="22">
        <f t="shared" si="174"/>
        <v>2.1622134899554243E-11</v>
      </c>
      <c r="CX191" s="62">
        <f t="shared" si="122"/>
        <v>293.33333333335491</v>
      </c>
      <c r="CY191" s="62">
        <f ca="1">AVERAGE(OFFSET($CX$3,0,0,'Données projet'!$E$13+1,1))-AVERAGE(OFFSET($H$3,0,0,'Données projet'!$E$13+1,1))</f>
        <v>1036.0130072090849</v>
      </c>
      <c r="CZ191" s="62">
        <f t="shared" si="150"/>
        <v>346.56593355696174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78.881507721738117</v>
      </c>
      <c r="DG191" s="23">
        <f>EXP(-LN(2)/25)*DG190+(1-EXP(-LN(2)/25))/(LN(2)/25)*Calculateur!DB191*Calculateur!DD191*VLOOKUP('Données projet'!$B$13,Paramètres!$A$1:$I$89,3,0)*0.475*44/12</f>
        <v>2.1189053502805222</v>
      </c>
      <c r="DH191" s="23">
        <f>EXP(-LN(2)/2)*DH190+(1-EXP(-LN(2)/2))/(LN(2)/2)*DB191*DE191*VLOOKUP('Données projet'!$B$13,Paramètres!$A$1:$I$89,3,0)*0.475*44/12</f>
        <v>5.0168211584245445E-15</v>
      </c>
      <c r="DI191" s="24">
        <f t="shared" si="175"/>
        <v>81.000413072018645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6.8212102632969618E-13</v>
      </c>
      <c r="DP191" s="18">
        <f>DO191*VLOOKUP('Données projet'!$B$14,Paramètres!$A$1:$I$89,3,0)*VLOOKUP('Données projet'!$B$14,Paramètres!$A$1:$I$89,5,0)</f>
        <v>3.8130565371830017E-13</v>
      </c>
      <c r="DQ191" s="14">
        <f t="shared" si="176"/>
        <v>4.9019074112354236E-12</v>
      </c>
      <c r="DR191" s="22">
        <f t="shared" si="177"/>
        <v>9.2015960881277352E-12</v>
      </c>
      <c r="DS191" s="62">
        <f t="shared" si="125"/>
        <v>293.33333333334252</v>
      </c>
      <c r="DT191" s="62">
        <f ca="1">AVERAGE(OFFSET($DS$3,0,0,'Données projet'!$E$14+1,1))-AVERAGE(OFFSET($H$3,0,0,'Données projet'!$E$14+1,1))</f>
        <v>446.48069057792151</v>
      </c>
      <c r="DU191" s="62">
        <f t="shared" si="152"/>
        <v>561.75656782935948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14.637435379179694</v>
      </c>
      <c r="EB191" s="23">
        <f>EXP(-LN(2)/25)*EB190+(1-EXP(-LN(2)/25))/(LN(2)/25)*Calculateur!DW191*Calculateur!DY191*VLOOKUP('Données projet'!$B$14,Paramètres!$A$1:$I$89,3,0)*0.475*44/12</f>
        <v>2.3302203066815754</v>
      </c>
      <c r="EC191" s="23">
        <f>EXP(-LN(2)/2)*EC190+(1-EXP(-LN(2)/2))/(LN(2)/2)*DW191*DZ191*VLOOKUP('Données projet'!$B$14,Paramètres!$A$1:$I$89,3,0)*0.475*44/12</f>
        <v>7.2741927445873012E-18</v>
      </c>
      <c r="ED191" s="24">
        <f t="shared" si="178"/>
        <v>16.967655685861271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1.7053025658242404E-13</v>
      </c>
      <c r="EK191" s="18">
        <f>EJ191*VLOOKUP('Données projet'!$B$15,Paramètres!$A$1:$I$89,3,0)*VLOOKUP('Données projet'!$B$15,Paramètres!$A$1:$I$89,5,0)</f>
        <v>1.6493686416652052E-13</v>
      </c>
      <c r="EL191" s="14">
        <f t="shared" si="179"/>
        <v>2.3376205369651282E-12</v>
      </c>
      <c r="EM191" s="22">
        <f t="shared" si="180"/>
        <v>4.3586208069709543E-12</v>
      </c>
      <c r="EN191" s="62">
        <f t="shared" si="128"/>
        <v>293.33333333333769</v>
      </c>
      <c r="EO191" s="62">
        <f ca="1">AVERAGE(OFFSET($EN$3,0,0,'Données projet'!$E$15+1,1))-AVERAGE(OFFSET($H$3,0,0,'Données projet'!$E$15+1,1))</f>
        <v>301.18531163828169</v>
      </c>
      <c r="EP191" s="62">
        <f t="shared" si="154"/>
        <v>192.30530273268101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18.902569562268713</v>
      </c>
      <c r="EW191" s="23">
        <f>EXP(-LN(2)/25)*EW190+(1-EXP(-LN(2)/25))/(LN(2)/25)*Calculateur!ER191*Calculateur!ET191*VLOOKUP('Données projet'!$B$15,Paramètres!$A$1:$I$89,3,0)*0.475*44/12</f>
        <v>0.67814615879312989</v>
      </c>
      <c r="EX191" s="23">
        <f>EXP(-LN(2)/2)*EX190+(1-EXP(-LN(2)/2))/(LN(2)/2)*ER191*EU191*VLOOKUP('Données projet'!$B$15,Paramètres!$A$1:$I$89,3,0)*0.475*44/12</f>
        <v>3.4330769405415563E-18</v>
      </c>
      <c r="EY191" s="24">
        <f t="shared" si="181"/>
        <v>19.580715721061843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1.7053025658242404E-13</v>
      </c>
      <c r="FF191" s="18">
        <f>FE191*VLOOKUP('Données projet'!$B$16,Paramètres!$A$1:$I$89,3,0)*VLOOKUP('Données projet'!$B$16,Paramètres!$A$1:$I$89,5,0)</f>
        <v>1.3301360013429075E-13</v>
      </c>
      <c r="FG191" s="14">
        <f t="shared" si="182"/>
        <v>1.9329766731057041E-12</v>
      </c>
      <c r="FH191" s="22">
        <f t="shared" si="183"/>
        <v>3.5982663925596575E-12</v>
      </c>
      <c r="FI191" s="62">
        <f t="shared" si="131"/>
        <v>293.3333333333369</v>
      </c>
      <c r="FJ191" s="62">
        <f ca="1">AVERAGE(OFFSET($FI$3,0,0,'Données projet'!$E$16+1,1))-AVERAGE(OFFSET($H$3,0,0,'Données projet'!$E$16+1,1))</f>
        <v>249.2899297828755</v>
      </c>
      <c r="FK191" s="62">
        <f t="shared" si="156"/>
        <v>162.88011837476813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15.244007711507036</v>
      </c>
      <c r="FR191" s="23">
        <f>EXP(-LN(2)/25)*FR190+(1-EXP(-LN(2)/25))/(LN(2)/25)*Calculateur!FM191*Calculateur!FO191*VLOOKUP('Données projet'!$B$16,Paramètres!$A$1:$I$89,3,0)*0.475*44/12</f>
        <v>0.54689206354284547</v>
      </c>
      <c r="FS191" s="23">
        <f>EXP(-LN(2)/2)*FS190+(1-EXP(-LN(2)/2))/(LN(2)/2)*FM191*FP191*VLOOKUP('Données projet'!$B$16,Paramètres!$A$1:$I$89,3,0)*0.475*44/12</f>
        <v>2.7686104359205828E-18</v>
      </c>
      <c r="FT191" s="24">
        <f t="shared" si="184"/>
        <v>15.790899775049882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1.7053025658242404E-13</v>
      </c>
      <c r="GA191" s="18">
        <f>FZ191*VLOOKUP('Données projet'!$B$17,Paramètres!$A$1:$I$89,3,0)*VLOOKUP('Données projet'!$B$17,Paramètres!$A$1:$I$89,5,0)</f>
        <v>1.1439169611549005E-13</v>
      </c>
      <c r="GB191" s="14">
        <f t="shared" si="185"/>
        <v>1.6918016515029816E-12</v>
      </c>
      <c r="GC191" s="22">
        <f t="shared" si="186"/>
        <v>3.1457867471021712E-12</v>
      </c>
      <c r="GD191" s="62">
        <f t="shared" si="134"/>
        <v>293.33333333333644</v>
      </c>
      <c r="GE191" s="62">
        <f ca="1">AVERAGE(OFFSET($GD$3,0,0,'Données projet'!$E$17+1,1))-AVERAGE(OFFSET($H$3,0,0,'Données projet'!$E$17+1,1))</f>
        <v>218.89895999738746</v>
      </c>
      <c r="GF191" s="62">
        <f t="shared" si="158"/>
        <v>145.64042897395763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16.158648174197435</v>
      </c>
      <c r="GM191" s="23">
        <f>EXP(-LN(2)/25)*GM190+(1-EXP(-LN(2)/25))/(LN(2)/25)*Calculateur!GH191*Calculateur!GJ191*VLOOKUP('Données projet'!$B$17,Paramètres!$A$1:$I$89,3,0)*0.475*44/12</f>
        <v>0.57970558735541733</v>
      </c>
      <c r="GN191" s="23">
        <f>EXP(-LN(2)/2)*GN190+(1-EXP(-LN(2)/2))/(LN(2)/2)*GH191*GK191*VLOOKUP('Données projet'!$B$17,Paramètres!$A$1:$I$89,3,0)*0.475*44/12</f>
        <v>2.3810049748917219E-18</v>
      </c>
      <c r="GO191" s="23">
        <f t="shared" si="187"/>
        <v>16.738353761552851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1.7053025658242404E-13</v>
      </c>
      <c r="GV191" s="18">
        <f>GU191*VLOOKUP('Données projet'!$B$18,Paramètres!$A$1:$I$89,3,0)*VLOOKUP('Données projet'!$B$18,Paramètres!$A$1:$I$89,5,0)</f>
        <v>1.8355876818532125E-13</v>
      </c>
      <c r="GW191" s="14">
        <f t="shared" si="188"/>
        <v>2.5693529898865504E-12</v>
      </c>
      <c r="GX191" s="22">
        <f t="shared" si="189"/>
        <v>4.7946546453085093E-12</v>
      </c>
      <c r="GY191" s="62">
        <f t="shared" si="137"/>
        <v>293.33333333333809</v>
      </c>
      <c r="GZ191" s="62">
        <f ca="1">AVERAGE(OFFSET($GY$3,0,0,'Données projet'!$E$18+1,1))-AVERAGE(OFFSET($H$3,0,0,'Données projet'!$E$18+1,1))</f>
        <v>331.3579800635751</v>
      </c>
      <c r="HA191" s="62">
        <f t="shared" si="160"/>
        <v>209.40702003535273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21.036730641879704</v>
      </c>
      <c r="HH191" s="23">
        <f>EXP(-LN(2)/25)*HH190+(1-EXP(-LN(2)/25))/(LN(2)/25)*Calculateur!HC191*Calculateur!HE191*VLOOKUP('Données projet'!$B$18,Paramètres!$A$1:$I$89,3,0)*0.475*44/12</f>
        <v>0.75471104768912856</v>
      </c>
      <c r="HI191" s="23">
        <f>EXP(-LN(2)/2)*HI190+(1-EXP(-LN(2)/2))/(LN(2)/2)*HC191*HF191*VLOOKUP('Données projet'!$B$18,Paramètres!$A$1:$I$89,3,0)*0.475*44/12</f>
        <v>3.8206824015704053E-18</v>
      </c>
      <c r="HJ191" s="24">
        <f t="shared" si="190"/>
        <v>21.791441689568831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5.0022208597511053E-12</v>
      </c>
      <c r="O192" s="14">
        <f>N192*VLOOKUP('Données projet'!$B$9,Paramètres!$A$1:$I$89,3,0)*VLOOKUP('Données projet'!$B$9,Paramètres!$A$1:$I$89,5,0)</f>
        <v>4.5260094339028E-12</v>
      </c>
      <c r="P192" s="14">
        <f t="shared" si="141"/>
        <v>4.3625683148570328E-11</v>
      </c>
      <c r="Q192" s="22">
        <f t="shared" si="162"/>
        <v>8.3864197914474037E-11</v>
      </c>
      <c r="R192" s="62">
        <f t="shared" si="109"/>
        <v>293.33333333341716</v>
      </c>
      <c r="S192" s="62">
        <f ca="1">AVERAGE(OFFSET($R$3,0,0,'Données projet'!$E$9+1,1))-AVERAGE(OFFSET($H$3,0,0,'Données projet'!$E$9+1,1))</f>
        <v>2472.5049373954762</v>
      </c>
      <c r="T192" s="62">
        <f t="shared" si="142"/>
        <v>286.98388307318311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659.96090204331995</v>
      </c>
      <c r="AA192" s="23">
        <f>EXP(-LN(2)/25)*AA191+(1-EXP(-LN(2)/25))/(LN(2)/25)*Calculateur!V192*Calculateur!X192*VLOOKUP('Données projet'!$B$9,Paramètres!$A$1:$I$89,3,0)*0.475*44/12</f>
        <v>22.521391788877306</v>
      </c>
      <c r="AB192" s="23">
        <f>EXP(-LN(2)/2)*AB191+(1-EXP(-LN(2)/2))/(LN(2)/2)*V192*Y192*VLOOKUP('Données projet'!$B$9,Paramètres!$A$1:$I$89,3,0)*0.475*44/12</f>
        <v>8.6999176010926986E-6</v>
      </c>
      <c r="AC192" s="24">
        <f t="shared" si="163"/>
        <v>682.48230253211489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5.0022208597511053E-12</v>
      </c>
      <c r="AJ192" s="14">
        <f>AI192*VLOOKUP('Données projet'!$B$10,Paramètres!$A$1:$I$89,3,0)*VLOOKUP('Données projet'!$B$10,Paramètres!$A$1:$I$89,5,0)</f>
        <v>5.0722519517876216E-12</v>
      </c>
      <c r="AK192" s="14">
        <f t="shared" si="164"/>
        <v>4.8246688221215311E-11</v>
      </c>
      <c r="AL192" s="22">
        <f t="shared" si="165"/>
        <v>9.2863820801313432E-11</v>
      </c>
      <c r="AM192" s="62">
        <f t="shared" si="113"/>
        <v>293.3333333334262</v>
      </c>
      <c r="AN192" s="62">
        <f ca="1">AVERAGE(OFFSET($AM$3,0,0,'Données projet'!$E$10+1,1))-AVERAGE(OFFSET($H$3,0,0,'Données projet'!$E$10+1,1))</f>
        <v>2761.1400657295467</v>
      </c>
      <c r="AO192" s="62">
        <f t="shared" si="144"/>
        <v>316.41877504316409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739.61135573820309</v>
      </c>
      <c r="AV192" s="23">
        <f>EXP(-LN(2)/25)*AV191+(1-EXP(-LN(2)/25))/(LN(2)/25)*Calculateur!AQ192*Calculateur!AS192*VLOOKUP('Données projet'!$B$10,Paramètres!$A$1:$I$89,3,0)*0.475*44/12</f>
        <v>25.239490797879764</v>
      </c>
      <c r="AW192" s="23">
        <f>EXP(-LN(2)/2)*AW191+(1-EXP(-LN(2)/2))/(LN(2)/2)*AQ192*AT192*VLOOKUP('Données projet'!$B$10,Paramètres!$A$1:$I$89,3,0)*0.475*44/12</f>
        <v>9.7499076563969919E-6</v>
      </c>
      <c r="AX192" s="23">
        <f t="shared" si="166"/>
        <v>764.85085628599052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5.0022208597511053E-12</v>
      </c>
      <c r="BE192" s="14">
        <f>BD192*VLOOKUP('Données projet'!$B$11,Paramètres!$A$1:$I$89,3,0)*VLOOKUP('Données projet'!$B$11,Paramètres!$A$1:$I$89,5,0)</f>
        <v>5.2283212426118558E-12</v>
      </c>
      <c r="BF192" s="14">
        <f t="shared" si="167"/>
        <v>4.9556081821365385E-11</v>
      </c>
      <c r="BG192" s="22">
        <f t="shared" si="168"/>
        <v>9.5416168669760364E-11</v>
      </c>
      <c r="BH192" s="62">
        <f t="shared" si="116"/>
        <v>293.33333333342875</v>
      </c>
      <c r="BI192" s="62">
        <f ca="1">AVERAGE(OFFSET($BH$3,0,0,'Données projet'!$E$11+1,1))-AVERAGE(OFFSET($H$3,0,0,'Données projet'!$E$11+1,1))</f>
        <v>2843.5086223152098</v>
      </c>
      <c r="BJ192" s="62">
        <f t="shared" si="146"/>
        <v>324.81562437645522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762.36862822245575</v>
      </c>
      <c r="BQ192" s="23">
        <f>EXP(-LN(2)/25)*BQ191+(1-EXP(-LN(2)/25))/(LN(2)/25)*Calculateur!BL192*Calculateur!BN192*VLOOKUP('Données projet'!$B$11,Paramètres!$A$1:$I$89,3,0)*0.475*44/12</f>
        <v>26.016090514737595</v>
      </c>
      <c r="BR192" s="23">
        <f>EXP(-LN(2)/2)*BR191+(1-EXP(-LN(2)/2))/(LN(2)/2)*BL192*BO192*VLOOKUP('Données projet'!$B$11,Paramètres!$A$1:$I$89,3,0)*0.475*44/12</f>
        <v>1.0049904815055369E-5</v>
      </c>
      <c r="BS192" s="24">
        <f t="shared" si="169"/>
        <v>788.3847287870982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5.0022208597511053E-12</v>
      </c>
      <c r="BZ192" s="14">
        <f>BY192*VLOOKUP('Données projet'!$B$12,Paramètres!$A$1:$I$89,3,0)*VLOOKUP('Données projet'!$B$12,Paramètres!$A$1:$I$89,5,0)</f>
        <v>4.9942173063755036E-12</v>
      </c>
      <c r="CA192" s="14">
        <f t="shared" si="170"/>
        <v>4.7590239529202817E-11</v>
      </c>
      <c r="CB192" s="22">
        <f t="shared" si="171"/>
        <v>9.1584595655298897E-11</v>
      </c>
      <c r="CC192" s="62">
        <f t="shared" si="119"/>
        <v>293.33333333342489</v>
      </c>
      <c r="CD192" s="62">
        <f ca="1">AVERAGE(OFFSET($CC$3,0,0,'Données projet'!$E$12+1,1))-AVERAGE(OFFSET($H$3,0,0,'Données projet'!$E$12+1,1))</f>
        <v>2719.939926994799</v>
      </c>
      <c r="CE192" s="62">
        <f t="shared" si="148"/>
        <v>312.21824046329749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728.23271949607727</v>
      </c>
      <c r="CL192" s="23">
        <f>EXP(-LN(2)/25)*CL191+(1-EXP(-LN(2)/25))/(LN(2)/25)*Calculateur!CG192*Calculateur!CI192*VLOOKUP('Données projet'!$B$12,Paramètres!$A$1:$I$89,3,0)*0.475*44/12</f>
        <v>24.851190939450838</v>
      </c>
      <c r="CM192" s="23">
        <f>EXP(-LN(2)/2)*CM191+(1-EXP(-LN(2)/2))/(LN(2)/2)*CG192*CJ192*VLOOKUP('Données projet'!$B$12,Paramètres!$A$1:$I$89,3,0)*0.475*44/12</f>
        <v>9.5999090770678016E-6</v>
      </c>
      <c r="CN192" s="24">
        <f t="shared" si="172"/>
        <v>753.08392003543713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1.1368683772161603E-12</v>
      </c>
      <c r="CU192" s="18">
        <f>CT192*VLOOKUP('Données projet'!$B$13,Paramètres!$A$1:$I$89,3,0)*VLOOKUP('Données projet'!$B$13,Paramètres!$A$1:$I$89,5,0)</f>
        <v>9.9316821433603771E-13</v>
      </c>
      <c r="CV192" s="14">
        <f t="shared" si="173"/>
        <v>1.1421454694498936E-11</v>
      </c>
      <c r="CW192" s="22">
        <f t="shared" si="174"/>
        <v>2.1622134899554243E-11</v>
      </c>
      <c r="CX192" s="62">
        <f t="shared" si="122"/>
        <v>293.33333333335491</v>
      </c>
      <c r="CY192" s="62">
        <f ca="1">AVERAGE(OFFSET($CX$3,0,0,'Données projet'!$E$13+1,1))-AVERAGE(OFFSET($H$3,0,0,'Données projet'!$E$13+1,1))</f>
        <v>1036.0130072090849</v>
      </c>
      <c r="CZ192" s="62">
        <f t="shared" si="150"/>
        <v>346.56593355696174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77.334689468283784</v>
      </c>
      <c r="DG192" s="23">
        <f>EXP(-LN(2)/25)*DG191+(1-EXP(-LN(2)/25))/(LN(2)/25)*Calculateur!DB192*Calculateur!DD192*VLOOKUP('Données projet'!$B$13,Paramètres!$A$1:$I$89,3,0)*0.475*44/12</f>
        <v>2.0609637720487117</v>
      </c>
      <c r="DH192" s="23">
        <f>EXP(-LN(2)/2)*DH191+(1-EXP(-LN(2)/2))/(LN(2)/2)*DB192*DE192*VLOOKUP('Données projet'!$B$13,Paramètres!$A$1:$I$89,3,0)*0.475*44/12</f>
        <v>3.5474282611221464E-15</v>
      </c>
      <c r="DI192" s="24">
        <f t="shared" si="175"/>
        <v>79.395653240332493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6.8212102632969618E-13</v>
      </c>
      <c r="DP192" s="18">
        <f>DO192*VLOOKUP('Données projet'!$B$14,Paramètres!$A$1:$I$89,3,0)*VLOOKUP('Données projet'!$B$14,Paramètres!$A$1:$I$89,5,0)</f>
        <v>3.8130565371830017E-13</v>
      </c>
      <c r="DQ192" s="14">
        <f t="shared" si="176"/>
        <v>4.9019074112354236E-12</v>
      </c>
      <c r="DR192" s="22">
        <f t="shared" si="177"/>
        <v>9.2015960881277352E-12</v>
      </c>
      <c r="DS192" s="62">
        <f t="shared" si="125"/>
        <v>293.33333333334252</v>
      </c>
      <c r="DT192" s="62">
        <f ca="1">AVERAGE(OFFSET($DS$3,0,0,'Données projet'!$E$14+1,1))-AVERAGE(OFFSET($H$3,0,0,'Données projet'!$E$14+1,1))</f>
        <v>446.48069057792151</v>
      </c>
      <c r="DU192" s="62">
        <f t="shared" si="152"/>
        <v>561.75656782935948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14.350404199347999</v>
      </c>
      <c r="EB192" s="23">
        <f>EXP(-LN(2)/25)*EB191+(1-EXP(-LN(2)/25))/(LN(2)/25)*Calculateur!DW192*Calculateur!DY192*VLOOKUP('Données projet'!$B$14,Paramètres!$A$1:$I$89,3,0)*0.475*44/12</f>
        <v>2.2665003098544076</v>
      </c>
      <c r="EC192" s="23">
        <f>EXP(-LN(2)/2)*EC191+(1-EXP(-LN(2)/2))/(LN(2)/2)*DW192*DZ192*VLOOKUP('Données projet'!$B$14,Paramètres!$A$1:$I$89,3,0)*0.475*44/12</f>
        <v>5.1436310173556645E-18</v>
      </c>
      <c r="ED192" s="24">
        <f t="shared" si="178"/>
        <v>16.616904509202406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1.7053025658242404E-13</v>
      </c>
      <c r="EK192" s="18">
        <f>EJ192*VLOOKUP('Données projet'!$B$15,Paramètres!$A$1:$I$89,3,0)*VLOOKUP('Données projet'!$B$15,Paramètres!$A$1:$I$89,5,0)</f>
        <v>1.6493686416652052E-13</v>
      </c>
      <c r="EL192" s="14">
        <f t="shared" si="179"/>
        <v>2.3376205369651282E-12</v>
      </c>
      <c r="EM192" s="22">
        <f t="shared" si="180"/>
        <v>4.3586208069709543E-12</v>
      </c>
      <c r="EN192" s="62">
        <f t="shared" si="128"/>
        <v>293.33333333333769</v>
      </c>
      <c r="EO192" s="62">
        <f ca="1">AVERAGE(OFFSET($EN$3,0,0,'Données projet'!$E$15+1,1))-AVERAGE(OFFSET($H$3,0,0,'Données projet'!$E$15+1,1))</f>
        <v>301.18531163828169</v>
      </c>
      <c r="EP192" s="62">
        <f t="shared" si="154"/>
        <v>192.30530273268101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18.531901702581621</v>
      </c>
      <c r="EW192" s="23">
        <f>EXP(-LN(2)/25)*EW191+(1-EXP(-LN(2)/25))/(LN(2)/25)*Calculateur!ER192*Calculateur!ET192*VLOOKUP('Données projet'!$B$15,Paramètres!$A$1:$I$89,3,0)*0.475*44/12</f>
        <v>0.65960221641877514</v>
      </c>
      <c r="EX192" s="23">
        <f>EXP(-LN(2)/2)*EX191+(1-EXP(-LN(2)/2))/(LN(2)/2)*ER192*EU192*VLOOKUP('Données projet'!$B$15,Paramètres!$A$1:$I$89,3,0)*0.475*44/12</f>
        <v>2.4275519849921004E-18</v>
      </c>
      <c r="EY192" s="24">
        <f t="shared" si="181"/>
        <v>19.191503919000397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1.7053025658242404E-13</v>
      </c>
      <c r="FF192" s="18">
        <f>FE192*VLOOKUP('Données projet'!$B$16,Paramètres!$A$1:$I$89,3,0)*VLOOKUP('Données projet'!$B$16,Paramètres!$A$1:$I$89,5,0)</f>
        <v>1.3301360013429075E-13</v>
      </c>
      <c r="FG192" s="14">
        <f t="shared" si="182"/>
        <v>1.9329766731057041E-12</v>
      </c>
      <c r="FH192" s="22">
        <f t="shared" si="183"/>
        <v>3.5982663925596575E-12</v>
      </c>
      <c r="FI192" s="62">
        <f t="shared" si="131"/>
        <v>293.3333333333369</v>
      </c>
      <c r="FJ192" s="62">
        <f ca="1">AVERAGE(OFFSET($FI$3,0,0,'Données projet'!$E$16+1,1))-AVERAGE(OFFSET($H$3,0,0,'Données projet'!$E$16+1,1))</f>
        <v>249.2899297828755</v>
      </c>
      <c r="FK192" s="62">
        <f t="shared" si="156"/>
        <v>162.88011837476813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14.945082018210993</v>
      </c>
      <c r="FR192" s="23">
        <f>EXP(-LN(2)/25)*FR191+(1-EXP(-LN(2)/25))/(LN(2)/25)*Calculateur!FM192*Calculateur!FO192*VLOOKUP('Données projet'!$B$16,Paramètres!$A$1:$I$89,3,0)*0.475*44/12</f>
        <v>0.53193727130546264</v>
      </c>
      <c r="FS192" s="23">
        <f>EXP(-LN(2)/2)*FS191+(1-EXP(-LN(2)/2))/(LN(2)/2)*FM192*FP192*VLOOKUP('Données projet'!$B$16,Paramètres!$A$1:$I$89,3,0)*0.475*44/12</f>
        <v>1.9577032137032875E-18</v>
      </c>
      <c r="FT192" s="24">
        <f t="shared" si="184"/>
        <v>15.477019289516456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1.7053025658242404E-13</v>
      </c>
      <c r="GA192" s="18">
        <f>FZ192*VLOOKUP('Données projet'!$B$17,Paramètres!$A$1:$I$89,3,0)*VLOOKUP('Données projet'!$B$17,Paramètres!$A$1:$I$89,5,0)</f>
        <v>1.1439169611549005E-13</v>
      </c>
      <c r="GB192" s="14">
        <f t="shared" si="185"/>
        <v>1.6918016515029816E-12</v>
      </c>
      <c r="GC192" s="22">
        <f t="shared" si="186"/>
        <v>3.1457867471021712E-12</v>
      </c>
      <c r="GD192" s="62">
        <f t="shared" si="134"/>
        <v>293.33333333333644</v>
      </c>
      <c r="GE192" s="62">
        <f ca="1">AVERAGE(OFFSET($GD$3,0,0,'Données projet'!$E$17+1,1))-AVERAGE(OFFSET($H$3,0,0,'Données projet'!$E$17+1,1))</f>
        <v>218.89895999738746</v>
      </c>
      <c r="GF192" s="62">
        <f t="shared" si="158"/>
        <v>145.64042897395763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15.841786939303629</v>
      </c>
      <c r="GM192" s="23">
        <f>EXP(-LN(2)/25)*GM191+(1-EXP(-LN(2)/25))/(LN(2)/25)*Calculateur!GH192*Calculateur!GJ192*VLOOKUP('Données projet'!$B$17,Paramètres!$A$1:$I$89,3,0)*0.475*44/12</f>
        <v>0.56385350758379149</v>
      </c>
      <c r="GN192" s="23">
        <f>EXP(-LN(2)/2)*GN191+(1-EXP(-LN(2)/2))/(LN(2)/2)*GH192*GK192*VLOOKUP('Données projet'!$B$17,Paramètres!$A$1:$I$89,3,0)*0.475*44/12</f>
        <v>1.6836247637848419E-18</v>
      </c>
      <c r="GO192" s="23">
        <f t="shared" si="187"/>
        <v>16.405640446887421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1.7053025658242404E-13</v>
      </c>
      <c r="GV192" s="18">
        <f>GU192*VLOOKUP('Données projet'!$B$18,Paramètres!$A$1:$I$89,3,0)*VLOOKUP('Données projet'!$B$18,Paramètres!$A$1:$I$89,5,0)</f>
        <v>1.8355876818532125E-13</v>
      </c>
      <c r="GW192" s="14">
        <f t="shared" si="188"/>
        <v>2.5693529898865504E-12</v>
      </c>
      <c r="GX192" s="22">
        <f t="shared" si="189"/>
        <v>4.7946546453085093E-12</v>
      </c>
      <c r="GY192" s="62">
        <f t="shared" si="137"/>
        <v>293.33333333333809</v>
      </c>
      <c r="GZ192" s="62">
        <f ca="1">AVERAGE(OFFSET($GY$3,0,0,'Données projet'!$E$18+1,1))-AVERAGE(OFFSET($H$3,0,0,'Données projet'!$E$18+1,1))</f>
        <v>331.3579800635751</v>
      </c>
      <c r="HA192" s="62">
        <f t="shared" si="160"/>
        <v>209.40702003535273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20.624213185131165</v>
      </c>
      <c r="HH192" s="23">
        <f>EXP(-LN(2)/25)*HH191+(1-EXP(-LN(2)/25))/(LN(2)/25)*Calculateur!HC192*Calculateur!HE192*VLOOKUP('Données projet'!$B$18,Paramètres!$A$1:$I$89,3,0)*0.475*44/12</f>
        <v>0.73407343440154027</v>
      </c>
      <c r="HI192" s="23">
        <f>EXP(-LN(2)/2)*HI191+(1-EXP(-LN(2)/2))/(LN(2)/2)*HC192*HF192*VLOOKUP('Données projet'!$B$18,Paramètres!$A$1:$I$89,3,0)*0.475*44/12</f>
        <v>2.7016304349105375E-18</v>
      </c>
      <c r="HJ192" s="24">
        <f t="shared" si="190"/>
        <v>21.358286619532706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5.0022208597511053E-12</v>
      </c>
      <c r="O193" s="14">
        <f>N193*VLOOKUP('Données projet'!$B$9,Paramètres!$A$1:$I$89,3,0)*VLOOKUP('Données projet'!$B$9,Paramètres!$A$1:$I$89,5,0)</f>
        <v>4.5260094339028E-12</v>
      </c>
      <c r="P193" s="14">
        <f t="shared" si="141"/>
        <v>4.3625683148570328E-11</v>
      </c>
      <c r="Q193" s="22">
        <f t="shared" si="162"/>
        <v>8.3864197914474037E-11</v>
      </c>
      <c r="R193" s="62">
        <f t="shared" si="109"/>
        <v>293.33333333341716</v>
      </c>
      <c r="S193" s="62">
        <f ca="1">AVERAGE(OFFSET($R$3,0,0,'Données projet'!$E$9+1,1))-AVERAGE(OFFSET($H$3,0,0,'Données projet'!$E$9+1,1))</f>
        <v>2472.5049373954762</v>
      </c>
      <c r="T193" s="62">
        <f t="shared" si="142"/>
        <v>286.98388307318311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647.01947129065354</v>
      </c>
      <c r="AA193" s="23">
        <f>EXP(-LN(2)/25)*AA192+(1-EXP(-LN(2)/25))/(LN(2)/25)*Calculateur!V193*Calculateur!X193*VLOOKUP('Données projet'!$B$9,Paramètres!$A$1:$I$89,3,0)*0.475*44/12</f>
        <v>21.905543146061934</v>
      </c>
      <c r="AB193" s="23">
        <f>EXP(-LN(2)/2)*AB192+(1-EXP(-LN(2)/2))/(LN(2)/2)*V193*Y193*VLOOKUP('Données projet'!$B$9,Paramètres!$A$1:$I$89,3,0)*0.475*44/12</f>
        <v>6.1517707314968483E-6</v>
      </c>
      <c r="AC193" s="24">
        <f t="shared" si="163"/>
        <v>668.92502058848629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5.0022208597511053E-12</v>
      </c>
      <c r="AJ193" s="14">
        <f>AI193*VLOOKUP('Données projet'!$B$10,Paramètres!$A$1:$I$89,3,0)*VLOOKUP('Données projet'!$B$10,Paramètres!$A$1:$I$89,5,0)</f>
        <v>5.0722519517876216E-12</v>
      </c>
      <c r="AK193" s="14">
        <f t="shared" si="164"/>
        <v>4.8246688221215311E-11</v>
      </c>
      <c r="AL193" s="22">
        <f t="shared" si="165"/>
        <v>9.2863820801313432E-11</v>
      </c>
      <c r="AM193" s="62">
        <f t="shared" si="113"/>
        <v>293.3333333334262</v>
      </c>
      <c r="AN193" s="62">
        <f ca="1">AVERAGE(OFFSET($AM$3,0,0,'Données projet'!$E$10+1,1))-AVERAGE(OFFSET($H$3,0,0,'Données projet'!$E$10+1,1))</f>
        <v>2761.1400657295467</v>
      </c>
      <c r="AO193" s="62">
        <f t="shared" si="144"/>
        <v>316.41877504316409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725.10802817055969</v>
      </c>
      <c r="AV193" s="23">
        <f>EXP(-LN(2)/25)*AV192+(1-EXP(-LN(2)/25))/(LN(2)/25)*Calculateur!AQ193*Calculateur!AS193*VLOOKUP('Données projet'!$B$10,Paramètres!$A$1:$I$89,3,0)*0.475*44/12</f>
        <v>24.549315594724607</v>
      </c>
      <c r="AW193" s="23">
        <f>EXP(-LN(2)/2)*AW192+(1-EXP(-LN(2)/2))/(LN(2)/2)*AQ193*AT193*VLOOKUP('Données projet'!$B$10,Paramètres!$A$1:$I$89,3,0)*0.475*44/12</f>
        <v>6.8942258197809523E-6</v>
      </c>
      <c r="AX193" s="23">
        <f t="shared" si="166"/>
        <v>749.65735065951014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5.0022208597511053E-12</v>
      </c>
      <c r="BE193" s="14">
        <f>BD193*VLOOKUP('Données projet'!$B$11,Paramètres!$A$1:$I$89,3,0)*VLOOKUP('Données projet'!$B$11,Paramètres!$A$1:$I$89,5,0)</f>
        <v>5.2283212426118558E-12</v>
      </c>
      <c r="BF193" s="14">
        <f t="shared" si="167"/>
        <v>4.9556081821365385E-11</v>
      </c>
      <c r="BG193" s="22">
        <f t="shared" si="168"/>
        <v>9.5416168669760364E-11</v>
      </c>
      <c r="BH193" s="62">
        <f t="shared" si="116"/>
        <v>293.33333333342875</v>
      </c>
      <c r="BI193" s="62">
        <f ca="1">AVERAGE(OFFSET($BH$3,0,0,'Données projet'!$E$11+1,1))-AVERAGE(OFFSET($H$3,0,0,'Données projet'!$E$11+1,1))</f>
        <v>2843.5086223152098</v>
      </c>
      <c r="BJ193" s="62">
        <f t="shared" si="146"/>
        <v>324.81562437645522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747.41904442196176</v>
      </c>
      <c r="BQ193" s="23">
        <f>EXP(-LN(2)/25)*BQ192+(1-EXP(-LN(2)/25))/(LN(2)/25)*Calculateur!BL193*Calculateur!BN193*VLOOKUP('Données projet'!$B$11,Paramètres!$A$1:$I$89,3,0)*0.475*44/12</f>
        <v>25.304679151485356</v>
      </c>
      <c r="BR193" s="23">
        <f>EXP(-LN(2)/2)*BR192+(1-EXP(-LN(2)/2))/(LN(2)/2)*BL193*BO193*VLOOKUP('Données projet'!$B$11,Paramètres!$A$1:$I$89,3,0)*0.475*44/12</f>
        <v>7.1063558450049874E-6</v>
      </c>
      <c r="BS193" s="24">
        <f t="shared" si="169"/>
        <v>772.723730679803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5.0022208597511053E-12</v>
      </c>
      <c r="BZ193" s="14">
        <f>BY193*VLOOKUP('Données projet'!$B$12,Paramètres!$A$1:$I$89,3,0)*VLOOKUP('Données projet'!$B$12,Paramètres!$A$1:$I$89,5,0)</f>
        <v>4.9942173063755036E-12</v>
      </c>
      <c r="CA193" s="14">
        <f t="shared" si="170"/>
        <v>4.7590239529202817E-11</v>
      </c>
      <c r="CB193" s="22">
        <f t="shared" si="171"/>
        <v>9.1584595655298897E-11</v>
      </c>
      <c r="CC193" s="62">
        <f t="shared" si="119"/>
        <v>293.33333333342489</v>
      </c>
      <c r="CD193" s="62">
        <f ca="1">AVERAGE(OFFSET($CC$3,0,0,'Données projet'!$E$12+1,1))-AVERAGE(OFFSET($H$3,0,0,'Données projet'!$E$12+1,1))</f>
        <v>2719.939926994799</v>
      </c>
      <c r="CE193" s="62">
        <f t="shared" si="148"/>
        <v>312.21824046329749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713.95252004485917</v>
      </c>
      <c r="CL193" s="23">
        <f>EXP(-LN(2)/25)*CL192+(1-EXP(-LN(2)/25))/(LN(2)/25)*Calculateur!CG193*Calculateur!CI193*VLOOKUP('Données projet'!$B$12,Paramètres!$A$1:$I$89,3,0)*0.475*44/12</f>
        <v>24.171633816344222</v>
      </c>
      <c r="CM193" s="23">
        <f>EXP(-LN(2)/2)*CM192+(1-EXP(-LN(2)/2))/(LN(2)/2)*CG193*CJ193*VLOOKUP('Données projet'!$B$12,Paramètres!$A$1:$I$89,3,0)*0.475*44/12</f>
        <v>6.7881608071689334E-6</v>
      </c>
      <c r="CN193" s="24">
        <f t="shared" si="172"/>
        <v>738.12416064936417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1.1368683772161603E-12</v>
      </c>
      <c r="CU193" s="18">
        <f>CT193*VLOOKUP('Données projet'!$B$13,Paramètres!$A$1:$I$89,3,0)*VLOOKUP('Données projet'!$B$13,Paramètres!$A$1:$I$89,5,0)</f>
        <v>9.9316821433603771E-13</v>
      </c>
      <c r="CV193" s="14">
        <f t="shared" si="173"/>
        <v>1.1421454694498936E-11</v>
      </c>
      <c r="CW193" s="22">
        <f t="shared" si="174"/>
        <v>2.1622134899554243E-11</v>
      </c>
      <c r="CX193" s="62">
        <f t="shared" si="122"/>
        <v>293.33333333335491</v>
      </c>
      <c r="CY193" s="62">
        <f ca="1">AVERAGE(OFFSET($CX$3,0,0,'Données projet'!$E$13+1,1))-AVERAGE(OFFSET($H$3,0,0,'Données projet'!$E$13+1,1))</f>
        <v>1036.0130072090849</v>
      </c>
      <c r="CZ193" s="62">
        <f t="shared" si="150"/>
        <v>346.56593355696174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75.818203377313708</v>
      </c>
      <c r="DG193" s="23">
        <f>EXP(-LN(2)/25)*DG192+(1-EXP(-LN(2)/25))/(LN(2)/25)*Calculateur!DB193*Calculateur!DD193*VLOOKUP('Données projet'!$B$13,Paramètres!$A$1:$I$89,3,0)*0.475*44/12</f>
        <v>2.0046066093206654</v>
      </c>
      <c r="DH193" s="23">
        <f>EXP(-LN(2)/2)*DH192+(1-EXP(-LN(2)/2))/(LN(2)/2)*DB193*DE193*VLOOKUP('Données projet'!$B$13,Paramètres!$A$1:$I$89,3,0)*0.475*44/12</f>
        <v>2.5084105792122727E-15</v>
      </c>
      <c r="DI193" s="24">
        <f t="shared" si="175"/>
        <v>77.822809986634368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6.8212102632969618E-13</v>
      </c>
      <c r="DP193" s="18">
        <f>DO193*VLOOKUP('Données projet'!$B$14,Paramètres!$A$1:$I$89,3,0)*VLOOKUP('Données projet'!$B$14,Paramètres!$A$1:$I$89,5,0)</f>
        <v>3.8130565371830017E-13</v>
      </c>
      <c r="DQ193" s="14">
        <f t="shared" si="176"/>
        <v>4.9019074112354236E-12</v>
      </c>
      <c r="DR193" s="22">
        <f t="shared" si="177"/>
        <v>9.2015960881277352E-12</v>
      </c>
      <c r="DS193" s="62">
        <f t="shared" si="125"/>
        <v>293.33333333334252</v>
      </c>
      <c r="DT193" s="62">
        <f ca="1">AVERAGE(OFFSET($DS$3,0,0,'Données projet'!$E$14+1,1))-AVERAGE(OFFSET($H$3,0,0,'Données projet'!$E$14+1,1))</f>
        <v>446.48069057792151</v>
      </c>
      <c r="DU193" s="62">
        <f t="shared" si="152"/>
        <v>561.75656782935948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14.06900152588107</v>
      </c>
      <c r="EB193" s="23">
        <f>EXP(-LN(2)/25)*EB192+(1-EXP(-LN(2)/25))/(LN(2)/25)*Calculateur!DW193*Calculateur!DY193*VLOOKUP('Données projet'!$B$14,Paramètres!$A$1:$I$89,3,0)*0.475*44/12</f>
        <v>2.2045227396913676</v>
      </c>
      <c r="EC193" s="23">
        <f>EXP(-LN(2)/2)*EC192+(1-EXP(-LN(2)/2))/(LN(2)/2)*DW193*DZ193*VLOOKUP('Données projet'!$B$14,Paramètres!$A$1:$I$89,3,0)*0.475*44/12</f>
        <v>3.6370963722936506E-18</v>
      </c>
      <c r="ED193" s="24">
        <f t="shared" si="178"/>
        <v>16.273524265572437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1.7053025658242404E-13</v>
      </c>
      <c r="EK193" s="18">
        <f>EJ193*VLOOKUP('Données projet'!$B$15,Paramètres!$A$1:$I$89,3,0)*VLOOKUP('Données projet'!$B$15,Paramètres!$A$1:$I$89,5,0)</f>
        <v>1.6493686416652052E-13</v>
      </c>
      <c r="EL193" s="14">
        <f t="shared" si="179"/>
        <v>2.3376205369651282E-12</v>
      </c>
      <c r="EM193" s="22">
        <f t="shared" si="180"/>
        <v>4.3586208069709543E-12</v>
      </c>
      <c r="EN193" s="62">
        <f t="shared" si="128"/>
        <v>293.33333333333769</v>
      </c>
      <c r="EO193" s="62">
        <f ca="1">AVERAGE(OFFSET($EN$3,0,0,'Données projet'!$E$15+1,1))-AVERAGE(OFFSET($H$3,0,0,'Données projet'!$E$15+1,1))</f>
        <v>301.18531163828169</v>
      </c>
      <c r="EP193" s="62">
        <f t="shared" si="154"/>
        <v>192.30530273268101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18.168502413537922</v>
      </c>
      <c r="EW193" s="23">
        <f>EXP(-LN(2)/25)*EW192+(1-EXP(-LN(2)/25))/(LN(2)/25)*Calculateur!ER193*Calculateur!ET193*VLOOKUP('Données projet'!$B$15,Paramètres!$A$1:$I$89,3,0)*0.475*44/12</f>
        <v>0.64156535912383073</v>
      </c>
      <c r="EX193" s="23">
        <f>EXP(-LN(2)/2)*EX192+(1-EXP(-LN(2)/2))/(LN(2)/2)*ER193*EU193*VLOOKUP('Données projet'!$B$15,Paramètres!$A$1:$I$89,3,0)*0.475*44/12</f>
        <v>1.7165384702707783E-18</v>
      </c>
      <c r="EY193" s="24">
        <f t="shared" si="181"/>
        <v>18.810067772661753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1.7053025658242404E-13</v>
      </c>
      <c r="FF193" s="18">
        <f>FE193*VLOOKUP('Données projet'!$B$16,Paramètres!$A$1:$I$89,3,0)*VLOOKUP('Données projet'!$B$16,Paramètres!$A$1:$I$89,5,0)</f>
        <v>1.3301360013429075E-13</v>
      </c>
      <c r="FG193" s="14">
        <f t="shared" si="182"/>
        <v>1.9329766731057041E-12</v>
      </c>
      <c r="FH193" s="22">
        <f t="shared" si="183"/>
        <v>3.5982663925596575E-12</v>
      </c>
      <c r="FI193" s="62">
        <f t="shared" si="131"/>
        <v>293.3333333333369</v>
      </c>
      <c r="FJ193" s="62">
        <f ca="1">AVERAGE(OFFSET($FI$3,0,0,'Données projet'!$E$16+1,1))-AVERAGE(OFFSET($H$3,0,0,'Données projet'!$E$16+1,1))</f>
        <v>249.2899297828755</v>
      </c>
      <c r="FK193" s="62">
        <f t="shared" si="156"/>
        <v>162.88011837476813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14.652018075433816</v>
      </c>
      <c r="FR193" s="23">
        <f>EXP(-LN(2)/25)*FR192+(1-EXP(-LN(2)/25))/(LN(2)/25)*Calculateur!FM193*Calculateur!FO193*VLOOKUP('Données projet'!$B$16,Paramètres!$A$1:$I$89,3,0)*0.475*44/12</f>
        <v>0.51739141864824945</v>
      </c>
      <c r="FS193" s="23">
        <f>EXP(-LN(2)/2)*FS192+(1-EXP(-LN(2)/2))/(LN(2)/2)*FM193*FP193*VLOOKUP('Données projet'!$B$16,Paramètres!$A$1:$I$89,3,0)*0.475*44/12</f>
        <v>1.3843052179602914E-18</v>
      </c>
      <c r="FT193" s="24">
        <f t="shared" si="184"/>
        <v>15.169409494082066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1.7053025658242404E-13</v>
      </c>
      <c r="GA193" s="18">
        <f>FZ193*VLOOKUP('Données projet'!$B$17,Paramètres!$A$1:$I$89,3,0)*VLOOKUP('Données projet'!$B$17,Paramètres!$A$1:$I$89,5,0)</f>
        <v>1.1439169611549005E-13</v>
      </c>
      <c r="GB193" s="14">
        <f t="shared" si="185"/>
        <v>1.6918016515029816E-12</v>
      </c>
      <c r="GC193" s="22">
        <f t="shared" si="186"/>
        <v>3.1457867471021712E-12</v>
      </c>
      <c r="GD193" s="62">
        <f t="shared" si="134"/>
        <v>293.33333333333644</v>
      </c>
      <c r="GE193" s="62">
        <f ca="1">AVERAGE(OFFSET($GD$3,0,0,'Données projet'!$E$17+1,1))-AVERAGE(OFFSET($H$3,0,0,'Données projet'!$E$17+1,1))</f>
        <v>218.89895999738746</v>
      </c>
      <c r="GF193" s="62">
        <f t="shared" si="158"/>
        <v>145.64042897395763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15.531139159959823</v>
      </c>
      <c r="GM193" s="23">
        <f>EXP(-LN(2)/25)*GM192+(1-EXP(-LN(2)/25))/(LN(2)/25)*Calculateur!GH193*Calculateur!GJ193*VLOOKUP('Données projet'!$B$17,Paramètres!$A$1:$I$89,3,0)*0.475*44/12</f>
        <v>0.54843490376714543</v>
      </c>
      <c r="GN193" s="23">
        <f>EXP(-LN(2)/2)*GN192+(1-EXP(-LN(2)/2))/(LN(2)/2)*GH193*GK193*VLOOKUP('Données projet'!$B$17,Paramètres!$A$1:$I$89,3,0)*0.475*44/12</f>
        <v>1.190502487445861E-18</v>
      </c>
      <c r="GO193" s="23">
        <f t="shared" si="187"/>
        <v>16.07957406372697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1.7053025658242404E-13</v>
      </c>
      <c r="GV193" s="18">
        <f>GU193*VLOOKUP('Données projet'!$B$18,Paramètres!$A$1:$I$89,3,0)*VLOOKUP('Données projet'!$B$18,Paramètres!$A$1:$I$89,5,0)</f>
        <v>1.8355876818532125E-13</v>
      </c>
      <c r="GW193" s="14">
        <f t="shared" si="188"/>
        <v>2.5693529898865504E-12</v>
      </c>
      <c r="GX193" s="22">
        <f t="shared" si="189"/>
        <v>4.7946546453085093E-12</v>
      </c>
      <c r="GY193" s="62">
        <f t="shared" si="137"/>
        <v>293.33333333333809</v>
      </c>
      <c r="GZ193" s="62">
        <f ca="1">AVERAGE(OFFSET($GY$3,0,0,'Données projet'!$E$18+1,1))-AVERAGE(OFFSET($H$3,0,0,'Données projet'!$E$18+1,1))</f>
        <v>331.3579800635751</v>
      </c>
      <c r="HA193" s="62">
        <f t="shared" si="160"/>
        <v>209.40702003535273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20.219784944098659</v>
      </c>
      <c r="HH193" s="23">
        <f>EXP(-LN(2)/25)*HH192+(1-EXP(-LN(2)/25))/(LN(2)/25)*Calculateur!HC193*Calculateur!HE193*VLOOKUP('Données projet'!$B$18,Paramètres!$A$1:$I$89,3,0)*0.475*44/12</f>
        <v>0.71400015773458603</v>
      </c>
      <c r="HI193" s="23">
        <f>EXP(-LN(2)/2)*HI192+(1-EXP(-LN(2)/2))/(LN(2)/2)*HC193*HF193*VLOOKUP('Données projet'!$B$18,Paramètres!$A$1:$I$89,3,0)*0.475*44/12</f>
        <v>1.9103412007852026E-18</v>
      </c>
      <c r="HJ193" s="24">
        <f t="shared" si="190"/>
        <v>20.933785101833244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5.0022208597511053E-12</v>
      </c>
      <c r="O194" s="14">
        <f>N194*VLOOKUP('Données projet'!$B$9,Paramètres!$A$1:$I$89,3,0)*VLOOKUP('Données projet'!$B$9,Paramètres!$A$1:$I$89,5,0)</f>
        <v>4.5260094339028E-12</v>
      </c>
      <c r="P194" s="14">
        <f t="shared" si="141"/>
        <v>4.3625683148570328E-11</v>
      </c>
      <c r="Q194" s="22">
        <f t="shared" si="162"/>
        <v>8.3864197914474037E-11</v>
      </c>
      <c r="R194" s="62">
        <f t="shared" si="109"/>
        <v>293.33333333341716</v>
      </c>
      <c r="S194" s="62">
        <f ca="1">AVERAGE(OFFSET($R$3,0,0,'Données projet'!$E$9+1,1))-AVERAGE(OFFSET($H$3,0,0,'Données projet'!$E$9+1,1))</f>
        <v>2472.5049373954762</v>
      </c>
      <c r="T194" s="62">
        <f t="shared" si="142"/>
        <v>286.98388307318311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634.33181410155362</v>
      </c>
      <c r="AA194" s="23">
        <f>EXP(-LN(2)/25)*AA193+(1-EXP(-LN(2)/25))/(LN(2)/25)*Calculateur!V194*Calculateur!X194*VLOOKUP('Données projet'!$B$9,Paramètres!$A$1:$I$89,3,0)*0.475*44/12</f>
        <v>21.306534916770421</v>
      </c>
      <c r="AB194" s="23">
        <f>EXP(-LN(2)/2)*AB193+(1-EXP(-LN(2)/2))/(LN(2)/2)*V194*Y194*VLOOKUP('Données projet'!$B$9,Paramètres!$A$1:$I$89,3,0)*0.475*44/12</f>
        <v>4.3499588005463493E-6</v>
      </c>
      <c r="AC194" s="24">
        <f t="shared" si="163"/>
        <v>655.63835336828276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5.0022208597511053E-12</v>
      </c>
      <c r="AJ194" s="14">
        <f>AI194*VLOOKUP('Données projet'!$B$10,Paramètres!$A$1:$I$89,3,0)*VLOOKUP('Données projet'!$B$10,Paramètres!$A$1:$I$89,5,0)</f>
        <v>5.0722519517876216E-12</v>
      </c>
      <c r="AK194" s="14">
        <f t="shared" si="164"/>
        <v>4.8246688221215311E-11</v>
      </c>
      <c r="AL194" s="22">
        <f t="shared" si="165"/>
        <v>9.2863820801313432E-11</v>
      </c>
      <c r="AM194" s="62">
        <f t="shared" si="113"/>
        <v>293.3333333334262</v>
      </c>
      <c r="AN194" s="62">
        <f ca="1">AVERAGE(OFFSET($AM$3,0,0,'Données projet'!$E$10+1,1))-AVERAGE(OFFSET($H$3,0,0,'Données projet'!$E$10+1,1))</f>
        <v>2761.1400657295467</v>
      </c>
      <c r="AO194" s="62">
        <f t="shared" si="144"/>
        <v>316.41877504316409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710.8891020103614</v>
      </c>
      <c r="AV194" s="23">
        <f>EXP(-LN(2)/25)*AV193+(1-EXP(-LN(2)/25))/(LN(2)/25)*Calculateur!AQ194*Calculateur!AS194*VLOOKUP('Données projet'!$B$10,Paramètres!$A$1:$I$89,3,0)*0.475*44/12</f>
        <v>23.878013268794465</v>
      </c>
      <c r="AW194" s="23">
        <f>EXP(-LN(2)/2)*AW193+(1-EXP(-LN(2)/2))/(LN(2)/2)*AQ194*AT194*VLOOKUP('Données projet'!$B$10,Paramètres!$A$1:$I$89,3,0)*0.475*44/12</f>
        <v>4.874953828198496E-6</v>
      </c>
      <c r="AX194" s="23">
        <f t="shared" si="166"/>
        <v>734.76712015410965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5.0022208597511053E-12</v>
      </c>
      <c r="BE194" s="14">
        <f>BD194*VLOOKUP('Données projet'!$B$11,Paramètres!$A$1:$I$89,3,0)*VLOOKUP('Données projet'!$B$11,Paramètres!$A$1:$I$89,5,0)</f>
        <v>5.2283212426118558E-12</v>
      </c>
      <c r="BF194" s="14">
        <f t="shared" si="167"/>
        <v>4.9556081821365385E-11</v>
      </c>
      <c r="BG194" s="22">
        <f t="shared" si="168"/>
        <v>9.5416168669760364E-11</v>
      </c>
      <c r="BH194" s="62">
        <f t="shared" si="116"/>
        <v>293.33333333342875</v>
      </c>
      <c r="BI194" s="62">
        <f ca="1">AVERAGE(OFFSET($BH$3,0,0,'Données projet'!$E$11+1,1))-AVERAGE(OFFSET($H$3,0,0,'Données projet'!$E$11+1,1))</f>
        <v>2843.5086223152098</v>
      </c>
      <c r="BJ194" s="62">
        <f t="shared" si="146"/>
        <v>324.81562437645522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732.76261284144971</v>
      </c>
      <c r="BQ194" s="23">
        <f>EXP(-LN(2)/25)*BQ193+(1-EXP(-LN(2)/25))/(LN(2)/25)*Calculateur!BL194*Calculateur!BN194*VLOOKUP('Données projet'!$B$11,Paramètres!$A$1:$I$89,3,0)*0.475*44/12</f>
        <v>24.612721369372746</v>
      </c>
      <c r="BR194" s="23">
        <f>EXP(-LN(2)/2)*BR193+(1-EXP(-LN(2)/2))/(LN(2)/2)*BL194*BO194*VLOOKUP('Données projet'!$B$11,Paramètres!$A$1:$I$89,3,0)*0.475*44/12</f>
        <v>5.0249524075276846E-6</v>
      </c>
      <c r="BS194" s="24">
        <f t="shared" si="169"/>
        <v>757.37533923577485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5.0022208597511053E-12</v>
      </c>
      <c r="BZ194" s="14">
        <f>BY194*VLOOKUP('Données projet'!$B$12,Paramètres!$A$1:$I$89,3,0)*VLOOKUP('Données projet'!$B$12,Paramètres!$A$1:$I$89,5,0)</f>
        <v>4.9942173063755036E-12</v>
      </c>
      <c r="CA194" s="14">
        <f t="shared" si="170"/>
        <v>4.7590239529202817E-11</v>
      </c>
      <c r="CB194" s="22">
        <f t="shared" si="171"/>
        <v>9.1584595655298897E-11</v>
      </c>
      <c r="CC194" s="62">
        <f t="shared" si="119"/>
        <v>293.33333333342489</v>
      </c>
      <c r="CD194" s="62">
        <f ca="1">AVERAGE(OFFSET($CC$3,0,0,'Données projet'!$E$12+1,1))-AVERAGE(OFFSET($H$3,0,0,'Données projet'!$E$12+1,1))</f>
        <v>2719.939926994799</v>
      </c>
      <c r="CE194" s="62">
        <f t="shared" si="148"/>
        <v>312.21824046329749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699.95234659481787</v>
      </c>
      <c r="CL194" s="23">
        <f>EXP(-LN(2)/25)*CL193+(1-EXP(-LN(2)/25))/(LN(2)/25)*Calculateur!CG194*Calculateur!CI194*VLOOKUP('Données projet'!$B$12,Paramètres!$A$1:$I$89,3,0)*0.475*44/12</f>
        <v>23.510659218505314</v>
      </c>
      <c r="CM194" s="23">
        <f>EXP(-LN(2)/2)*CM193+(1-EXP(-LN(2)/2))/(LN(2)/2)*CG194*CJ194*VLOOKUP('Données projet'!$B$12,Paramètres!$A$1:$I$89,3,0)*0.475*44/12</f>
        <v>4.7999545385339008E-6</v>
      </c>
      <c r="CN194" s="24">
        <f t="shared" si="172"/>
        <v>723.46301061327779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1.1368683772161603E-12</v>
      </c>
      <c r="CU194" s="18">
        <f>CT194*VLOOKUP('Données projet'!$B$13,Paramètres!$A$1:$I$89,3,0)*VLOOKUP('Données projet'!$B$13,Paramètres!$A$1:$I$89,5,0)</f>
        <v>9.9316821433603771E-13</v>
      </c>
      <c r="CV194" s="14">
        <f t="shared" si="173"/>
        <v>1.1421454694498936E-11</v>
      </c>
      <c r="CW194" s="22">
        <f t="shared" si="174"/>
        <v>2.1622134899554243E-11</v>
      </c>
      <c r="CX194" s="62">
        <f t="shared" si="122"/>
        <v>293.33333333335491</v>
      </c>
      <c r="CY194" s="62">
        <f ca="1">AVERAGE(OFFSET($CX$3,0,0,'Données projet'!$E$13+1,1))-AVERAGE(OFFSET($H$3,0,0,'Données projet'!$E$13+1,1))</f>
        <v>1036.0130072090849</v>
      </c>
      <c r="CZ194" s="62">
        <f t="shared" si="150"/>
        <v>346.56593355696174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74.331454653622373</v>
      </c>
      <c r="DG194" s="23">
        <f>EXP(-LN(2)/25)*DG193+(1-EXP(-LN(2)/25))/(LN(2)/25)*Calculateur!DB194*Calculateur!DD194*VLOOKUP('Données projet'!$B$13,Paramètres!$A$1:$I$89,3,0)*0.475*44/12</f>
        <v>1.9497905361711119</v>
      </c>
      <c r="DH194" s="23">
        <f>EXP(-LN(2)/2)*DH193+(1-EXP(-LN(2)/2))/(LN(2)/2)*DB194*DE194*VLOOKUP('Données projet'!$B$13,Paramètres!$A$1:$I$89,3,0)*0.475*44/12</f>
        <v>1.7737141305610736E-15</v>
      </c>
      <c r="DI194" s="24">
        <f t="shared" si="175"/>
        <v>76.281245189793481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6.8212102632969618E-13</v>
      </c>
      <c r="DP194" s="18">
        <f>DO194*VLOOKUP('Données projet'!$B$14,Paramètres!$A$1:$I$89,3,0)*VLOOKUP('Données projet'!$B$14,Paramètres!$A$1:$I$89,5,0)</f>
        <v>3.8130565371830017E-13</v>
      </c>
      <c r="DQ194" s="14">
        <f t="shared" si="176"/>
        <v>4.9019074112354236E-12</v>
      </c>
      <c r="DR194" s="22">
        <f t="shared" si="177"/>
        <v>9.2015960881277352E-12</v>
      </c>
      <c r="DS194" s="62">
        <f t="shared" si="125"/>
        <v>293.33333333334252</v>
      </c>
      <c r="DT194" s="62">
        <f ca="1">AVERAGE(OFFSET($DS$3,0,0,'Données projet'!$E$14+1,1))-AVERAGE(OFFSET($H$3,0,0,'Données projet'!$E$14+1,1))</f>
        <v>446.48069057792151</v>
      </c>
      <c r="DU194" s="62">
        <f t="shared" si="152"/>
        <v>561.75656782935948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13.793116987202145</v>
      </c>
      <c r="EB194" s="23">
        <f>EXP(-LN(2)/25)*EB193+(1-EXP(-LN(2)/25))/(LN(2)/25)*Calculateur!DW194*Calculateur!DY194*VLOOKUP('Données projet'!$B$14,Paramètres!$A$1:$I$89,3,0)*0.475*44/12</f>
        <v>2.1442399494436946</v>
      </c>
      <c r="EC194" s="23">
        <f>EXP(-LN(2)/2)*EC193+(1-EXP(-LN(2)/2))/(LN(2)/2)*DW194*DZ194*VLOOKUP('Données projet'!$B$14,Paramètres!$A$1:$I$89,3,0)*0.475*44/12</f>
        <v>2.5718155086778322E-18</v>
      </c>
      <c r="ED194" s="24">
        <f t="shared" si="178"/>
        <v>15.937356936645839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1.7053025658242404E-13</v>
      </c>
      <c r="EK194" s="18">
        <f>EJ194*VLOOKUP('Données projet'!$B$15,Paramètres!$A$1:$I$89,3,0)*VLOOKUP('Données projet'!$B$15,Paramètres!$A$1:$I$89,5,0)</f>
        <v>1.6493686416652052E-13</v>
      </c>
      <c r="EL194" s="14">
        <f t="shared" si="179"/>
        <v>2.3376205369651282E-12</v>
      </c>
      <c r="EM194" s="22">
        <f t="shared" si="180"/>
        <v>4.3586208069709543E-12</v>
      </c>
      <c r="EN194" s="62">
        <f t="shared" si="128"/>
        <v>293.33333333333769</v>
      </c>
      <c r="EO194" s="62">
        <f ca="1">AVERAGE(OFFSET($EN$3,0,0,'Données projet'!$E$15+1,1))-AVERAGE(OFFSET($H$3,0,0,'Données projet'!$E$15+1,1))</f>
        <v>301.18531163828169</v>
      </c>
      <c r="EP194" s="62">
        <f t="shared" si="154"/>
        <v>192.30530273268101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17.812229162900689</v>
      </c>
      <c r="EW194" s="23">
        <f>EXP(-LN(2)/25)*EW193+(1-EXP(-LN(2)/25))/(LN(2)/25)*Calculateur!ER194*Calculateur!ET194*VLOOKUP('Données projet'!$B$15,Paramètres!$A$1:$I$89,3,0)*0.475*44/12</f>
        <v>0.62402172064013361</v>
      </c>
      <c r="EX194" s="23">
        <f>EXP(-LN(2)/2)*EX193+(1-EXP(-LN(2)/2))/(LN(2)/2)*ER194*EU194*VLOOKUP('Données projet'!$B$15,Paramètres!$A$1:$I$89,3,0)*0.475*44/12</f>
        <v>1.2137759924960504E-18</v>
      </c>
      <c r="EY194" s="24">
        <f t="shared" si="181"/>
        <v>18.436250883540822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1.7053025658242404E-13</v>
      </c>
      <c r="FF194" s="18">
        <f>FE194*VLOOKUP('Données projet'!$B$16,Paramètres!$A$1:$I$89,3,0)*VLOOKUP('Données projet'!$B$16,Paramètres!$A$1:$I$89,5,0)</f>
        <v>1.3301360013429075E-13</v>
      </c>
      <c r="FG194" s="14">
        <f t="shared" si="182"/>
        <v>1.9329766731057041E-12</v>
      </c>
      <c r="FH194" s="22">
        <f t="shared" si="183"/>
        <v>3.5982663925596575E-12</v>
      </c>
      <c r="FI194" s="62">
        <f t="shared" si="131"/>
        <v>293.3333333333369</v>
      </c>
      <c r="FJ194" s="62">
        <f ca="1">AVERAGE(OFFSET($FI$3,0,0,'Données projet'!$E$16+1,1))-AVERAGE(OFFSET($H$3,0,0,'Données projet'!$E$16+1,1))</f>
        <v>249.2899297828755</v>
      </c>
      <c r="FK194" s="62">
        <f t="shared" si="156"/>
        <v>162.88011837476813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14.364700937823144</v>
      </c>
      <c r="FR194" s="23">
        <f>EXP(-LN(2)/25)*FR193+(1-EXP(-LN(2)/25))/(LN(2)/25)*Calculateur!FM194*Calculateur!FO194*VLOOKUP('Données projet'!$B$16,Paramètres!$A$1:$I$89,3,0)*0.475*44/12</f>
        <v>0.50324332309688091</v>
      </c>
      <c r="FS194" s="23">
        <f>EXP(-LN(2)/2)*FS193+(1-EXP(-LN(2)/2))/(LN(2)/2)*FM194*FP194*VLOOKUP('Données projet'!$B$16,Paramètres!$A$1:$I$89,3,0)*0.475*44/12</f>
        <v>9.7885160685164375E-19</v>
      </c>
      <c r="FT194" s="24">
        <f t="shared" si="184"/>
        <v>14.867944260920025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1.7053025658242404E-13</v>
      </c>
      <c r="GA194" s="18">
        <f>FZ194*VLOOKUP('Données projet'!$B$17,Paramètres!$A$1:$I$89,3,0)*VLOOKUP('Données projet'!$B$17,Paramètres!$A$1:$I$89,5,0)</f>
        <v>1.1439169611549005E-13</v>
      </c>
      <c r="GB194" s="14">
        <f t="shared" si="185"/>
        <v>1.6918016515029816E-12</v>
      </c>
      <c r="GC194" s="22">
        <f t="shared" si="186"/>
        <v>3.1457867471021712E-12</v>
      </c>
      <c r="GD194" s="62">
        <f t="shared" si="134"/>
        <v>293.33333333333644</v>
      </c>
      <c r="GE194" s="62">
        <f ca="1">AVERAGE(OFFSET($GD$3,0,0,'Données projet'!$E$17+1,1))-AVERAGE(OFFSET($H$3,0,0,'Données projet'!$E$17+1,1))</f>
        <v>218.89895999738746</v>
      </c>
      <c r="GF194" s="62">
        <f t="shared" si="158"/>
        <v>145.64042897395763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15.226582994092512</v>
      </c>
      <c r="GM194" s="23">
        <f>EXP(-LN(2)/25)*GM193+(1-EXP(-LN(2)/25))/(LN(2)/25)*Calculateur!GH194*Calculateur!GJ194*VLOOKUP('Données projet'!$B$17,Paramètres!$A$1:$I$89,3,0)*0.475*44/12</f>
        <v>0.53343792248269473</v>
      </c>
      <c r="GN194" s="23">
        <f>EXP(-LN(2)/2)*GN193+(1-EXP(-LN(2)/2))/(LN(2)/2)*GH194*GK194*VLOOKUP('Données projet'!$B$17,Paramètres!$A$1:$I$89,3,0)*0.475*44/12</f>
        <v>8.4181238189242097E-19</v>
      </c>
      <c r="GO194" s="23">
        <f t="shared" si="187"/>
        <v>15.760020916575206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1.7053025658242404E-13</v>
      </c>
      <c r="GV194" s="18">
        <f>GU194*VLOOKUP('Données projet'!$B$18,Paramètres!$A$1:$I$89,3,0)*VLOOKUP('Données projet'!$B$18,Paramètres!$A$1:$I$89,5,0)</f>
        <v>1.8355876818532125E-13</v>
      </c>
      <c r="GW194" s="14">
        <f t="shared" si="188"/>
        <v>2.5693529898865504E-12</v>
      </c>
      <c r="GX194" s="22">
        <f t="shared" si="189"/>
        <v>4.7946546453085093E-12</v>
      </c>
      <c r="GY194" s="62">
        <f t="shared" si="137"/>
        <v>293.33333333333809</v>
      </c>
      <c r="GZ194" s="62">
        <f ca="1">AVERAGE(OFFSET($GY$3,0,0,'Données projet'!$E$18+1,1))-AVERAGE(OFFSET($H$3,0,0,'Données projet'!$E$18+1,1))</f>
        <v>331.3579800635751</v>
      </c>
      <c r="HA194" s="62">
        <f t="shared" si="160"/>
        <v>209.40702003535273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19.823287294195932</v>
      </c>
      <c r="HH194" s="23">
        <f>EXP(-LN(2)/25)*HH193+(1-EXP(-LN(2)/25))/(LN(2)/25)*Calculateur!HC194*Calculateur!HE194*VLOOKUP('Données projet'!$B$18,Paramètres!$A$1:$I$89,3,0)*0.475*44/12</f>
        <v>0.69447578587369729</v>
      </c>
      <c r="HI194" s="23">
        <f>EXP(-LN(2)/2)*HI193+(1-EXP(-LN(2)/2))/(LN(2)/2)*HC194*HF194*VLOOKUP('Données projet'!$B$18,Paramètres!$A$1:$I$89,3,0)*0.475*44/12</f>
        <v>1.3508152174552688E-18</v>
      </c>
      <c r="HJ194" s="24">
        <f t="shared" si="190"/>
        <v>20.517763080069628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5.0022208597511053E-12</v>
      </c>
      <c r="O195" s="14">
        <f>N195*VLOOKUP('Données projet'!$B$9,Paramètres!$A$1:$I$89,3,0)*VLOOKUP('Données projet'!$B$9,Paramètres!$A$1:$I$89,5,0)</f>
        <v>4.5260094339028E-12</v>
      </c>
      <c r="P195" s="14">
        <f t="shared" si="141"/>
        <v>4.3625683148570328E-11</v>
      </c>
      <c r="Q195" s="22">
        <f t="shared" si="162"/>
        <v>8.3864197914474037E-11</v>
      </c>
      <c r="R195" s="62">
        <f t="shared" ref="R195:R203" si="191">Q195+(I195+J195)*44/12</f>
        <v>293.33333333341716</v>
      </c>
      <c r="S195" s="62">
        <f ca="1">AVERAGE(OFFSET($R$3,0,0,'Données projet'!$E$9+1,1))-AVERAGE(OFFSET($H$3,0,0,'Données projet'!$E$9+1,1))</f>
        <v>2472.5049373954762</v>
      </c>
      <c r="T195" s="62">
        <f t="shared" si="142"/>
        <v>286.98388307318311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621.89295413122511</v>
      </c>
      <c r="AA195" s="23">
        <f>EXP(-LN(2)/25)*AA194+(1-EXP(-LN(2)/25))/(LN(2)/25)*Calculateur!V195*Calculateur!X195*VLOOKUP('Données projet'!$B$9,Paramètres!$A$1:$I$89,3,0)*0.475*44/12</f>
        <v>20.723906599009357</v>
      </c>
      <c r="AB195" s="23">
        <f>EXP(-LN(2)/2)*AB194+(1-EXP(-LN(2)/2))/(LN(2)/2)*V195*Y195*VLOOKUP('Données projet'!$B$9,Paramètres!$A$1:$I$89,3,0)*0.475*44/12</f>
        <v>3.0758853657484241E-6</v>
      </c>
      <c r="AC195" s="24">
        <f t="shared" si="163"/>
        <v>642.61686380611991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5.0022208597511053E-12</v>
      </c>
      <c r="AJ195" s="14">
        <f>AI195*VLOOKUP('Données projet'!$B$10,Paramètres!$A$1:$I$89,3,0)*VLOOKUP('Données projet'!$B$10,Paramètres!$A$1:$I$89,5,0)</f>
        <v>5.0722519517876216E-12</v>
      </c>
      <c r="AK195" s="14">
        <f t="shared" si="164"/>
        <v>4.8246688221215311E-11</v>
      </c>
      <c r="AL195" s="22">
        <f t="shared" si="165"/>
        <v>9.2863820801313432E-11</v>
      </c>
      <c r="AM195" s="62">
        <f t="shared" si="113"/>
        <v>293.3333333334262</v>
      </c>
      <c r="AN195" s="62">
        <f ca="1">AVERAGE(OFFSET($AM$3,0,0,'Données projet'!$E$10+1,1))-AVERAGE(OFFSET($H$3,0,0,'Données projet'!$E$10+1,1))</f>
        <v>2761.1400657295467</v>
      </c>
      <c r="AO195" s="62">
        <f t="shared" si="144"/>
        <v>316.41877504316409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696.949000319476</v>
      </c>
      <c r="AV195" s="23">
        <f>EXP(-LN(2)/25)*AV194+(1-EXP(-LN(2)/25))/(LN(2)/25)*Calculateur!AQ195*Calculateur!AS195*VLOOKUP('Données projet'!$B$10,Paramètres!$A$1:$I$89,3,0)*0.475*44/12</f>
        <v>23.225067740269136</v>
      </c>
      <c r="AW195" s="23">
        <f>EXP(-LN(2)/2)*AW194+(1-EXP(-LN(2)/2))/(LN(2)/2)*AQ195*AT195*VLOOKUP('Données projet'!$B$10,Paramètres!$A$1:$I$89,3,0)*0.475*44/12</f>
        <v>3.4471129098904761E-6</v>
      </c>
      <c r="AX195" s="23">
        <f t="shared" si="166"/>
        <v>720.17407150685801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5.0022208597511053E-12</v>
      </c>
      <c r="BE195" s="14">
        <f>BD195*VLOOKUP('Données projet'!$B$11,Paramètres!$A$1:$I$89,3,0)*VLOOKUP('Données projet'!$B$11,Paramètres!$A$1:$I$89,5,0)</f>
        <v>5.2283212426118558E-12</v>
      </c>
      <c r="BF195" s="14">
        <f t="shared" si="167"/>
        <v>4.9556081821365385E-11</v>
      </c>
      <c r="BG195" s="22">
        <f t="shared" si="168"/>
        <v>9.5416168669760364E-11</v>
      </c>
      <c r="BH195" s="62">
        <f t="shared" si="116"/>
        <v>293.33333333342875</v>
      </c>
      <c r="BI195" s="62">
        <f ca="1">AVERAGE(OFFSET($BH$3,0,0,'Données projet'!$E$11+1,1))-AVERAGE(OFFSET($H$3,0,0,'Données projet'!$E$11+1,1))</f>
        <v>2843.5086223152098</v>
      </c>
      <c r="BJ195" s="62">
        <f t="shared" si="146"/>
        <v>324.81562437645522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718.39358494469093</v>
      </c>
      <c r="BQ195" s="23">
        <f>EXP(-LN(2)/25)*BQ194+(1-EXP(-LN(2)/25))/(LN(2)/25)*Calculateur!BL195*Calculateur!BN195*VLOOKUP('Données projet'!$B$11,Paramètres!$A$1:$I$89,3,0)*0.475*44/12</f>
        <v>23.939685209200483</v>
      </c>
      <c r="BR195" s="23">
        <f>EXP(-LN(2)/2)*BR194+(1-EXP(-LN(2)/2))/(LN(2)/2)*BL195*BO195*VLOOKUP('Données projet'!$B$11,Paramètres!$A$1:$I$89,3,0)*0.475*44/12</f>
        <v>3.5531779225024937E-6</v>
      </c>
      <c r="BS195" s="24">
        <f t="shared" si="169"/>
        <v>742.33327370706934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5.0022208597511053E-12</v>
      </c>
      <c r="BZ195" s="14">
        <f>BY195*VLOOKUP('Données projet'!$B$12,Paramètres!$A$1:$I$89,3,0)*VLOOKUP('Données projet'!$B$12,Paramètres!$A$1:$I$89,5,0)</f>
        <v>4.9942173063755036E-12</v>
      </c>
      <c r="CA195" s="14">
        <f t="shared" si="170"/>
        <v>4.7590239529202817E-11</v>
      </c>
      <c r="CB195" s="22">
        <f t="shared" si="171"/>
        <v>9.1584595655298897E-11</v>
      </c>
      <c r="CC195" s="62">
        <f t="shared" si="119"/>
        <v>293.33333333342489</v>
      </c>
      <c r="CD195" s="62">
        <f ca="1">AVERAGE(OFFSET($CC$3,0,0,'Données projet'!$E$12+1,1))-AVERAGE(OFFSET($H$3,0,0,'Données projet'!$E$12+1,1))</f>
        <v>2719.939926994799</v>
      </c>
      <c r="CE195" s="62">
        <f t="shared" si="148"/>
        <v>312.21824046329749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686.22670800686922</v>
      </c>
      <c r="CL195" s="23">
        <f>EXP(-LN(2)/25)*CL194+(1-EXP(-LN(2)/25))/(LN(2)/25)*Calculateur!CG195*Calculateur!CI195*VLOOKUP('Données projet'!$B$12,Paramètres!$A$1:$I$89,3,0)*0.475*44/12</f>
        <v>22.867759005803453</v>
      </c>
      <c r="CM195" s="23">
        <f>EXP(-LN(2)/2)*CM194+(1-EXP(-LN(2)/2))/(LN(2)/2)*CG195*CJ195*VLOOKUP('Données projet'!$B$12,Paramètres!$A$1:$I$89,3,0)*0.475*44/12</f>
        <v>3.3940804035844667E-6</v>
      </c>
      <c r="CN195" s="24">
        <f t="shared" si="172"/>
        <v>709.09447040675309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1.1368683772161603E-12</v>
      </c>
      <c r="CU195" s="18">
        <f>CT195*VLOOKUP('Données projet'!$B$13,Paramètres!$A$1:$I$89,3,0)*VLOOKUP('Données projet'!$B$13,Paramètres!$A$1:$I$89,5,0)</f>
        <v>9.9316821433603771E-13</v>
      </c>
      <c r="CV195" s="14">
        <f t="shared" si="173"/>
        <v>1.1421454694498936E-11</v>
      </c>
      <c r="CW195" s="22">
        <f t="shared" si="174"/>
        <v>2.1622134899554243E-11</v>
      </c>
      <c r="CX195" s="62">
        <f t="shared" si="122"/>
        <v>293.33333333335491</v>
      </c>
      <c r="CY195" s="62">
        <f ca="1">AVERAGE(OFFSET($CX$3,0,0,'Données projet'!$E$13+1,1))-AVERAGE(OFFSET($H$3,0,0,'Données projet'!$E$13+1,1))</f>
        <v>1036.0130072090849</v>
      </c>
      <c r="CZ195" s="62">
        <f t="shared" si="150"/>
        <v>346.56593355696174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72.873860165575451</v>
      </c>
      <c r="DG195" s="23">
        <f>EXP(-LN(2)/25)*DG194+(1-EXP(-LN(2)/25))/(LN(2)/25)*Calculateur!DB195*Calculateur!DD195*VLOOKUP('Données projet'!$B$13,Paramètres!$A$1:$I$89,3,0)*0.475*44/12</f>
        <v>1.8964734114244848</v>
      </c>
      <c r="DH195" s="23">
        <f>EXP(-LN(2)/2)*DH194+(1-EXP(-LN(2)/2))/(LN(2)/2)*DB195*DE195*VLOOKUP('Données projet'!$B$13,Paramètres!$A$1:$I$89,3,0)*0.475*44/12</f>
        <v>1.2542052896061365E-15</v>
      </c>
      <c r="DI195" s="24">
        <f t="shared" si="175"/>
        <v>74.770333576999931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6.8212102632969618E-13</v>
      </c>
      <c r="DP195" s="18">
        <f>DO195*VLOOKUP('Données projet'!$B$14,Paramètres!$A$1:$I$89,3,0)*VLOOKUP('Données projet'!$B$14,Paramètres!$A$1:$I$89,5,0)</f>
        <v>3.8130565371830017E-13</v>
      </c>
      <c r="DQ195" s="14">
        <f t="shared" si="176"/>
        <v>4.9019074112354236E-12</v>
      </c>
      <c r="DR195" s="22">
        <f t="shared" si="177"/>
        <v>9.2015960881277352E-12</v>
      </c>
      <c r="DS195" s="62">
        <f t="shared" si="125"/>
        <v>293.33333333334252</v>
      </c>
      <c r="DT195" s="62">
        <f ca="1">AVERAGE(OFFSET($DS$3,0,0,'Données projet'!$E$14+1,1))-AVERAGE(OFFSET($H$3,0,0,'Données projet'!$E$14+1,1))</f>
        <v>446.48069057792151</v>
      </c>
      <c r="DU195" s="62">
        <f t="shared" si="152"/>
        <v>561.75656782935948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13.522642376053762</v>
      </c>
      <c r="EB195" s="23">
        <f>EXP(-LN(2)/25)*EB194+(1-EXP(-LN(2)/25))/(LN(2)/25)*Calculateur!DW195*Calculateur!DY195*VLOOKUP('Données projet'!$B$14,Paramètres!$A$1:$I$89,3,0)*0.475*44/12</f>
        <v>2.0856055952654784</v>
      </c>
      <c r="EC195" s="23">
        <f>EXP(-LN(2)/2)*EC194+(1-EXP(-LN(2)/2))/(LN(2)/2)*DW195*DZ195*VLOOKUP('Données projet'!$B$14,Paramètres!$A$1:$I$89,3,0)*0.475*44/12</f>
        <v>1.8185481861468253E-18</v>
      </c>
      <c r="ED195" s="24">
        <f t="shared" si="178"/>
        <v>15.608247971319241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1.7053025658242404E-13</v>
      </c>
      <c r="EK195" s="18">
        <f>EJ195*VLOOKUP('Données projet'!$B$15,Paramètres!$A$1:$I$89,3,0)*VLOOKUP('Données projet'!$B$15,Paramètres!$A$1:$I$89,5,0)</f>
        <v>1.6493686416652052E-13</v>
      </c>
      <c r="EL195" s="14">
        <f t="shared" si="179"/>
        <v>2.3376205369651282E-12</v>
      </c>
      <c r="EM195" s="22">
        <f t="shared" si="180"/>
        <v>4.3586208069709543E-12</v>
      </c>
      <c r="EN195" s="62">
        <f t="shared" si="128"/>
        <v>293.33333333333769</v>
      </c>
      <c r="EO195" s="62">
        <f ca="1">AVERAGE(OFFSET($EN$3,0,0,'Données projet'!$E$15+1,1))-AVERAGE(OFFSET($H$3,0,0,'Données projet'!$E$15+1,1))</f>
        <v>301.18531163828169</v>
      </c>
      <c r="EP195" s="62">
        <f t="shared" si="154"/>
        <v>192.30530273268101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17.462942213403227</v>
      </c>
      <c r="EW195" s="23">
        <f>EXP(-LN(2)/25)*EW194+(1-EXP(-LN(2)/25))/(LN(2)/25)*Calculateur!ER195*Calculateur!ET195*VLOOKUP('Données projet'!$B$15,Paramètres!$A$1:$I$89,3,0)*0.475*44/12</f>
        <v>0.60695781387335312</v>
      </c>
      <c r="EX195" s="23">
        <f>EXP(-LN(2)/2)*EX194+(1-EXP(-LN(2)/2))/(LN(2)/2)*ER195*EU195*VLOOKUP('Données projet'!$B$15,Paramètres!$A$1:$I$89,3,0)*0.475*44/12</f>
        <v>8.5826923513538936E-19</v>
      </c>
      <c r="EY195" s="24">
        <f t="shared" si="181"/>
        <v>18.069900027276582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1.7053025658242404E-13</v>
      </c>
      <c r="FF195" s="18">
        <f>FE195*VLOOKUP('Données projet'!$B$16,Paramètres!$A$1:$I$89,3,0)*VLOOKUP('Données projet'!$B$16,Paramètres!$A$1:$I$89,5,0)</f>
        <v>1.3301360013429075E-13</v>
      </c>
      <c r="FG195" s="14">
        <f t="shared" si="182"/>
        <v>1.9329766731057041E-12</v>
      </c>
      <c r="FH195" s="22">
        <f t="shared" si="183"/>
        <v>3.5982663925596575E-12</v>
      </c>
      <c r="FI195" s="62">
        <f t="shared" si="131"/>
        <v>293.3333333333369</v>
      </c>
      <c r="FJ195" s="62">
        <f ca="1">AVERAGE(OFFSET($FI$3,0,0,'Données projet'!$E$16+1,1))-AVERAGE(OFFSET($H$3,0,0,'Données projet'!$E$16+1,1))</f>
        <v>249.2899297828755</v>
      </c>
      <c r="FK195" s="62">
        <f t="shared" si="156"/>
        <v>162.88011837476813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14.083017914034869</v>
      </c>
      <c r="FR195" s="23">
        <f>EXP(-LN(2)/25)*FR194+(1-EXP(-LN(2)/25))/(LN(2)/25)*Calculateur!FM195*Calculateur!FO195*VLOOKUP('Données projet'!$B$16,Paramètres!$A$1:$I$89,3,0)*0.475*44/12</f>
        <v>0.48948210796238051</v>
      </c>
      <c r="FS195" s="23">
        <f>EXP(-LN(2)/2)*FS194+(1-EXP(-LN(2)/2))/(LN(2)/2)*FM195*FP195*VLOOKUP('Données projet'!$B$16,Paramètres!$A$1:$I$89,3,0)*0.475*44/12</f>
        <v>6.9215260898014571E-19</v>
      </c>
      <c r="FT195" s="24">
        <f t="shared" si="184"/>
        <v>14.57250002199725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1.7053025658242404E-13</v>
      </c>
      <c r="GA195" s="18">
        <f>FZ195*VLOOKUP('Données projet'!$B$17,Paramètres!$A$1:$I$89,3,0)*VLOOKUP('Données projet'!$B$17,Paramètres!$A$1:$I$89,5,0)</f>
        <v>1.1439169611549005E-13</v>
      </c>
      <c r="GB195" s="14">
        <f t="shared" si="185"/>
        <v>1.6918016515029816E-12</v>
      </c>
      <c r="GC195" s="22">
        <f t="shared" si="186"/>
        <v>3.1457867471021712E-12</v>
      </c>
      <c r="GD195" s="62">
        <f t="shared" si="134"/>
        <v>293.33333333333644</v>
      </c>
      <c r="GE195" s="62">
        <f ca="1">AVERAGE(OFFSET($GD$3,0,0,'Données projet'!$E$17+1,1))-AVERAGE(OFFSET($H$3,0,0,'Données projet'!$E$17+1,1))</f>
        <v>218.89895999738746</v>
      </c>
      <c r="GF195" s="62">
        <f t="shared" si="158"/>
        <v>145.64042897395763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14.92799898887694</v>
      </c>
      <c r="GM195" s="23">
        <f>EXP(-LN(2)/25)*GM194+(1-EXP(-LN(2)/25))/(LN(2)/25)*Calculateur!GH195*Calculateur!GJ195*VLOOKUP('Données projet'!$B$17,Paramètres!$A$1:$I$89,3,0)*0.475*44/12</f>
        <v>0.51885103444012426</v>
      </c>
      <c r="GN195" s="23">
        <f>EXP(-LN(2)/2)*GN194+(1-EXP(-LN(2)/2))/(LN(2)/2)*GH195*GK195*VLOOKUP('Données projet'!$B$17,Paramètres!$A$1:$I$89,3,0)*0.475*44/12</f>
        <v>5.9525124372293049E-19</v>
      </c>
      <c r="GO195" s="23">
        <f t="shared" si="187"/>
        <v>15.446850023317065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1.7053025658242404E-13</v>
      </c>
      <c r="GV195" s="18">
        <f>GU195*VLOOKUP('Données projet'!$B$18,Paramètres!$A$1:$I$89,3,0)*VLOOKUP('Données projet'!$B$18,Paramètres!$A$1:$I$89,5,0)</f>
        <v>1.8355876818532125E-13</v>
      </c>
      <c r="GW195" s="14">
        <f t="shared" si="188"/>
        <v>2.5693529898865504E-12</v>
      </c>
      <c r="GX195" s="22">
        <f t="shared" si="189"/>
        <v>4.7946546453085093E-12</v>
      </c>
      <c r="GY195" s="62">
        <f t="shared" si="137"/>
        <v>293.33333333333809</v>
      </c>
      <c r="GZ195" s="62">
        <f ca="1">AVERAGE(OFFSET($GY$3,0,0,'Données projet'!$E$18+1,1))-AVERAGE(OFFSET($H$3,0,0,'Données projet'!$E$18+1,1))</f>
        <v>331.3579800635751</v>
      </c>
      <c r="HA195" s="62">
        <f t="shared" si="160"/>
        <v>209.40702003535273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19.434564721368112</v>
      </c>
      <c r="HH195" s="23">
        <f>EXP(-LN(2)/25)*HH194+(1-EXP(-LN(2)/25))/(LN(2)/25)*Calculateur!HC195*Calculateur!HE195*VLOOKUP('Données projet'!$B$18,Paramètres!$A$1:$I$89,3,0)*0.475*44/12</f>
        <v>0.67548530898808667</v>
      </c>
      <c r="HI195" s="23">
        <f>EXP(-LN(2)/2)*HI194+(1-EXP(-LN(2)/2))/(LN(2)/2)*HC195*HF195*VLOOKUP('Données projet'!$B$18,Paramètres!$A$1:$I$89,3,0)*0.475*44/12</f>
        <v>9.5517060039260131E-19</v>
      </c>
      <c r="HJ195" s="24">
        <f t="shared" si="190"/>
        <v>20.110050030356199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5.0022208597511053E-12</v>
      </c>
      <c r="O196" s="14">
        <f>N196*VLOOKUP('Données projet'!$B$9,Paramètres!$A$1:$I$89,3,0)*VLOOKUP('Données projet'!$B$9,Paramètres!$A$1:$I$89,5,0)</f>
        <v>4.5260094339028E-12</v>
      </c>
      <c r="P196" s="14">
        <f t="shared" si="141"/>
        <v>4.3625683148570328E-11</v>
      </c>
      <c r="Q196" s="22">
        <f t="shared" si="162"/>
        <v>8.3864197914474037E-11</v>
      </c>
      <c r="R196" s="62">
        <f t="shared" si="191"/>
        <v>293.33333333341716</v>
      </c>
      <c r="S196" s="62">
        <f ca="1">AVERAGE(OFFSET($R$3,0,0,'Données projet'!$E$9+1,1))-AVERAGE(OFFSET($H$3,0,0,'Données projet'!$E$9+1,1))</f>
        <v>2472.5049373954762</v>
      </c>
      <c r="T196" s="62">
        <f t="shared" si="142"/>
        <v>286.98388307318311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609.69801261795931</v>
      </c>
      <c r="AA196" s="23">
        <f>EXP(-LN(2)/25)*AA195+(1-EXP(-LN(2)/25))/(LN(2)/25)*Calculateur!V196*Calculateur!X196*VLOOKUP('Données projet'!$B$9,Paramètres!$A$1:$I$89,3,0)*0.475*44/12</f>
        <v>20.157210283236562</v>
      </c>
      <c r="AB196" s="23">
        <f>EXP(-LN(2)/2)*AB195+(1-EXP(-LN(2)/2))/(LN(2)/2)*V196*Y196*VLOOKUP('Données projet'!$B$9,Paramètres!$A$1:$I$89,3,0)*0.475*44/12</f>
        <v>2.1749794002731746E-6</v>
      </c>
      <c r="AC196" s="24">
        <f t="shared" si="163"/>
        <v>629.8552250761752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5.0022208597511053E-12</v>
      </c>
      <c r="AJ196" s="14">
        <f>AI196*VLOOKUP('Données projet'!$B$10,Paramètres!$A$1:$I$89,3,0)*VLOOKUP('Données projet'!$B$10,Paramètres!$A$1:$I$89,5,0)</f>
        <v>5.0722519517876216E-12</v>
      </c>
      <c r="AK196" s="14">
        <f t="shared" si="164"/>
        <v>4.8246688221215311E-11</v>
      </c>
      <c r="AL196" s="22">
        <f t="shared" si="165"/>
        <v>9.2863820801313432E-11</v>
      </c>
      <c r="AM196" s="62">
        <f t="shared" ref="AM196:AM203" si="193">AL196+(AD196+AE196)*44/12</f>
        <v>293.3333333334262</v>
      </c>
      <c r="AN196" s="62">
        <f ca="1">AVERAGE(OFFSET($AM$3,0,0,'Données projet'!$E$10+1,1))-AVERAGE(OFFSET($H$3,0,0,'Données projet'!$E$10+1,1))</f>
        <v>2761.1400657295467</v>
      </c>
      <c r="AO196" s="62">
        <f t="shared" si="144"/>
        <v>316.41877504316409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683.28225552012645</v>
      </c>
      <c r="AV196" s="23">
        <f>EXP(-LN(2)/25)*AV195+(1-EXP(-LN(2)/25))/(LN(2)/25)*Calculateur!AQ196*Calculateur!AS196*VLOOKUP('Données projet'!$B$10,Paramètres!$A$1:$I$89,3,0)*0.475*44/12</f>
        <v>22.589977041558246</v>
      </c>
      <c r="AW196" s="23">
        <f>EXP(-LN(2)/2)*AW195+(1-EXP(-LN(2)/2))/(LN(2)/2)*AQ196*AT196*VLOOKUP('Données projet'!$B$10,Paramètres!$A$1:$I$89,3,0)*0.475*44/12</f>
        <v>2.437476914099248E-6</v>
      </c>
      <c r="AX196" s="23">
        <f t="shared" si="166"/>
        <v>705.87223499916161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5.0022208597511053E-12</v>
      </c>
      <c r="BE196" s="14">
        <f>BD196*VLOOKUP('Données projet'!$B$11,Paramètres!$A$1:$I$89,3,0)*VLOOKUP('Données projet'!$B$11,Paramètres!$A$1:$I$89,5,0)</f>
        <v>5.2283212426118558E-12</v>
      </c>
      <c r="BF196" s="14">
        <f t="shared" si="167"/>
        <v>4.9556081821365385E-11</v>
      </c>
      <c r="BG196" s="22">
        <f t="shared" si="168"/>
        <v>9.5416168669760364E-11</v>
      </c>
      <c r="BH196" s="62">
        <f t="shared" ref="BH196:BH203" si="194">BG196+(AY196+AZ196)*44/12</f>
        <v>293.33333333342875</v>
      </c>
      <c r="BI196" s="62">
        <f ca="1">AVERAGE(OFFSET($BH$3,0,0,'Données projet'!$E$11+1,1))-AVERAGE(OFFSET($H$3,0,0,'Données projet'!$E$11+1,1))</f>
        <v>2843.5086223152098</v>
      </c>
      <c r="BJ196" s="62">
        <f t="shared" si="146"/>
        <v>324.81562437645522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704.30632492074596</v>
      </c>
      <c r="BQ196" s="23">
        <f>EXP(-LN(2)/25)*BQ195+(1-EXP(-LN(2)/25))/(LN(2)/25)*Calculateur!BL196*Calculateur!BN196*VLOOKUP('Données projet'!$B$11,Paramètres!$A$1:$I$89,3,0)*0.475*44/12</f>
        <v>23.285053258221566</v>
      </c>
      <c r="BR196" s="23">
        <f>EXP(-LN(2)/2)*BR195+(1-EXP(-LN(2)/2))/(LN(2)/2)*BL196*BO196*VLOOKUP('Données projet'!$B$11,Paramètres!$A$1:$I$89,3,0)*0.475*44/12</f>
        <v>2.5124762037638423E-6</v>
      </c>
      <c r="BS196" s="24">
        <f t="shared" si="169"/>
        <v>727.59138069144365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5.0022208597511053E-12</v>
      </c>
      <c r="BZ196" s="14">
        <f>BY196*VLOOKUP('Données projet'!$B$12,Paramètres!$A$1:$I$89,3,0)*VLOOKUP('Données projet'!$B$12,Paramètres!$A$1:$I$89,5,0)</f>
        <v>4.9942173063755036E-12</v>
      </c>
      <c r="CA196" s="14">
        <f t="shared" si="170"/>
        <v>4.7590239529202817E-11</v>
      </c>
      <c r="CB196" s="22">
        <f t="shared" si="171"/>
        <v>9.1584595655298897E-11</v>
      </c>
      <c r="CC196" s="62">
        <f t="shared" ref="CC196:CC203" si="195">CB196+(BT196+BU196)*44/12</f>
        <v>293.33333333342489</v>
      </c>
      <c r="CD196" s="62">
        <f ca="1">AVERAGE(OFFSET($CC$3,0,0,'Données projet'!$E$12+1,1))-AVERAGE(OFFSET($H$3,0,0,'Données projet'!$E$12+1,1))</f>
        <v>2719.939926994799</v>
      </c>
      <c r="CE196" s="62">
        <f t="shared" si="148"/>
        <v>312.21824046329749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672.77022081981738</v>
      </c>
      <c r="CL196" s="23">
        <f>EXP(-LN(2)/25)*CL195+(1-EXP(-LN(2)/25))/(LN(2)/25)*Calculateur!CG196*Calculateur!CI196*VLOOKUP('Données projet'!$B$12,Paramètres!$A$1:$I$89,3,0)*0.475*44/12</f>
        <v>22.242438933226577</v>
      </c>
      <c r="CM196" s="23">
        <f>EXP(-LN(2)/2)*CM195+(1-EXP(-LN(2)/2))/(LN(2)/2)*CG196*CJ196*VLOOKUP('Données projet'!$B$12,Paramètres!$A$1:$I$89,3,0)*0.475*44/12</f>
        <v>2.3999772692669504E-6</v>
      </c>
      <c r="CN196" s="24">
        <f t="shared" si="172"/>
        <v>695.01266215302121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1.1368683772161603E-12</v>
      </c>
      <c r="CU196" s="18">
        <f>CT196*VLOOKUP('Données projet'!$B$13,Paramètres!$A$1:$I$89,3,0)*VLOOKUP('Données projet'!$B$13,Paramètres!$A$1:$I$89,5,0)</f>
        <v>9.9316821433603771E-13</v>
      </c>
      <c r="CV196" s="14">
        <f t="shared" si="173"/>
        <v>1.1421454694498936E-11</v>
      </c>
      <c r="CW196" s="22">
        <f t="shared" si="174"/>
        <v>2.1622134899554243E-11</v>
      </c>
      <c r="CX196" s="62">
        <f t="shared" ref="CX196:CX203" si="196">CW196+(CO196+CP196)*44/12</f>
        <v>293.33333333335491</v>
      </c>
      <c r="CY196" s="62">
        <f ca="1">AVERAGE(OFFSET($CX$3,0,0,'Données projet'!$E$13+1,1))-AVERAGE(OFFSET($H$3,0,0,'Données projet'!$E$13+1,1))</f>
        <v>1036.0130072090849</v>
      </c>
      <c r="CZ196" s="62">
        <f t="shared" si="150"/>
        <v>346.56593355696174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71.444848216394277</v>
      </c>
      <c r="DG196" s="23">
        <f>EXP(-LN(2)/25)*DG195+(1-EXP(-LN(2)/25))/(LN(2)/25)*Calculateur!DB196*Calculateur!DD196*VLOOKUP('Données projet'!$B$13,Paramètres!$A$1:$I$89,3,0)*0.475*44/12</f>
        <v>1.8446142462578801</v>
      </c>
      <c r="DH196" s="23">
        <f>EXP(-LN(2)/2)*DH195+(1-EXP(-LN(2)/2))/(LN(2)/2)*DB196*DE196*VLOOKUP('Données projet'!$B$13,Paramètres!$A$1:$I$89,3,0)*0.475*44/12</f>
        <v>8.868570652805369E-16</v>
      </c>
      <c r="DI196" s="24">
        <f t="shared" si="175"/>
        <v>73.289462462652153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6.8212102632969618E-13</v>
      </c>
      <c r="DP196" s="18">
        <f>DO196*VLOOKUP('Données projet'!$B$14,Paramètres!$A$1:$I$89,3,0)*VLOOKUP('Données projet'!$B$14,Paramètres!$A$1:$I$89,5,0)</f>
        <v>3.8130565371830017E-13</v>
      </c>
      <c r="DQ196" s="14">
        <f t="shared" si="176"/>
        <v>4.9019074112354236E-12</v>
      </c>
      <c r="DR196" s="22">
        <f t="shared" si="177"/>
        <v>9.2015960881277352E-12</v>
      </c>
      <c r="DS196" s="62">
        <f t="shared" ref="DS196:DS203" si="197">DR196+(DJ196+DK196)*44/12</f>
        <v>293.33333333334252</v>
      </c>
      <c r="DT196" s="62">
        <f ca="1">AVERAGE(OFFSET($DS$3,0,0,'Données projet'!$E$14+1,1))-AVERAGE(OFFSET($H$3,0,0,'Données projet'!$E$14+1,1))</f>
        <v>446.48069057792151</v>
      </c>
      <c r="DU196" s="62">
        <f t="shared" si="152"/>
        <v>561.75656782935948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13.257471607056775</v>
      </c>
      <c r="EB196" s="23">
        <f>EXP(-LN(2)/25)*EB195+(1-EXP(-LN(2)/25))/(LN(2)/25)*Calculateur!DW196*Calculateur!DY196*VLOOKUP('Données projet'!$B$14,Paramètres!$A$1:$I$89,3,0)*0.475*44/12</f>
        <v>2.0285746005857122</v>
      </c>
      <c r="EC196" s="23">
        <f>EXP(-LN(2)/2)*EC195+(1-EXP(-LN(2)/2))/(LN(2)/2)*DW196*DZ196*VLOOKUP('Données projet'!$B$14,Paramètres!$A$1:$I$89,3,0)*0.475*44/12</f>
        <v>1.2859077543389161E-18</v>
      </c>
      <c r="ED196" s="24">
        <f t="shared" si="178"/>
        <v>15.286046207642487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1.7053025658242404E-13</v>
      </c>
      <c r="EK196" s="18">
        <f>EJ196*VLOOKUP('Données projet'!$B$15,Paramètres!$A$1:$I$89,3,0)*VLOOKUP('Données projet'!$B$15,Paramètres!$A$1:$I$89,5,0)</f>
        <v>1.6493686416652052E-13</v>
      </c>
      <c r="EL196" s="14">
        <f t="shared" si="179"/>
        <v>2.3376205369651282E-12</v>
      </c>
      <c r="EM196" s="22">
        <f t="shared" si="180"/>
        <v>4.3586208069709543E-12</v>
      </c>
      <c r="EN196" s="62">
        <f t="shared" ref="EN196:EN203" si="198">EM196+(EE196+EF196)*44/12</f>
        <v>293.33333333333769</v>
      </c>
      <c r="EO196" s="62">
        <f ca="1">AVERAGE(OFFSET($EN$3,0,0,'Données projet'!$E$15+1,1))-AVERAGE(OFFSET($H$3,0,0,'Données projet'!$E$15+1,1))</f>
        <v>301.18531163828169</v>
      </c>
      <c r="EP196" s="62">
        <f t="shared" si="154"/>
        <v>192.30530273268101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17.120504567941406</v>
      </c>
      <c r="EW196" s="23">
        <f>EXP(-LN(2)/25)*EW195+(1-EXP(-LN(2)/25))/(LN(2)/25)*Calculateur!ER196*Calculateur!ET196*VLOOKUP('Données projet'!$B$15,Paramètres!$A$1:$I$89,3,0)*0.475*44/12</f>
        <v>0.59036052053446209</v>
      </c>
      <c r="EX196" s="23">
        <f>EXP(-LN(2)/2)*EX195+(1-EXP(-LN(2)/2))/(LN(2)/2)*ER196*EU196*VLOOKUP('Données projet'!$B$15,Paramètres!$A$1:$I$89,3,0)*0.475*44/12</f>
        <v>6.068879962480253E-19</v>
      </c>
      <c r="EY196" s="24">
        <f t="shared" si="181"/>
        <v>17.710865088475867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1.7053025658242404E-13</v>
      </c>
      <c r="FF196" s="18">
        <f>FE196*VLOOKUP('Données projet'!$B$16,Paramètres!$A$1:$I$89,3,0)*VLOOKUP('Données projet'!$B$16,Paramètres!$A$1:$I$89,5,0)</f>
        <v>1.3301360013429075E-13</v>
      </c>
      <c r="FG196" s="14">
        <f t="shared" si="182"/>
        <v>1.9329766731057041E-12</v>
      </c>
      <c r="FH196" s="22">
        <f t="shared" si="183"/>
        <v>3.5982663925596575E-12</v>
      </c>
      <c r="FI196" s="62">
        <f t="shared" ref="FI196:FI203" si="199">FH196+(EZ196+FA196)*44/12</f>
        <v>293.3333333333369</v>
      </c>
      <c r="FJ196" s="62">
        <f ca="1">AVERAGE(OFFSET($FI$3,0,0,'Données projet'!$E$16+1,1))-AVERAGE(OFFSET($H$3,0,0,'Données projet'!$E$16+1,1))</f>
        <v>249.2899297828755</v>
      </c>
      <c r="FK196" s="62">
        <f t="shared" si="156"/>
        <v>162.88011837476813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13.806858522533402</v>
      </c>
      <c r="FR196" s="23">
        <f>EXP(-LN(2)/25)*FR195+(1-EXP(-LN(2)/25))/(LN(2)/25)*Calculateur!FM196*Calculateur!FO196*VLOOKUP('Données projet'!$B$16,Paramètres!$A$1:$I$89,3,0)*0.475*44/12</f>
        <v>0.47609719397940387</v>
      </c>
      <c r="FS196" s="23">
        <f>EXP(-LN(2)/2)*FS195+(1-EXP(-LN(2)/2))/(LN(2)/2)*FM196*FP196*VLOOKUP('Données projet'!$B$16,Paramètres!$A$1:$I$89,3,0)*0.475*44/12</f>
        <v>4.8942580342582188E-19</v>
      </c>
      <c r="FT196" s="24">
        <f t="shared" si="184"/>
        <v>14.282955716512806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1.7053025658242404E-13</v>
      </c>
      <c r="GA196" s="18">
        <f>FZ196*VLOOKUP('Données projet'!$B$17,Paramètres!$A$1:$I$89,3,0)*VLOOKUP('Données projet'!$B$17,Paramètres!$A$1:$I$89,5,0)</f>
        <v>1.1439169611549005E-13</v>
      </c>
      <c r="GB196" s="14">
        <f t="shared" si="185"/>
        <v>1.6918016515029816E-12</v>
      </c>
      <c r="GC196" s="22">
        <f t="shared" si="186"/>
        <v>3.1457867471021712E-12</v>
      </c>
      <c r="GD196" s="62">
        <f t="shared" ref="GD196:GD203" si="200">GC196+(FU196+FV196)*44/12</f>
        <v>293.33333333333644</v>
      </c>
      <c r="GE196" s="62">
        <f ca="1">AVERAGE(OFFSET($GD$3,0,0,'Données projet'!$E$17+1,1))-AVERAGE(OFFSET($H$3,0,0,'Données projet'!$E$17+1,1))</f>
        <v>218.89895999738746</v>
      </c>
      <c r="GF196" s="62">
        <f t="shared" si="158"/>
        <v>145.64042897395763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14.635270033885385</v>
      </c>
      <c r="GM196" s="23">
        <f>EXP(-LN(2)/25)*GM195+(1-EXP(-LN(2)/25))/(LN(2)/25)*Calculateur!GH196*Calculateur!GJ196*VLOOKUP('Données projet'!$B$17,Paramètres!$A$1:$I$89,3,0)*0.475*44/12</f>
        <v>0.504663025618169</v>
      </c>
      <c r="GN196" s="23">
        <f>EXP(-LN(2)/2)*GN195+(1-EXP(-LN(2)/2))/(LN(2)/2)*GH196*GK196*VLOOKUP('Données projet'!$B$17,Paramètres!$A$1:$I$89,3,0)*0.475*44/12</f>
        <v>4.2090619094621048E-19</v>
      </c>
      <c r="GO196" s="23">
        <f t="shared" si="187"/>
        <v>15.139933059503555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1.7053025658242404E-13</v>
      </c>
      <c r="GV196" s="18">
        <f>GU196*VLOOKUP('Données projet'!$B$18,Paramètres!$A$1:$I$89,3,0)*VLOOKUP('Données projet'!$B$18,Paramètres!$A$1:$I$89,5,0)</f>
        <v>1.8355876818532125E-13</v>
      </c>
      <c r="GW196" s="14">
        <f t="shared" si="188"/>
        <v>2.5693529898865504E-12</v>
      </c>
      <c r="GX196" s="22">
        <f t="shared" si="189"/>
        <v>4.7946546453085093E-12</v>
      </c>
      <c r="GY196" s="62">
        <f t="shared" ref="GY196:GY203" si="201">GX196+(GP196+GQ196)*44/12</f>
        <v>293.33333333333809</v>
      </c>
      <c r="GZ196" s="62">
        <f ca="1">AVERAGE(OFFSET($GY$3,0,0,'Données projet'!$E$18+1,1))-AVERAGE(OFFSET($H$3,0,0,'Données projet'!$E$18+1,1))</f>
        <v>331.3579800635751</v>
      </c>
      <c r="HA196" s="62">
        <f t="shared" si="160"/>
        <v>209.40702003535273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19.053464761096087</v>
      </c>
      <c r="HH196" s="23">
        <f>EXP(-LN(2)/25)*HH195+(1-EXP(-LN(2)/25))/(LN(2)/25)*Calculateur!HC196*Calculateur!HE196*VLOOKUP('Données projet'!$B$18,Paramètres!$A$1:$I$89,3,0)*0.475*44/12</f>
        <v>0.65701412769157885</v>
      </c>
      <c r="HI196" s="23">
        <f>EXP(-LN(2)/2)*HI195+(1-EXP(-LN(2)/2))/(LN(2)/2)*HC196*HF196*VLOOKUP('Données projet'!$B$18,Paramètres!$A$1:$I$89,3,0)*0.475*44/12</f>
        <v>6.7540760872763438E-19</v>
      </c>
      <c r="HJ196" s="24">
        <f t="shared" si="190"/>
        <v>19.710478888787666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5.0022208597511053E-12</v>
      </c>
      <c r="O197" s="14">
        <f>N197*VLOOKUP('Données projet'!$B$9,Paramètres!$A$1:$I$89,3,0)*VLOOKUP('Données projet'!$B$9,Paramètres!$A$1:$I$89,5,0)</f>
        <v>4.5260094339028E-12</v>
      </c>
      <c r="P197" s="14">
        <f t="shared" ref="P197:P203" si="203">EXP(-1.0587+0.8836*LN(O197)+0.284)</f>
        <v>4.3625683148570328E-11</v>
      </c>
      <c r="Q197" s="22">
        <f t="shared" si="162"/>
        <v>8.3864197914474037E-11</v>
      </c>
      <c r="R197" s="62">
        <f t="shared" si="191"/>
        <v>293.33333333341716</v>
      </c>
      <c r="S197" s="62">
        <f ca="1">AVERAGE(OFFSET($R$3,0,0,'Données projet'!$E$9+1,1))-AVERAGE(OFFSET($H$3,0,0,'Données projet'!$E$9+1,1))</f>
        <v>2472.5049373954762</v>
      </c>
      <c r="T197" s="62">
        <f t="shared" ref="T197:T203" si="204">$T$3</f>
        <v>286.98388307318311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597.74220646958884</v>
      </c>
      <c r="AA197" s="23">
        <f>EXP(-LN(2)/25)*AA196+(1-EXP(-LN(2)/25))/(LN(2)/25)*Calculateur!V197*Calculateur!X197*VLOOKUP('Données projet'!$B$9,Paramètres!$A$1:$I$89,3,0)*0.475*44/12</f>
        <v>19.60601030801984</v>
      </c>
      <c r="AB197" s="23">
        <f>EXP(-LN(2)/2)*AB196+(1-EXP(-LN(2)/2))/(LN(2)/2)*V197*Y197*VLOOKUP('Données projet'!$B$9,Paramètres!$A$1:$I$89,3,0)*0.475*44/12</f>
        <v>1.5379426828742121E-6</v>
      </c>
      <c r="AC197" s="24">
        <f t="shared" si="163"/>
        <v>617.34821831555132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5.0022208597511053E-12</v>
      </c>
      <c r="AJ197" s="14">
        <f>AI197*VLOOKUP('Données projet'!$B$10,Paramètres!$A$1:$I$89,3,0)*VLOOKUP('Données projet'!$B$10,Paramètres!$A$1:$I$89,5,0)</f>
        <v>5.0722519517876216E-12</v>
      </c>
      <c r="AK197" s="14">
        <f t="shared" si="164"/>
        <v>4.8246688221215311E-11</v>
      </c>
      <c r="AL197" s="22">
        <f t="shared" si="165"/>
        <v>9.2863820801313432E-11</v>
      </c>
      <c r="AM197" s="62">
        <f t="shared" si="193"/>
        <v>293.3333333334262</v>
      </c>
      <c r="AN197" s="62">
        <f ca="1">AVERAGE(OFFSET($AM$3,0,0,'Données projet'!$E$10+1,1))-AVERAGE(OFFSET($H$3,0,0,'Données projet'!$E$10+1,1))</f>
        <v>2761.1400657295467</v>
      </c>
      <c r="AO197" s="62">
        <f t="shared" ref="AO197:AO203" si="205">$AO$3</f>
        <v>316.41877504316409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669.88350725040095</v>
      </c>
      <c r="AV197" s="23">
        <f>EXP(-LN(2)/25)*AV196+(1-EXP(-LN(2)/25))/(LN(2)/25)*Calculateur!AQ197*Calculateur!AS197*VLOOKUP('Données projet'!$B$10,Paramètres!$A$1:$I$89,3,0)*0.475*44/12</f>
        <v>21.972252931401574</v>
      </c>
      <c r="AW197" s="23">
        <f>EXP(-LN(2)/2)*AW196+(1-EXP(-LN(2)/2))/(LN(2)/2)*AQ197*AT197*VLOOKUP('Données projet'!$B$10,Paramètres!$A$1:$I$89,3,0)*0.475*44/12</f>
        <v>1.7235564549452381E-6</v>
      </c>
      <c r="AX197" s="23">
        <f t="shared" si="166"/>
        <v>691.85576190535903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5.0022208597511053E-12</v>
      </c>
      <c r="BE197" s="14">
        <f>BD197*VLOOKUP('Données projet'!$B$11,Paramètres!$A$1:$I$89,3,0)*VLOOKUP('Données projet'!$B$11,Paramètres!$A$1:$I$89,5,0)</f>
        <v>5.2283212426118558E-12</v>
      </c>
      <c r="BF197" s="14">
        <f t="shared" si="167"/>
        <v>4.9556081821365385E-11</v>
      </c>
      <c r="BG197" s="22">
        <f t="shared" si="168"/>
        <v>9.5416168669760364E-11</v>
      </c>
      <c r="BH197" s="62">
        <f t="shared" si="194"/>
        <v>293.33333333342875</v>
      </c>
      <c r="BI197" s="62">
        <f ca="1">AVERAGE(OFFSET($BH$3,0,0,'Données projet'!$E$11+1,1))-AVERAGE(OFFSET($H$3,0,0,'Données projet'!$E$11+1,1))</f>
        <v>2843.5086223152098</v>
      </c>
      <c r="BJ197" s="62">
        <f t="shared" ref="BJ197:BJ203" si="206">$BJ$3</f>
        <v>324.81562437645522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690.49530747349036</v>
      </c>
      <c r="BQ197" s="23">
        <f>EXP(-LN(2)/25)*BQ196+(1-EXP(-LN(2)/25))/(LN(2)/25)*Calculateur!BL197*Calculateur!BN197*VLOOKUP('Données projet'!$B$11,Paramètres!$A$1:$I$89,3,0)*0.475*44/12</f>
        <v>22.648322252367766</v>
      </c>
      <c r="BR197" s="23">
        <f>EXP(-LN(2)/2)*BR196+(1-EXP(-LN(2)/2))/(LN(2)/2)*BL197*BO197*VLOOKUP('Données projet'!$B$11,Paramètres!$A$1:$I$89,3,0)*0.475*44/12</f>
        <v>1.7765889612512469E-6</v>
      </c>
      <c r="BS197" s="24">
        <f t="shared" si="169"/>
        <v>713.14363150244708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5.0022208597511053E-12</v>
      </c>
      <c r="BZ197" s="14">
        <f>BY197*VLOOKUP('Données projet'!$B$12,Paramètres!$A$1:$I$89,3,0)*VLOOKUP('Données projet'!$B$12,Paramètres!$A$1:$I$89,5,0)</f>
        <v>4.9942173063755036E-12</v>
      </c>
      <c r="CA197" s="14">
        <f t="shared" si="170"/>
        <v>4.7590239529202817E-11</v>
      </c>
      <c r="CB197" s="22">
        <f t="shared" si="171"/>
        <v>9.1584595655298897E-11</v>
      </c>
      <c r="CC197" s="62">
        <f t="shared" si="195"/>
        <v>293.33333333342489</v>
      </c>
      <c r="CD197" s="62">
        <f ca="1">AVERAGE(OFFSET($CC$3,0,0,'Données projet'!$E$12+1,1))-AVERAGE(OFFSET($H$3,0,0,'Données projet'!$E$12+1,1))</f>
        <v>2719.939926994799</v>
      </c>
      <c r="CE197" s="62">
        <f t="shared" ref="CE197:CE203" si="207">$CE$3</f>
        <v>312.21824046329749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659.57760713885682</v>
      </c>
      <c r="CL197" s="23">
        <f>EXP(-LN(2)/25)*CL196+(1-EXP(-LN(2)/25))/(LN(2)/25)*Calculateur!CG197*Calculateur!CI197*VLOOKUP('Données projet'!$B$12,Paramètres!$A$1:$I$89,3,0)*0.475*44/12</f>
        <v>21.634218270918467</v>
      </c>
      <c r="CM197" s="23">
        <f>EXP(-LN(2)/2)*CM196+(1-EXP(-LN(2)/2))/(LN(2)/2)*CG197*CJ197*VLOOKUP('Données projet'!$B$12,Paramètres!$A$1:$I$89,3,0)*0.475*44/12</f>
        <v>1.6970402017922334E-6</v>
      </c>
      <c r="CN197" s="24">
        <f t="shared" si="172"/>
        <v>681.21182710681546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1.1368683772161603E-12</v>
      </c>
      <c r="CU197" s="18">
        <f>CT197*VLOOKUP('Données projet'!$B$13,Paramètres!$A$1:$I$89,3,0)*VLOOKUP('Données projet'!$B$13,Paramètres!$A$1:$I$89,5,0)</f>
        <v>9.9316821433603771E-13</v>
      </c>
      <c r="CV197" s="14">
        <f t="shared" si="173"/>
        <v>1.1421454694498936E-11</v>
      </c>
      <c r="CW197" s="22">
        <f t="shared" si="174"/>
        <v>2.1622134899554243E-11</v>
      </c>
      <c r="CX197" s="62">
        <f t="shared" si="196"/>
        <v>293.33333333335491</v>
      </c>
      <c r="CY197" s="62">
        <f ca="1">AVERAGE(OFFSET($CX$3,0,0,'Données projet'!$E$13+1,1))-AVERAGE(OFFSET($H$3,0,0,'Données projet'!$E$13+1,1))</f>
        <v>1036.0130072090849</v>
      </c>
      <c r="CZ197" s="62">
        <f t="shared" ref="CZ197:CZ203" si="208">$CZ$3</f>
        <v>346.56593355696174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70.04385831992532</v>
      </c>
      <c r="DG197" s="23">
        <f>EXP(-LN(2)/25)*DG196+(1-EXP(-LN(2)/25))/(LN(2)/25)*Calculateur!DB197*Calculateur!DD197*VLOOKUP('Données projet'!$B$13,Paramètres!$A$1:$I$89,3,0)*0.475*44/12</f>
        <v>1.7941731726899111</v>
      </c>
      <c r="DH197" s="23">
        <f>EXP(-LN(2)/2)*DH196+(1-EXP(-LN(2)/2))/(LN(2)/2)*DB197*DE197*VLOOKUP('Données projet'!$B$13,Paramètres!$A$1:$I$89,3,0)*0.475*44/12</f>
        <v>6.2710264480306836E-16</v>
      </c>
      <c r="DI197" s="24">
        <f t="shared" si="175"/>
        <v>71.838031492615229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6.8212102632969618E-13</v>
      </c>
      <c r="DP197" s="18">
        <f>DO197*VLOOKUP('Données projet'!$B$14,Paramètres!$A$1:$I$89,3,0)*VLOOKUP('Données projet'!$B$14,Paramètres!$A$1:$I$89,5,0)</f>
        <v>3.8130565371830017E-13</v>
      </c>
      <c r="DQ197" s="14">
        <f t="shared" si="176"/>
        <v>4.9019074112354236E-12</v>
      </c>
      <c r="DR197" s="22">
        <f t="shared" si="177"/>
        <v>9.2015960881277352E-12</v>
      </c>
      <c r="DS197" s="62">
        <f t="shared" si="197"/>
        <v>293.33333333334252</v>
      </c>
      <c r="DT197" s="62">
        <f ca="1">AVERAGE(OFFSET($DS$3,0,0,'Données projet'!$E$14+1,1))-AVERAGE(OFFSET($H$3,0,0,'Données projet'!$E$14+1,1))</f>
        <v>446.48069057792151</v>
      </c>
      <c r="DU197" s="62">
        <f t="shared" ref="DU197:DU203" si="209">$DU$3</f>
        <v>561.75656782935948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12.997500675101621</v>
      </c>
      <c r="EB197" s="23">
        <f>EXP(-LN(2)/25)*EB196+(1-EXP(-LN(2)/25))/(LN(2)/25)*Calculateur!DW197*Calculateur!DY197*VLOOKUP('Données projet'!$B$14,Paramètres!$A$1:$I$89,3,0)*0.475*44/12</f>
        <v>1.973103121454594</v>
      </c>
      <c r="EC197" s="23">
        <f>EXP(-LN(2)/2)*EC196+(1-EXP(-LN(2)/2))/(LN(2)/2)*DW197*DZ197*VLOOKUP('Données projet'!$B$14,Paramètres!$A$1:$I$89,3,0)*0.475*44/12</f>
        <v>9.0927409307341266E-19</v>
      </c>
      <c r="ED197" s="24">
        <f t="shared" si="178"/>
        <v>14.970603796556215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1.7053025658242404E-13</v>
      </c>
      <c r="EK197" s="18">
        <f>EJ197*VLOOKUP('Données projet'!$B$15,Paramètres!$A$1:$I$89,3,0)*VLOOKUP('Données projet'!$B$15,Paramètres!$A$1:$I$89,5,0)</f>
        <v>1.6493686416652052E-13</v>
      </c>
      <c r="EL197" s="14">
        <f t="shared" si="179"/>
        <v>2.3376205369651282E-12</v>
      </c>
      <c r="EM197" s="22">
        <f t="shared" si="180"/>
        <v>4.3586208069709543E-12</v>
      </c>
      <c r="EN197" s="62">
        <f t="shared" si="198"/>
        <v>293.33333333333769</v>
      </c>
      <c r="EO197" s="62">
        <f ca="1">AVERAGE(OFFSET($EN$3,0,0,'Données projet'!$E$15+1,1))-AVERAGE(OFFSET($H$3,0,0,'Données projet'!$E$15+1,1))</f>
        <v>301.18531163828169</v>
      </c>
      <c r="EP197" s="62">
        <f t="shared" ref="EP197:EP203" si="210">$EP$3</f>
        <v>192.30530273268101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16.784781915840753</v>
      </c>
      <c r="EW197" s="23">
        <f>EXP(-LN(2)/25)*EW196+(1-EXP(-LN(2)/25))/(LN(2)/25)*Calculateur!ER197*Calculateur!ET197*VLOOKUP('Données projet'!$B$15,Paramètres!$A$1:$I$89,3,0)*0.475*44/12</f>
        <v>0.57421708105473668</v>
      </c>
      <c r="EX197" s="23">
        <f>EXP(-LN(2)/2)*EX196+(1-EXP(-LN(2)/2))/(LN(2)/2)*ER197*EU197*VLOOKUP('Données projet'!$B$15,Paramètres!$A$1:$I$89,3,0)*0.475*44/12</f>
        <v>4.2913461756769473E-19</v>
      </c>
      <c r="EY197" s="24">
        <f t="shared" si="181"/>
        <v>17.35899899689549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1.7053025658242404E-13</v>
      </c>
      <c r="FF197" s="18">
        <f>FE197*VLOOKUP('Données projet'!$B$16,Paramètres!$A$1:$I$89,3,0)*VLOOKUP('Données projet'!$B$16,Paramètres!$A$1:$I$89,5,0)</f>
        <v>1.3301360013429075E-13</v>
      </c>
      <c r="FG197" s="14">
        <f t="shared" si="182"/>
        <v>1.9329766731057041E-12</v>
      </c>
      <c r="FH197" s="22">
        <f t="shared" si="183"/>
        <v>3.5982663925596575E-12</v>
      </c>
      <c r="FI197" s="62">
        <f t="shared" si="199"/>
        <v>293.3333333333369</v>
      </c>
      <c r="FJ197" s="62">
        <f ca="1">AVERAGE(OFFSET($FI$3,0,0,'Données projet'!$E$16+1,1))-AVERAGE(OFFSET($H$3,0,0,'Données projet'!$E$16+1,1))</f>
        <v>249.2899297828755</v>
      </c>
      <c r="FK197" s="62">
        <f t="shared" ref="FK197:FK203" si="211">$FK$3</f>
        <v>162.88011837476813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13.536114448258681</v>
      </c>
      <c r="FR197" s="23">
        <f>EXP(-LN(2)/25)*FR196+(1-EXP(-LN(2)/25))/(LN(2)/25)*Calculateur!FM197*Calculateur!FO197*VLOOKUP('Données projet'!$B$16,Paramètres!$A$1:$I$89,3,0)*0.475*44/12</f>
        <v>0.46307829117317378</v>
      </c>
      <c r="FS197" s="23">
        <f>EXP(-LN(2)/2)*FS196+(1-EXP(-LN(2)/2))/(LN(2)/2)*FM197*FP197*VLOOKUP('Données projet'!$B$16,Paramètres!$A$1:$I$89,3,0)*0.475*44/12</f>
        <v>3.4607630449007286E-19</v>
      </c>
      <c r="FT197" s="24">
        <f t="shared" si="184"/>
        <v>13.999192739431855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1.7053025658242404E-13</v>
      </c>
      <c r="GA197" s="18">
        <f>FZ197*VLOOKUP('Données projet'!$B$17,Paramètres!$A$1:$I$89,3,0)*VLOOKUP('Données projet'!$B$17,Paramètres!$A$1:$I$89,5,0)</f>
        <v>1.1439169611549005E-13</v>
      </c>
      <c r="GB197" s="14">
        <f t="shared" si="185"/>
        <v>1.6918016515029816E-12</v>
      </c>
      <c r="GC197" s="22">
        <f t="shared" si="186"/>
        <v>3.1457867471021712E-12</v>
      </c>
      <c r="GD197" s="62">
        <f t="shared" si="200"/>
        <v>293.33333333333644</v>
      </c>
      <c r="GE197" s="62">
        <f ca="1">AVERAGE(OFFSET($GD$3,0,0,'Données projet'!$E$17+1,1))-AVERAGE(OFFSET($H$3,0,0,'Données projet'!$E$17+1,1))</f>
        <v>218.89895999738746</v>
      </c>
      <c r="GF197" s="62">
        <f t="shared" ref="GF197:GF203" si="212">$GF$3</f>
        <v>145.64042897395763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14.348281315154182</v>
      </c>
      <c r="GM197" s="23">
        <f>EXP(-LN(2)/25)*GM196+(1-EXP(-LN(2)/25))/(LN(2)/25)*Calculateur!GH197*Calculateur!GJ197*VLOOKUP('Données projet'!$B$17,Paramètres!$A$1:$I$89,3,0)*0.475*44/12</f>
        <v>0.49086298864356509</v>
      </c>
      <c r="GN197" s="23">
        <f>EXP(-LN(2)/2)*GN196+(1-EXP(-LN(2)/2))/(LN(2)/2)*GH197*GK197*VLOOKUP('Données projet'!$B$17,Paramètres!$A$1:$I$89,3,0)*0.475*44/12</f>
        <v>2.9762562186146524E-19</v>
      </c>
      <c r="GO197" s="23">
        <f t="shared" si="187"/>
        <v>14.839144303797747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1.7053025658242404E-13</v>
      </c>
      <c r="GV197" s="18">
        <f>GU197*VLOOKUP('Données projet'!$B$18,Paramètres!$A$1:$I$89,3,0)*VLOOKUP('Données projet'!$B$18,Paramètres!$A$1:$I$89,5,0)</f>
        <v>1.8355876818532125E-13</v>
      </c>
      <c r="GW197" s="14">
        <f t="shared" si="188"/>
        <v>2.5693529898865504E-12</v>
      </c>
      <c r="GX197" s="22">
        <f t="shared" si="189"/>
        <v>4.7946546453085093E-12</v>
      </c>
      <c r="GY197" s="62">
        <f t="shared" si="201"/>
        <v>293.33333333333809</v>
      </c>
      <c r="GZ197" s="62">
        <f ca="1">AVERAGE(OFFSET($GY$3,0,0,'Données projet'!$E$18+1,1))-AVERAGE(OFFSET($H$3,0,0,'Données projet'!$E$18+1,1))</f>
        <v>331.3579800635751</v>
      </c>
      <c r="HA197" s="62">
        <f t="shared" ref="HA197:HA203" si="213">$HA$3</f>
        <v>209.40702003535273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18.679837938596972</v>
      </c>
      <c r="HH197" s="23">
        <f>EXP(-LN(2)/25)*HH196+(1-EXP(-LN(2)/25))/(LN(2)/25)*Calculateur!HC197*Calculateur!HE197*VLOOKUP('Données projet'!$B$18,Paramètres!$A$1:$I$89,3,0)*0.475*44/12</f>
        <v>0.63904804181898123</v>
      </c>
      <c r="HI197" s="23">
        <f>EXP(-LN(2)/2)*HI196+(1-EXP(-LN(2)/2))/(LN(2)/2)*HC197*HF197*VLOOKUP('Données projet'!$B$18,Paramètres!$A$1:$I$89,3,0)*0.475*44/12</f>
        <v>4.7758530019630066E-19</v>
      </c>
      <c r="HJ197" s="24">
        <f t="shared" si="190"/>
        <v>19.318885980415953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5.0022208597511053E-12</v>
      </c>
      <c r="O198" s="14">
        <f>N198*VLOOKUP('Données projet'!$B$9,Paramètres!$A$1:$I$89,3,0)*VLOOKUP('Données projet'!$B$9,Paramètres!$A$1:$I$89,5,0)</f>
        <v>4.5260094339028E-12</v>
      </c>
      <c r="P198" s="14">
        <f t="shared" si="203"/>
        <v>4.3625683148570328E-11</v>
      </c>
      <c r="Q198" s="22">
        <f t="shared" si="162"/>
        <v>8.3864197914474037E-11</v>
      </c>
      <c r="R198" s="62">
        <f t="shared" si="191"/>
        <v>293.33333333341716</v>
      </c>
      <c r="S198" s="62">
        <f ca="1">AVERAGE(OFFSET($R$3,0,0,'Données projet'!$E$9+1,1))-AVERAGE(OFFSET($H$3,0,0,'Données projet'!$E$9+1,1))</f>
        <v>2472.5049373954762</v>
      </c>
      <c r="T198" s="62">
        <f t="shared" si="204"/>
        <v>286.98388307318311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586.02084638746624</v>
      </c>
      <c r="AA198" s="23">
        <f>EXP(-LN(2)/25)*AA197+(1-EXP(-LN(2)/25))/(LN(2)/25)*Calculateur!V198*Calculateur!X198*VLOOKUP('Données projet'!$B$9,Paramètres!$A$1:$I$89,3,0)*0.475*44/12</f>
        <v>19.069882925111767</v>
      </c>
      <c r="AB198" s="23">
        <f>EXP(-LN(2)/2)*AB197+(1-EXP(-LN(2)/2))/(LN(2)/2)*V198*Y198*VLOOKUP('Données projet'!$B$9,Paramètres!$A$1:$I$89,3,0)*0.475*44/12</f>
        <v>1.0874897001365873E-6</v>
      </c>
      <c r="AC198" s="24">
        <f t="shared" si="163"/>
        <v>605.09073040006774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5.0022208597511053E-12</v>
      </c>
      <c r="AJ198" s="14">
        <f>AI198*VLOOKUP('Données projet'!$B$10,Paramètres!$A$1:$I$89,3,0)*VLOOKUP('Données projet'!$B$10,Paramètres!$A$1:$I$89,5,0)</f>
        <v>5.0722519517876216E-12</v>
      </c>
      <c r="AK198" s="14">
        <f t="shared" si="164"/>
        <v>4.8246688221215311E-11</v>
      </c>
      <c r="AL198" s="22">
        <f t="shared" si="165"/>
        <v>9.2863820801313432E-11</v>
      </c>
      <c r="AM198" s="62">
        <f t="shared" si="193"/>
        <v>293.3333333334262</v>
      </c>
      <c r="AN198" s="62">
        <f ca="1">AVERAGE(OFFSET($AM$3,0,0,'Données projet'!$E$10+1,1))-AVERAGE(OFFSET($H$3,0,0,'Données projet'!$E$10+1,1))</f>
        <v>2761.1400657295467</v>
      </c>
      <c r="AO198" s="62">
        <f t="shared" si="205"/>
        <v>316.41877504316409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656.74750026181528</v>
      </c>
      <c r="AV198" s="23">
        <f>EXP(-LN(2)/25)*AV197+(1-EXP(-LN(2)/25))/(LN(2)/25)*Calculateur!AQ198*Calculateur!AS198*VLOOKUP('Données projet'!$B$10,Paramètres!$A$1:$I$89,3,0)*0.475*44/12</f>
        <v>21.371420519521834</v>
      </c>
      <c r="AW198" s="23">
        <f>EXP(-LN(2)/2)*AW197+(1-EXP(-LN(2)/2))/(LN(2)/2)*AQ198*AT198*VLOOKUP('Données projet'!$B$10,Paramètres!$A$1:$I$89,3,0)*0.475*44/12</f>
        <v>1.218738457049624E-6</v>
      </c>
      <c r="AX198" s="23">
        <f t="shared" si="166"/>
        <v>678.1189220000756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5.0022208597511053E-12</v>
      </c>
      <c r="BE198" s="14">
        <f>BD198*VLOOKUP('Données projet'!$B$11,Paramètres!$A$1:$I$89,3,0)*VLOOKUP('Données projet'!$B$11,Paramètres!$A$1:$I$89,5,0)</f>
        <v>5.2283212426118558E-12</v>
      </c>
      <c r="BF198" s="14">
        <f t="shared" si="167"/>
        <v>4.9556081821365385E-11</v>
      </c>
      <c r="BG198" s="22">
        <f t="shared" si="168"/>
        <v>9.5416168669760364E-11</v>
      </c>
      <c r="BH198" s="62">
        <f t="shared" si="194"/>
        <v>293.33333333342875</v>
      </c>
      <c r="BI198" s="62">
        <f ca="1">AVERAGE(OFFSET($BH$3,0,0,'Données projet'!$E$11+1,1))-AVERAGE(OFFSET($H$3,0,0,'Données projet'!$E$11+1,1))</f>
        <v>2843.5086223152098</v>
      </c>
      <c r="BJ198" s="62">
        <f t="shared" si="206"/>
        <v>324.81562437645522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676.95511565448658</v>
      </c>
      <c r="BQ198" s="23">
        <f>EXP(-LN(2)/25)*BQ197+(1-EXP(-LN(2)/25))/(LN(2)/25)*Calculateur!BL198*Calculateur!BN198*VLOOKUP('Données projet'!$B$11,Paramètres!$A$1:$I$89,3,0)*0.475*44/12</f>
        <v>22.029002689353266</v>
      </c>
      <c r="BR198" s="23">
        <f>EXP(-LN(2)/2)*BR197+(1-EXP(-LN(2)/2))/(LN(2)/2)*BL198*BO198*VLOOKUP('Données projet'!$B$11,Paramètres!$A$1:$I$89,3,0)*0.475*44/12</f>
        <v>1.2562381018819211E-6</v>
      </c>
      <c r="BS198" s="24">
        <f t="shared" si="169"/>
        <v>698.98411960007797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5.0022208597511053E-12</v>
      </c>
      <c r="BZ198" s="14">
        <f>BY198*VLOOKUP('Données projet'!$B$12,Paramètres!$A$1:$I$89,3,0)*VLOOKUP('Données projet'!$B$12,Paramètres!$A$1:$I$89,5,0)</f>
        <v>4.9942173063755036E-12</v>
      </c>
      <c r="CA198" s="14">
        <f t="shared" si="170"/>
        <v>4.7590239529202817E-11</v>
      </c>
      <c r="CB198" s="22">
        <f t="shared" si="171"/>
        <v>9.1584595655298897E-11</v>
      </c>
      <c r="CC198" s="62">
        <f t="shared" si="195"/>
        <v>293.33333333342489</v>
      </c>
      <c r="CD198" s="62">
        <f ca="1">AVERAGE(OFFSET($CC$3,0,0,'Données projet'!$E$12+1,1))-AVERAGE(OFFSET($H$3,0,0,'Données projet'!$E$12+1,1))</f>
        <v>2719.939926994799</v>
      </c>
      <c r="CE198" s="62">
        <f t="shared" si="207"/>
        <v>312.21824046329749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646.64369256548014</v>
      </c>
      <c r="CL198" s="23">
        <f>EXP(-LN(2)/25)*CL197+(1-EXP(-LN(2)/25))/(LN(2)/25)*Calculateur!CG198*Calculateur!CI198*VLOOKUP('Données projet'!$B$12,Paramètres!$A$1:$I$89,3,0)*0.475*44/12</f>
        <v>21.042629434606109</v>
      </c>
      <c r="CM198" s="23">
        <f>EXP(-LN(2)/2)*CM197+(1-EXP(-LN(2)/2))/(LN(2)/2)*CG198*CJ198*VLOOKUP('Données projet'!$B$12,Paramètres!$A$1:$I$89,3,0)*0.475*44/12</f>
        <v>1.1999886346334752E-6</v>
      </c>
      <c r="CN198" s="24">
        <f t="shared" si="172"/>
        <v>667.68632320007487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1.1368683772161603E-12</v>
      </c>
      <c r="CU198" s="18">
        <f>CT198*VLOOKUP('Données projet'!$B$13,Paramètres!$A$1:$I$89,3,0)*VLOOKUP('Données projet'!$B$13,Paramètres!$A$1:$I$89,5,0)</f>
        <v>9.9316821433603771E-13</v>
      </c>
      <c r="CV198" s="14">
        <f t="shared" si="173"/>
        <v>1.1421454694498936E-11</v>
      </c>
      <c r="CW198" s="22">
        <f t="shared" si="174"/>
        <v>2.1622134899554243E-11</v>
      </c>
      <c r="CX198" s="62">
        <f t="shared" si="196"/>
        <v>293.33333333335491</v>
      </c>
      <c r="CY198" s="62">
        <f ca="1">AVERAGE(OFFSET($CX$3,0,0,'Données projet'!$E$13+1,1))-AVERAGE(OFFSET($H$3,0,0,'Données projet'!$E$13+1,1))</f>
        <v>1036.0130072090849</v>
      </c>
      <c r="CZ198" s="62">
        <f t="shared" si="208"/>
        <v>346.56593355696174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68.670340980806657</v>
      </c>
      <c r="DG198" s="23">
        <f>EXP(-LN(2)/25)*DG197+(1-EXP(-LN(2)/25))/(LN(2)/25)*Calculateur!DB198*Calculateur!DD198*VLOOKUP('Données projet'!$B$13,Paramètres!$A$1:$I$89,3,0)*0.475*44/12</f>
        <v>1.7451114129312388</v>
      </c>
      <c r="DH198" s="23">
        <f>EXP(-LN(2)/2)*DH197+(1-EXP(-LN(2)/2))/(LN(2)/2)*DB198*DE198*VLOOKUP('Données projet'!$B$13,Paramètres!$A$1:$I$89,3,0)*0.475*44/12</f>
        <v>4.4342853264026855E-16</v>
      </c>
      <c r="DI198" s="24">
        <f t="shared" si="175"/>
        <v>70.415452393737894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6.8212102632969618E-13</v>
      </c>
      <c r="DP198" s="18">
        <f>DO198*VLOOKUP('Données projet'!$B$14,Paramètres!$A$1:$I$89,3,0)*VLOOKUP('Données projet'!$B$14,Paramètres!$A$1:$I$89,5,0)</f>
        <v>3.8130565371830017E-13</v>
      </c>
      <c r="DQ198" s="14">
        <f t="shared" si="176"/>
        <v>4.9019074112354236E-12</v>
      </c>
      <c r="DR198" s="22">
        <f t="shared" si="177"/>
        <v>9.2015960881277352E-12</v>
      </c>
      <c r="DS198" s="62">
        <f t="shared" si="197"/>
        <v>293.33333333334252</v>
      </c>
      <c r="DT198" s="62">
        <f ca="1">AVERAGE(OFFSET($DS$3,0,0,'Données projet'!$E$14+1,1))-AVERAGE(OFFSET($H$3,0,0,'Données projet'!$E$14+1,1))</f>
        <v>446.48069057792151</v>
      </c>
      <c r="DU198" s="62">
        <f t="shared" si="209"/>
        <v>561.75656782935948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12.742627614555495</v>
      </c>
      <c r="EB198" s="23">
        <f>EXP(-LN(2)/25)*EB197+(1-EXP(-LN(2)/25))/(LN(2)/25)*Calculateur!DW198*Calculateur!DY198*VLOOKUP('Données projet'!$B$14,Paramètres!$A$1:$I$89,3,0)*0.475*44/12</f>
        <v>1.9191485128374346</v>
      </c>
      <c r="EC198" s="23">
        <f>EXP(-LN(2)/2)*EC197+(1-EXP(-LN(2)/2))/(LN(2)/2)*DW198*DZ198*VLOOKUP('Données projet'!$B$14,Paramètres!$A$1:$I$89,3,0)*0.475*44/12</f>
        <v>6.4295387716945806E-19</v>
      </c>
      <c r="ED198" s="24">
        <f t="shared" si="178"/>
        <v>14.66177612739293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1.7053025658242404E-13</v>
      </c>
      <c r="EK198" s="18">
        <f>EJ198*VLOOKUP('Données projet'!$B$15,Paramètres!$A$1:$I$89,3,0)*VLOOKUP('Données projet'!$B$15,Paramètres!$A$1:$I$89,5,0)</f>
        <v>1.6493686416652052E-13</v>
      </c>
      <c r="EL198" s="14">
        <f t="shared" si="179"/>
        <v>2.3376205369651282E-12</v>
      </c>
      <c r="EM198" s="22">
        <f t="shared" si="180"/>
        <v>4.3586208069709543E-12</v>
      </c>
      <c r="EN198" s="62">
        <f t="shared" si="198"/>
        <v>293.33333333333769</v>
      </c>
      <c r="EO198" s="62">
        <f ca="1">AVERAGE(OFFSET($EN$3,0,0,'Données projet'!$E$15+1,1))-AVERAGE(OFFSET($H$3,0,0,'Données projet'!$E$15+1,1))</f>
        <v>301.18531163828169</v>
      </c>
      <c r="EP198" s="62">
        <f t="shared" si="210"/>
        <v>192.30530273268101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16.455642580177194</v>
      </c>
      <c r="EW198" s="23">
        <f>EXP(-LN(2)/25)*EW197+(1-EXP(-LN(2)/25))/(LN(2)/25)*Calculateur!ER198*Calculateur!ET198*VLOOKUP('Données projet'!$B$15,Paramètres!$A$1:$I$89,3,0)*0.475*44/12</f>
        <v>0.558515084776531</v>
      </c>
      <c r="EX198" s="23">
        <f>EXP(-LN(2)/2)*EX197+(1-EXP(-LN(2)/2))/(LN(2)/2)*ER198*EU198*VLOOKUP('Données projet'!$B$15,Paramètres!$A$1:$I$89,3,0)*0.475*44/12</f>
        <v>3.034439981240127E-19</v>
      </c>
      <c r="EY198" s="24">
        <f t="shared" si="181"/>
        <v>17.014157664953725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1.7053025658242404E-13</v>
      </c>
      <c r="FF198" s="18">
        <f>FE198*VLOOKUP('Données projet'!$B$16,Paramètres!$A$1:$I$89,3,0)*VLOOKUP('Données projet'!$B$16,Paramètres!$A$1:$I$89,5,0)</f>
        <v>1.3301360013429075E-13</v>
      </c>
      <c r="FG198" s="14">
        <f t="shared" si="182"/>
        <v>1.9329766731057041E-12</v>
      </c>
      <c r="FH198" s="22">
        <f t="shared" si="183"/>
        <v>3.5982663925596575E-12</v>
      </c>
      <c r="FI198" s="62">
        <f t="shared" si="199"/>
        <v>293.3333333333369</v>
      </c>
      <c r="FJ198" s="62">
        <f ca="1">AVERAGE(OFFSET($FI$3,0,0,'Données projet'!$E$16+1,1))-AVERAGE(OFFSET($H$3,0,0,'Données projet'!$E$16+1,1))</f>
        <v>249.2899297828755</v>
      </c>
      <c r="FK198" s="62">
        <f t="shared" si="211"/>
        <v>162.88011837476813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13.270679500142908</v>
      </c>
      <c r="FR198" s="23">
        <f>EXP(-LN(2)/25)*FR197+(1-EXP(-LN(2)/25))/(LN(2)/25)*Calculateur!FM198*Calculateur!FO198*VLOOKUP('Données projet'!$B$16,Paramètres!$A$1:$I$89,3,0)*0.475*44/12</f>
        <v>0.45041539094881439</v>
      </c>
      <c r="FS198" s="23">
        <f>EXP(-LN(2)/2)*FS197+(1-EXP(-LN(2)/2))/(LN(2)/2)*FM198*FP198*VLOOKUP('Données projet'!$B$16,Paramètres!$A$1:$I$89,3,0)*0.475*44/12</f>
        <v>2.4471290171291094E-19</v>
      </c>
      <c r="FT198" s="24">
        <f t="shared" si="184"/>
        <v>13.721094891091722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1.7053025658242404E-13</v>
      </c>
      <c r="GA198" s="18">
        <f>FZ198*VLOOKUP('Données projet'!$B$17,Paramètres!$A$1:$I$89,3,0)*VLOOKUP('Données projet'!$B$17,Paramètres!$A$1:$I$89,5,0)</f>
        <v>1.1439169611549005E-13</v>
      </c>
      <c r="GB198" s="14">
        <f t="shared" si="185"/>
        <v>1.6918016515029816E-12</v>
      </c>
      <c r="GC198" s="22">
        <f t="shared" si="186"/>
        <v>3.1457867471021712E-12</v>
      </c>
      <c r="GD198" s="62">
        <f t="shared" si="200"/>
        <v>293.33333333333644</v>
      </c>
      <c r="GE198" s="62">
        <f ca="1">AVERAGE(OFFSET($GD$3,0,0,'Données projet'!$E$17+1,1))-AVERAGE(OFFSET($H$3,0,0,'Données projet'!$E$17+1,1))</f>
        <v>218.89895999738746</v>
      </c>
      <c r="GF198" s="62">
        <f t="shared" si="212"/>
        <v>145.64042897395763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14.066920270151464</v>
      </c>
      <c r="GM198" s="23">
        <f>EXP(-LN(2)/25)*GM197+(1-EXP(-LN(2)/25))/(LN(2)/25)*Calculateur!GH198*Calculateur!GJ198*VLOOKUP('Données projet'!$B$17,Paramètres!$A$1:$I$89,3,0)*0.475*44/12</f>
        <v>0.47744031440574414</v>
      </c>
      <c r="GN198" s="23">
        <f>EXP(-LN(2)/2)*GN197+(1-EXP(-LN(2)/2))/(LN(2)/2)*GH198*GK198*VLOOKUP('Données projet'!$B$17,Paramètres!$A$1:$I$89,3,0)*0.475*44/12</f>
        <v>2.1045309547310524E-19</v>
      </c>
      <c r="GO198" s="23">
        <f t="shared" si="187"/>
        <v>14.544360584557207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1.7053025658242404E-13</v>
      </c>
      <c r="GV198" s="18">
        <f>GU198*VLOOKUP('Données projet'!$B$18,Paramètres!$A$1:$I$89,3,0)*VLOOKUP('Données projet'!$B$18,Paramètres!$A$1:$I$89,5,0)</f>
        <v>1.8355876818532125E-13</v>
      </c>
      <c r="GW198" s="14">
        <f t="shared" si="188"/>
        <v>2.5693529898865504E-12</v>
      </c>
      <c r="GX198" s="22">
        <f t="shared" si="189"/>
        <v>4.7946546453085093E-12</v>
      </c>
      <c r="GY198" s="62">
        <f t="shared" si="201"/>
        <v>293.33333333333809</v>
      </c>
      <c r="GZ198" s="62">
        <f ca="1">AVERAGE(OFFSET($GY$3,0,0,'Données projet'!$E$18+1,1))-AVERAGE(OFFSET($H$3,0,0,'Données projet'!$E$18+1,1))</f>
        <v>331.3579800635751</v>
      </c>
      <c r="HA198" s="62">
        <f t="shared" si="213"/>
        <v>209.40702003535273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18.313537710197206</v>
      </c>
      <c r="HH198" s="23">
        <f>EXP(-LN(2)/25)*HH197+(1-EXP(-LN(2)/25))/(LN(2)/25)*Calculateur!HC198*Calculateur!HE198*VLOOKUP('Données projet'!$B$18,Paramètres!$A$1:$I$89,3,0)*0.475*44/12</f>
        <v>0.62157323950936527</v>
      </c>
      <c r="HI198" s="23">
        <f>EXP(-LN(2)/2)*HI197+(1-EXP(-LN(2)/2))/(LN(2)/2)*HC198*HF198*VLOOKUP('Données projet'!$B$18,Paramètres!$A$1:$I$89,3,0)*0.475*44/12</f>
        <v>3.3770380436381719E-19</v>
      </c>
      <c r="HJ198" s="24">
        <f t="shared" si="190"/>
        <v>18.935110949706573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5.0022208597511053E-12</v>
      </c>
      <c r="O199" s="14">
        <f>N199*VLOOKUP('Données projet'!$B$9,Paramètres!$A$1:$I$89,3,0)*VLOOKUP('Données projet'!$B$9,Paramètres!$A$1:$I$89,5,0)</f>
        <v>4.5260094339028E-12</v>
      </c>
      <c r="P199" s="14">
        <f t="shared" si="203"/>
        <v>4.3625683148570328E-11</v>
      </c>
      <c r="Q199" s="22">
        <f t="shared" si="162"/>
        <v>8.3864197914474037E-11</v>
      </c>
      <c r="R199" s="62">
        <f t="shared" si="191"/>
        <v>293.33333333341716</v>
      </c>
      <c r="S199" s="62">
        <f ca="1">AVERAGE(OFFSET($R$3,0,0,'Données projet'!$E$9+1,1))-AVERAGE(OFFSET($H$3,0,0,'Données projet'!$E$9+1,1))</f>
        <v>2472.5049373954762</v>
      </c>
      <c r="T199" s="62">
        <f t="shared" si="204"/>
        <v>286.98388307318311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574.52933502723033</v>
      </c>
      <c r="AA199" s="23">
        <f>EXP(-LN(2)/25)*AA198+(1-EXP(-LN(2)/25))/(LN(2)/25)*Calculateur!V199*Calculateur!X199*VLOOKUP('Données projet'!$B$9,Paramètres!$A$1:$I$89,3,0)*0.475*44/12</f>
        <v>18.548415973683028</v>
      </c>
      <c r="AB199" s="23">
        <f>EXP(-LN(2)/2)*AB198+(1-EXP(-LN(2)/2))/(LN(2)/2)*V199*Y199*VLOOKUP('Données projet'!$B$9,Paramètres!$A$1:$I$89,3,0)*0.475*44/12</f>
        <v>7.6897134143710604E-7</v>
      </c>
      <c r="AC199" s="24">
        <f t="shared" si="163"/>
        <v>593.07775176988469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5.0022208597511053E-12</v>
      </c>
      <c r="AJ199" s="14">
        <f>AI199*VLOOKUP('Données projet'!$B$10,Paramètres!$A$1:$I$89,3,0)*VLOOKUP('Données projet'!$B$10,Paramètres!$A$1:$I$89,5,0)</f>
        <v>5.0722519517876216E-12</v>
      </c>
      <c r="AK199" s="14">
        <f t="shared" si="164"/>
        <v>4.8246688221215311E-11</v>
      </c>
      <c r="AL199" s="22">
        <f t="shared" si="165"/>
        <v>9.2863820801313432E-11</v>
      </c>
      <c r="AM199" s="62">
        <f t="shared" si="193"/>
        <v>293.3333333334262</v>
      </c>
      <c r="AN199" s="62">
        <f ca="1">AVERAGE(OFFSET($AM$3,0,0,'Données projet'!$E$10+1,1))-AVERAGE(OFFSET($H$3,0,0,'Données projet'!$E$10+1,1))</f>
        <v>2761.1400657295467</v>
      </c>
      <c r="AO199" s="62">
        <f t="shared" si="205"/>
        <v>316.41877504316409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643.86908235810256</v>
      </c>
      <c r="AV199" s="23">
        <f>EXP(-LN(2)/25)*AV198+(1-EXP(-LN(2)/25))/(LN(2)/25)*Calculateur!AQ199*Calculateur!AS199*VLOOKUP('Données projet'!$B$10,Paramètres!$A$1:$I$89,3,0)*0.475*44/12</f>
        <v>20.787017901541351</v>
      </c>
      <c r="AW199" s="23">
        <f>EXP(-LN(2)/2)*AW198+(1-EXP(-LN(2)/2))/(LN(2)/2)*AQ199*AT199*VLOOKUP('Données projet'!$B$10,Paramètres!$A$1:$I$89,3,0)*0.475*44/12</f>
        <v>8.6177822747261903E-7</v>
      </c>
      <c r="AX199" s="23">
        <f t="shared" si="166"/>
        <v>664.65610112142213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5.0022208597511053E-12</v>
      </c>
      <c r="BE199" s="14">
        <f>BD199*VLOOKUP('Données projet'!$B$11,Paramètres!$A$1:$I$89,3,0)*VLOOKUP('Données projet'!$B$11,Paramètres!$A$1:$I$89,5,0)</f>
        <v>5.2283212426118558E-12</v>
      </c>
      <c r="BF199" s="14">
        <f t="shared" si="167"/>
        <v>4.9556081821365385E-11</v>
      </c>
      <c r="BG199" s="22">
        <f t="shared" si="168"/>
        <v>9.5416168669760364E-11</v>
      </c>
      <c r="BH199" s="62">
        <f t="shared" si="194"/>
        <v>293.33333333342875</v>
      </c>
      <c r="BI199" s="62">
        <f ca="1">AVERAGE(OFFSET($BH$3,0,0,'Données projet'!$E$11+1,1))-AVERAGE(OFFSET($H$3,0,0,'Données projet'!$E$11+1,1))</f>
        <v>2843.5086223152098</v>
      </c>
      <c r="BJ199" s="62">
        <f t="shared" si="206"/>
        <v>324.81562437645522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663.680438738352</v>
      </c>
      <c r="BQ199" s="23">
        <f>EXP(-LN(2)/25)*BQ198+(1-EXP(-LN(2)/25))/(LN(2)/25)*Calculateur!BL199*Calculateur!BN199*VLOOKUP('Données projet'!$B$11,Paramètres!$A$1:$I$89,3,0)*0.475*44/12</f>
        <v>21.426618452357999</v>
      </c>
      <c r="BR199" s="23">
        <f>EXP(-LN(2)/2)*BR198+(1-EXP(-LN(2)/2))/(LN(2)/2)*BL199*BO199*VLOOKUP('Données projet'!$B$11,Paramètres!$A$1:$I$89,3,0)*0.475*44/12</f>
        <v>8.8829448062562343E-7</v>
      </c>
      <c r="BS199" s="24">
        <f t="shared" si="169"/>
        <v>685.10705807900445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5.0022208597511053E-12</v>
      </c>
      <c r="BZ199" s="14">
        <f>BY199*VLOOKUP('Données projet'!$B$12,Paramètres!$A$1:$I$89,3,0)*VLOOKUP('Données projet'!$B$12,Paramètres!$A$1:$I$89,5,0)</f>
        <v>4.9942173063755036E-12</v>
      </c>
      <c r="CA199" s="14">
        <f t="shared" si="170"/>
        <v>4.7590239529202817E-11</v>
      </c>
      <c r="CB199" s="22">
        <f t="shared" si="171"/>
        <v>9.1584595655298897E-11</v>
      </c>
      <c r="CC199" s="62">
        <f t="shared" si="195"/>
        <v>293.33333333342489</v>
      </c>
      <c r="CD199" s="62">
        <f ca="1">AVERAGE(OFFSET($CC$3,0,0,'Données projet'!$E$12+1,1))-AVERAGE(OFFSET($H$3,0,0,'Données projet'!$E$12+1,1))</f>
        <v>2719.939926994799</v>
      </c>
      <c r="CE199" s="62">
        <f t="shared" si="207"/>
        <v>312.21824046329749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633.96340416797841</v>
      </c>
      <c r="CL199" s="23">
        <f>EXP(-LN(2)/25)*CL198+(1-EXP(-LN(2)/25))/(LN(2)/25)*Calculateur!CG199*Calculateur!CI199*VLOOKUP('Données projet'!$B$12,Paramètres!$A$1:$I$89,3,0)*0.475*44/12</f>
        <v>20.467217626133017</v>
      </c>
      <c r="CM199" s="23">
        <f>EXP(-LN(2)/2)*CM198+(1-EXP(-LN(2)/2))/(LN(2)/2)*CG199*CJ199*VLOOKUP('Données projet'!$B$12,Paramètres!$A$1:$I$89,3,0)*0.475*44/12</f>
        <v>8.4852010089611668E-7</v>
      </c>
      <c r="CN199" s="24">
        <f t="shared" si="172"/>
        <v>654.43062264263153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1.1368683772161603E-12</v>
      </c>
      <c r="CU199" s="18">
        <f>CT199*VLOOKUP('Données projet'!$B$13,Paramètres!$A$1:$I$89,3,0)*VLOOKUP('Données projet'!$B$13,Paramètres!$A$1:$I$89,5,0)</f>
        <v>9.9316821433603771E-13</v>
      </c>
      <c r="CV199" s="14">
        <f t="shared" si="173"/>
        <v>1.1421454694498936E-11</v>
      </c>
      <c r="CW199" s="22">
        <f t="shared" si="174"/>
        <v>2.1622134899554243E-11</v>
      </c>
      <c r="CX199" s="62">
        <f t="shared" si="196"/>
        <v>293.33333333335491</v>
      </c>
      <c r="CY199" s="62">
        <f ca="1">AVERAGE(OFFSET($CX$3,0,0,'Données projet'!$E$13+1,1))-AVERAGE(OFFSET($H$3,0,0,'Données projet'!$E$13+1,1))</f>
        <v>1036.0130072090849</v>
      </c>
      <c r="CZ199" s="62">
        <f t="shared" si="208"/>
        <v>346.56593355696174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67.323757478945254</v>
      </c>
      <c r="DG199" s="23">
        <f>EXP(-LN(2)/25)*DG198+(1-EXP(-LN(2)/25))/(LN(2)/25)*Calculateur!DB199*Calculateur!DD199*VLOOKUP('Données projet'!$B$13,Paramètres!$A$1:$I$89,3,0)*0.475*44/12</f>
        <v>1.6973912495732133</v>
      </c>
      <c r="DH199" s="23">
        <f>EXP(-LN(2)/2)*DH198+(1-EXP(-LN(2)/2))/(LN(2)/2)*DB199*DE199*VLOOKUP('Données projet'!$B$13,Paramètres!$A$1:$I$89,3,0)*0.475*44/12</f>
        <v>3.1355132240153423E-16</v>
      </c>
      <c r="DI199" s="24">
        <f t="shared" si="175"/>
        <v>69.021148728518469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6.8212102632969618E-13</v>
      </c>
      <c r="DP199" s="18">
        <f>DO199*VLOOKUP('Données projet'!$B$14,Paramètres!$A$1:$I$89,3,0)*VLOOKUP('Données projet'!$B$14,Paramètres!$A$1:$I$89,5,0)</f>
        <v>3.8130565371830017E-13</v>
      </c>
      <c r="DQ199" s="14">
        <f t="shared" si="176"/>
        <v>4.9019074112354236E-12</v>
      </c>
      <c r="DR199" s="22">
        <f t="shared" si="177"/>
        <v>9.2015960881277352E-12</v>
      </c>
      <c r="DS199" s="62">
        <f t="shared" si="197"/>
        <v>293.33333333334252</v>
      </c>
      <c r="DT199" s="62">
        <f ca="1">AVERAGE(OFFSET($DS$3,0,0,'Données projet'!$E$14+1,1))-AVERAGE(OFFSET($H$3,0,0,'Données projet'!$E$14+1,1))</f>
        <v>446.48069057792151</v>
      </c>
      <c r="DU199" s="62">
        <f t="shared" si="209"/>
        <v>561.75656782935948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12.492752459269463</v>
      </c>
      <c r="EB199" s="23">
        <f>EXP(-LN(2)/25)*EB198+(1-EXP(-LN(2)/25))/(LN(2)/25)*Calculateur!DW199*Calculateur!DY199*VLOOKUP('Données projet'!$B$14,Paramètres!$A$1:$I$89,3,0)*0.475*44/12</f>
        <v>1.8666692958302609</v>
      </c>
      <c r="EC199" s="23">
        <f>EXP(-LN(2)/2)*EC198+(1-EXP(-LN(2)/2))/(LN(2)/2)*DW199*DZ199*VLOOKUP('Données projet'!$B$14,Paramètres!$A$1:$I$89,3,0)*0.475*44/12</f>
        <v>4.5463704653670633E-19</v>
      </c>
      <c r="ED199" s="24">
        <f t="shared" si="178"/>
        <v>14.359421755099724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1.7053025658242404E-13</v>
      </c>
      <c r="EK199" s="18">
        <f>EJ199*VLOOKUP('Données projet'!$B$15,Paramètres!$A$1:$I$89,3,0)*VLOOKUP('Données projet'!$B$15,Paramètres!$A$1:$I$89,5,0)</f>
        <v>1.6493686416652052E-13</v>
      </c>
      <c r="EL199" s="14">
        <f t="shared" si="179"/>
        <v>2.3376205369651282E-12</v>
      </c>
      <c r="EM199" s="22">
        <f t="shared" si="180"/>
        <v>4.3586208069709543E-12</v>
      </c>
      <c r="EN199" s="62">
        <f t="shared" si="198"/>
        <v>293.33333333333769</v>
      </c>
      <c r="EO199" s="62">
        <f ca="1">AVERAGE(OFFSET($EN$3,0,0,'Données projet'!$E$15+1,1))-AVERAGE(OFFSET($H$3,0,0,'Données projet'!$E$15+1,1))</f>
        <v>301.18531163828169</v>
      </c>
      <c r="EP199" s="62">
        <f t="shared" si="210"/>
        <v>192.30530273268101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16.132957466130826</v>
      </c>
      <c r="EW199" s="23">
        <f>EXP(-LN(2)/25)*EW198+(1-EXP(-LN(2)/25))/(LN(2)/25)*Calculateur!ER199*Calculateur!ET199*VLOOKUP('Données projet'!$B$15,Paramètres!$A$1:$I$89,3,0)*0.475*44/12</f>
        <v>0.54324246041228497</v>
      </c>
      <c r="EX199" s="23">
        <f>EXP(-LN(2)/2)*EX198+(1-EXP(-LN(2)/2))/(LN(2)/2)*ER199*EU199*VLOOKUP('Données projet'!$B$15,Paramètres!$A$1:$I$89,3,0)*0.475*44/12</f>
        <v>2.1456730878384739E-19</v>
      </c>
      <c r="EY199" s="24">
        <f t="shared" si="181"/>
        <v>16.676199926543109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1.7053025658242404E-13</v>
      </c>
      <c r="FF199" s="18">
        <f>FE199*VLOOKUP('Données projet'!$B$16,Paramètres!$A$1:$I$89,3,0)*VLOOKUP('Données projet'!$B$16,Paramètres!$A$1:$I$89,5,0)</f>
        <v>1.3301360013429075E-13</v>
      </c>
      <c r="FG199" s="14">
        <f t="shared" si="182"/>
        <v>1.9329766731057041E-12</v>
      </c>
      <c r="FH199" s="22">
        <f t="shared" si="183"/>
        <v>3.5982663925596575E-12</v>
      </c>
      <c r="FI199" s="62">
        <f t="shared" si="199"/>
        <v>293.3333333333369</v>
      </c>
      <c r="FJ199" s="62">
        <f ca="1">AVERAGE(OFFSET($FI$3,0,0,'Données projet'!$E$16+1,1))-AVERAGE(OFFSET($H$3,0,0,'Données projet'!$E$16+1,1))</f>
        <v>249.2899297828755</v>
      </c>
      <c r="FK199" s="62">
        <f t="shared" si="211"/>
        <v>162.88011837476813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13.010449569460354</v>
      </c>
      <c r="FR199" s="23">
        <f>EXP(-LN(2)/25)*FR198+(1-EXP(-LN(2)/25))/(LN(2)/25)*Calculateur!FM199*Calculateur!FO199*VLOOKUP('Données projet'!$B$16,Paramètres!$A$1:$I$89,3,0)*0.475*44/12</f>
        <v>0.43809875839700307</v>
      </c>
      <c r="FS199" s="23">
        <f>EXP(-LN(2)/2)*FS198+(1-EXP(-LN(2)/2))/(LN(2)/2)*FM199*FP199*VLOOKUP('Données projet'!$B$16,Paramètres!$A$1:$I$89,3,0)*0.475*44/12</f>
        <v>1.7303815224503643E-19</v>
      </c>
      <c r="FT199" s="24">
        <f t="shared" si="184"/>
        <v>13.448548327857356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1.7053025658242404E-13</v>
      </c>
      <c r="GA199" s="18">
        <f>FZ199*VLOOKUP('Données projet'!$B$17,Paramètres!$A$1:$I$89,3,0)*VLOOKUP('Données projet'!$B$17,Paramètres!$A$1:$I$89,5,0)</f>
        <v>1.1439169611549005E-13</v>
      </c>
      <c r="GB199" s="14">
        <f t="shared" si="185"/>
        <v>1.6918016515029816E-12</v>
      </c>
      <c r="GC199" s="22">
        <f t="shared" si="186"/>
        <v>3.1457867471021712E-12</v>
      </c>
      <c r="GD199" s="62">
        <f t="shared" si="200"/>
        <v>293.33333333333644</v>
      </c>
      <c r="GE199" s="62">
        <f ca="1">AVERAGE(OFFSET($GD$3,0,0,'Données projet'!$E$17+1,1))-AVERAGE(OFFSET($H$3,0,0,'Données projet'!$E$17+1,1))</f>
        <v>218.89895999738746</v>
      </c>
      <c r="GF199" s="62">
        <f t="shared" si="212"/>
        <v>145.64042897395763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13.791076543627955</v>
      </c>
      <c r="GM199" s="23">
        <f>EXP(-LN(2)/25)*GM198+(1-EXP(-LN(2)/25))/(LN(2)/25)*Calculateur!GH199*Calculateur!GJ199*VLOOKUP('Données projet'!$B$17,Paramètres!$A$1:$I$89,3,0)*0.475*44/12</f>
        <v>0.46438468390082416</v>
      </c>
      <c r="GN199" s="23">
        <f>EXP(-LN(2)/2)*GN198+(1-EXP(-LN(2)/2))/(LN(2)/2)*GH199*GK199*VLOOKUP('Données projet'!$B$17,Paramètres!$A$1:$I$89,3,0)*0.475*44/12</f>
        <v>1.4881281093073262E-19</v>
      </c>
      <c r="GO199" s="23">
        <f t="shared" si="187"/>
        <v>14.25546122752878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1.7053025658242404E-13</v>
      </c>
      <c r="GV199" s="18">
        <f>GU199*VLOOKUP('Données projet'!$B$18,Paramètres!$A$1:$I$89,3,0)*VLOOKUP('Données projet'!$B$18,Paramètres!$A$1:$I$89,5,0)</f>
        <v>1.8355876818532125E-13</v>
      </c>
      <c r="GW199" s="14">
        <f t="shared" si="188"/>
        <v>2.5693529898865504E-12</v>
      </c>
      <c r="GX199" s="22">
        <f t="shared" si="189"/>
        <v>4.7946546453085093E-12</v>
      </c>
      <c r="GY199" s="62">
        <f t="shared" si="201"/>
        <v>293.33333333333809</v>
      </c>
      <c r="GZ199" s="62">
        <f ca="1">AVERAGE(OFFSET($GY$3,0,0,'Données projet'!$E$18+1,1))-AVERAGE(OFFSET($H$3,0,0,'Données projet'!$E$18+1,1))</f>
        <v>331.3579800635751</v>
      </c>
      <c r="HA199" s="62">
        <f t="shared" si="213"/>
        <v>209.40702003535273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17.954420405855281</v>
      </c>
      <c r="HH199" s="23">
        <f>EXP(-LN(2)/25)*HH198+(1-EXP(-LN(2)/25))/(LN(2)/25)*Calculateur!HC199*Calculateur!HE199*VLOOKUP('Données projet'!$B$18,Paramètres!$A$1:$I$89,3,0)*0.475*44/12</f>
        <v>0.60457628658786566</v>
      </c>
      <c r="HI199" s="23">
        <f>EXP(-LN(2)/2)*HI198+(1-EXP(-LN(2)/2))/(LN(2)/2)*HC199*HF199*VLOOKUP('Données projet'!$B$18,Paramètres!$A$1:$I$89,3,0)*0.475*44/12</f>
        <v>2.3879265009815033E-19</v>
      </c>
      <c r="HJ199" s="24">
        <f t="shared" si="190"/>
        <v>18.558996692443145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5.0022208597511053E-12</v>
      </c>
      <c r="O200" s="14">
        <f>N200*VLOOKUP('Données projet'!$B$9,Paramètres!$A$1:$I$89,3,0)*VLOOKUP('Données projet'!$B$9,Paramètres!$A$1:$I$89,5,0)</f>
        <v>4.5260094339028E-12</v>
      </c>
      <c r="P200" s="14">
        <f t="shared" si="203"/>
        <v>4.3625683148570328E-11</v>
      </c>
      <c r="Q200" s="22">
        <f t="shared" si="162"/>
        <v>8.3864197914474037E-11</v>
      </c>
      <c r="R200" s="62">
        <f t="shared" si="191"/>
        <v>293.33333333341716</v>
      </c>
      <c r="S200" s="62">
        <f ca="1">AVERAGE(OFFSET($R$3,0,0,'Données projet'!$E$9+1,1))-AVERAGE(OFFSET($H$3,0,0,'Données projet'!$E$9+1,1))</f>
        <v>2472.5049373954762</v>
      </c>
      <c r="T200" s="62">
        <f t="shared" si="204"/>
        <v>286.98388307318311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563.26316519563875</v>
      </c>
      <c r="AA200" s="23">
        <f>EXP(-LN(2)/25)*AA199+(1-EXP(-LN(2)/25))/(LN(2)/25)*Calculateur!V200*Calculateur!X200*VLOOKUP('Données projet'!$B$9,Paramètres!$A$1:$I$89,3,0)*0.475*44/12</f>
        <v>18.041208563463861</v>
      </c>
      <c r="AB200" s="23">
        <f>EXP(-LN(2)/2)*AB199+(1-EXP(-LN(2)/2))/(LN(2)/2)*V200*Y200*VLOOKUP('Données projet'!$B$9,Paramètres!$A$1:$I$89,3,0)*0.475*44/12</f>
        <v>5.4374485006829366E-7</v>
      </c>
      <c r="AC200" s="24">
        <f t="shared" si="163"/>
        <v>581.30437430284746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5.0022208597511053E-12</v>
      </c>
      <c r="AJ200" s="14">
        <f>AI200*VLOOKUP('Données projet'!$B$10,Paramètres!$A$1:$I$89,3,0)*VLOOKUP('Données projet'!$B$10,Paramètres!$A$1:$I$89,5,0)</f>
        <v>5.0722519517876216E-12</v>
      </c>
      <c r="AK200" s="14">
        <f t="shared" si="164"/>
        <v>4.8246688221215311E-11</v>
      </c>
      <c r="AL200" s="22">
        <f t="shared" si="165"/>
        <v>9.2863820801313432E-11</v>
      </c>
      <c r="AM200" s="62">
        <f t="shared" si="193"/>
        <v>293.3333333334262</v>
      </c>
      <c r="AN200" s="62">
        <f ca="1">AVERAGE(OFFSET($AM$3,0,0,'Données projet'!$E$10+1,1))-AVERAGE(OFFSET($H$3,0,0,'Données projet'!$E$10+1,1))</f>
        <v>2761.1400657295467</v>
      </c>
      <c r="AO200" s="62">
        <f t="shared" si="205"/>
        <v>316.41877504316409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631.24320237442237</v>
      </c>
      <c r="AV200" s="23">
        <f>EXP(-LN(2)/25)*AV199+(1-EXP(-LN(2)/25))/(LN(2)/25)*Calculateur!AQ200*Calculateur!AS200*VLOOKUP('Données projet'!$B$10,Paramètres!$A$1:$I$89,3,0)*0.475*44/12</f>
        <v>20.218595803881939</v>
      </c>
      <c r="AW200" s="23">
        <f>EXP(-LN(2)/2)*AW199+(1-EXP(-LN(2)/2))/(LN(2)/2)*AQ200*AT200*VLOOKUP('Données projet'!$B$10,Paramètres!$A$1:$I$89,3,0)*0.475*44/12</f>
        <v>6.0936922852481199E-7</v>
      </c>
      <c r="AX200" s="23">
        <f t="shared" si="166"/>
        <v>651.4617987876735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5.0022208597511053E-12</v>
      </c>
      <c r="BE200" s="14">
        <f>BD200*VLOOKUP('Données projet'!$B$11,Paramètres!$A$1:$I$89,3,0)*VLOOKUP('Données projet'!$B$11,Paramètres!$A$1:$I$89,5,0)</f>
        <v>5.2283212426118558E-12</v>
      </c>
      <c r="BF200" s="14">
        <f t="shared" si="167"/>
        <v>4.9556081821365385E-11</v>
      </c>
      <c r="BG200" s="22">
        <f t="shared" si="168"/>
        <v>9.5416168669760364E-11</v>
      </c>
      <c r="BH200" s="62">
        <f t="shared" si="194"/>
        <v>293.33333333342875</v>
      </c>
      <c r="BI200" s="62">
        <f ca="1">AVERAGE(OFFSET($BH$3,0,0,'Données projet'!$E$11+1,1))-AVERAGE(OFFSET($H$3,0,0,'Données projet'!$E$11+1,1))</f>
        <v>2843.5086223152098</v>
      </c>
      <c r="BJ200" s="62">
        <f t="shared" si="206"/>
        <v>324.81562437645522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650.66607013978933</v>
      </c>
      <c r="BQ200" s="23">
        <f>EXP(-LN(2)/25)*BQ199+(1-EXP(-LN(2)/25))/(LN(2)/25)*Calculateur!BL200*Calculateur!BN200*VLOOKUP('Données projet'!$B$11,Paramètres!$A$1:$I$89,3,0)*0.475*44/12</f>
        <v>20.840706444001377</v>
      </c>
      <c r="BR200" s="23">
        <f>EXP(-LN(2)/2)*BR199+(1-EXP(-LN(2)/2))/(LN(2)/2)*BL200*BO200*VLOOKUP('Données projet'!$B$11,Paramètres!$A$1:$I$89,3,0)*0.475*44/12</f>
        <v>6.2811905094096057E-7</v>
      </c>
      <c r="BS200" s="24">
        <f t="shared" si="169"/>
        <v>671.50677721190982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5.0022208597511053E-12</v>
      </c>
      <c r="BZ200" s="14">
        <f>BY200*VLOOKUP('Données projet'!$B$12,Paramètres!$A$1:$I$89,3,0)*VLOOKUP('Données projet'!$B$12,Paramètres!$A$1:$I$89,5,0)</f>
        <v>4.9942173063755036E-12</v>
      </c>
      <c r="CA200" s="14">
        <f t="shared" si="170"/>
        <v>4.7590239529202817E-11</v>
      </c>
      <c r="CB200" s="22">
        <f t="shared" si="171"/>
        <v>9.1584595655298897E-11</v>
      </c>
      <c r="CC200" s="62">
        <f t="shared" si="195"/>
        <v>293.33333333342489</v>
      </c>
      <c r="CD200" s="62">
        <f ca="1">AVERAGE(OFFSET($CC$3,0,0,'Données projet'!$E$12+1,1))-AVERAGE(OFFSET($H$3,0,0,'Données projet'!$E$12+1,1))</f>
        <v>2719.939926994799</v>
      </c>
      <c r="CE200" s="62">
        <f t="shared" si="207"/>
        <v>312.21824046329749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621.53176849173951</v>
      </c>
      <c r="CL200" s="23">
        <f>EXP(-LN(2)/25)*CL199+(1-EXP(-LN(2)/25))/(LN(2)/25)*Calculateur!CG200*Calculateur!CI200*VLOOKUP('Données projet'!$B$12,Paramètres!$A$1:$I$89,3,0)*0.475*44/12</f>
        <v>19.907540483822213</v>
      </c>
      <c r="CM200" s="23">
        <f>EXP(-LN(2)/2)*CM199+(1-EXP(-LN(2)/2))/(LN(2)/2)*CG200*CJ200*VLOOKUP('Données projet'!$B$12,Paramètres!$A$1:$I$89,3,0)*0.475*44/12</f>
        <v>5.999943173167376E-7</v>
      </c>
      <c r="CN200" s="24">
        <f t="shared" si="172"/>
        <v>641.43930957555608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1.1368683772161603E-12</v>
      </c>
      <c r="CU200" s="18">
        <f>CT200*VLOOKUP('Données projet'!$B$13,Paramètres!$A$1:$I$89,3,0)*VLOOKUP('Données projet'!$B$13,Paramètres!$A$1:$I$89,5,0)</f>
        <v>9.9316821433603771E-13</v>
      </c>
      <c r="CV200" s="14">
        <f t="shared" si="173"/>
        <v>1.1421454694498936E-11</v>
      </c>
      <c r="CW200" s="22">
        <f t="shared" si="174"/>
        <v>2.1622134899554243E-11</v>
      </c>
      <c r="CX200" s="62">
        <f t="shared" si="196"/>
        <v>293.33333333335491</v>
      </c>
      <c r="CY200" s="62">
        <f ca="1">AVERAGE(OFFSET($CX$3,0,0,'Données projet'!$E$13+1,1))-AVERAGE(OFFSET($H$3,0,0,'Données projet'!$E$13+1,1))</f>
        <v>1036.0130072090849</v>
      </c>
      <c r="CZ200" s="62">
        <f t="shared" si="208"/>
        <v>346.56593355696174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66.003579658220517</v>
      </c>
      <c r="DG200" s="23">
        <f>EXP(-LN(2)/25)*DG199+(1-EXP(-LN(2)/25))/(LN(2)/25)*Calculateur!DB200*Calculateur!DD200*VLOOKUP('Données projet'!$B$13,Paramètres!$A$1:$I$89,3,0)*0.475*44/12</f>
        <v>1.6509759965917075</v>
      </c>
      <c r="DH200" s="23">
        <f>EXP(-LN(2)/2)*DH199+(1-EXP(-LN(2)/2))/(LN(2)/2)*DB200*DE200*VLOOKUP('Données projet'!$B$13,Paramètres!$A$1:$I$89,3,0)*0.475*44/12</f>
        <v>2.217142663201343E-16</v>
      </c>
      <c r="DI200" s="24">
        <f t="shared" si="175"/>
        <v>67.654555654812228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6.8212102632969618E-13</v>
      </c>
      <c r="DP200" s="18">
        <f>DO200*VLOOKUP('Données projet'!$B$14,Paramètres!$A$1:$I$89,3,0)*VLOOKUP('Données projet'!$B$14,Paramètres!$A$1:$I$89,5,0)</f>
        <v>3.8130565371830017E-13</v>
      </c>
      <c r="DQ200" s="14">
        <f t="shared" si="176"/>
        <v>4.9019074112354236E-12</v>
      </c>
      <c r="DR200" s="22">
        <f t="shared" si="177"/>
        <v>9.2015960881277352E-12</v>
      </c>
      <c r="DS200" s="62">
        <f t="shared" si="197"/>
        <v>293.33333333334252</v>
      </c>
      <c r="DT200" s="62">
        <f ca="1">AVERAGE(OFFSET($DS$3,0,0,'Données projet'!$E$14+1,1))-AVERAGE(OFFSET($H$3,0,0,'Données projet'!$E$14+1,1))</f>
        <v>446.48069057792151</v>
      </c>
      <c r="DU200" s="62">
        <f t="shared" si="209"/>
        <v>561.75656782935948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12.247777203369793</v>
      </c>
      <c r="EB200" s="23">
        <f>EXP(-LN(2)/25)*EB199+(1-EXP(-LN(2)/25))/(LN(2)/25)*Calculateur!DW200*Calculateur!DY200*VLOOKUP('Données projet'!$B$14,Paramètres!$A$1:$I$89,3,0)*0.475*44/12</f>
        <v>1.8156251257719105</v>
      </c>
      <c r="EC200" s="23">
        <f>EXP(-LN(2)/2)*EC199+(1-EXP(-LN(2)/2))/(LN(2)/2)*DW200*DZ200*VLOOKUP('Données projet'!$B$14,Paramètres!$A$1:$I$89,3,0)*0.475*44/12</f>
        <v>3.2147693858472903E-19</v>
      </c>
      <c r="ED200" s="24">
        <f t="shared" si="178"/>
        <v>14.063402329141704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1.7053025658242404E-13</v>
      </c>
      <c r="EK200" s="18">
        <f>EJ200*VLOOKUP('Données projet'!$B$15,Paramètres!$A$1:$I$89,3,0)*VLOOKUP('Données projet'!$B$15,Paramètres!$A$1:$I$89,5,0)</f>
        <v>1.6493686416652052E-13</v>
      </c>
      <c r="EL200" s="14">
        <f t="shared" si="179"/>
        <v>2.3376205369651282E-12</v>
      </c>
      <c r="EM200" s="22">
        <f t="shared" si="180"/>
        <v>4.3586208069709543E-12</v>
      </c>
      <c r="EN200" s="62">
        <f t="shared" si="198"/>
        <v>293.33333333333769</v>
      </c>
      <c r="EO200" s="62">
        <f ca="1">AVERAGE(OFFSET($EN$3,0,0,'Données projet'!$E$15+1,1))-AVERAGE(OFFSET($H$3,0,0,'Données projet'!$E$15+1,1))</f>
        <v>301.18531163828169</v>
      </c>
      <c r="EP200" s="62">
        <f t="shared" si="210"/>
        <v>192.30530273268101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15.816600010352422</v>
      </c>
      <c r="EW200" s="23">
        <f>EXP(-LN(2)/25)*EW199+(1-EXP(-LN(2)/25))/(LN(2)/25)*Calculateur!ER200*Calculateur!ET200*VLOOKUP('Données projet'!$B$15,Paramètres!$A$1:$I$89,3,0)*0.475*44/12</f>
        <v>0.5283874667644316</v>
      </c>
      <c r="EX200" s="23">
        <f>EXP(-LN(2)/2)*EX199+(1-EXP(-LN(2)/2))/(LN(2)/2)*ER200*EU200*VLOOKUP('Données projet'!$B$15,Paramètres!$A$1:$I$89,3,0)*0.475*44/12</f>
        <v>1.5172199906200637E-19</v>
      </c>
      <c r="EY200" s="24">
        <f t="shared" si="181"/>
        <v>16.344987477116852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1.7053025658242404E-13</v>
      </c>
      <c r="FF200" s="18">
        <f>FE200*VLOOKUP('Données projet'!$B$16,Paramètres!$A$1:$I$89,3,0)*VLOOKUP('Données projet'!$B$16,Paramètres!$A$1:$I$89,5,0)</f>
        <v>1.3301360013429075E-13</v>
      </c>
      <c r="FG200" s="14">
        <f t="shared" si="182"/>
        <v>1.9329766731057041E-12</v>
      </c>
      <c r="FH200" s="22">
        <f t="shared" si="183"/>
        <v>3.5982663925596575E-12</v>
      </c>
      <c r="FI200" s="62">
        <f t="shared" si="199"/>
        <v>293.3333333333369</v>
      </c>
      <c r="FJ200" s="62">
        <f ca="1">AVERAGE(OFFSET($FI$3,0,0,'Données projet'!$E$16+1,1))-AVERAGE(OFFSET($H$3,0,0,'Données projet'!$E$16+1,1))</f>
        <v>249.2899297828755</v>
      </c>
      <c r="FK200" s="62">
        <f t="shared" si="211"/>
        <v>162.88011837476813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12.755322588993899</v>
      </c>
      <c r="FR200" s="23">
        <f>EXP(-LN(2)/25)*FR199+(1-EXP(-LN(2)/25))/(LN(2)/25)*Calculateur!FM200*Calculateur!FO200*VLOOKUP('Données projet'!$B$16,Paramètres!$A$1:$I$89,3,0)*0.475*44/12</f>
        <v>0.42611892481002461</v>
      </c>
      <c r="FS200" s="23">
        <f>EXP(-LN(2)/2)*FS199+(1-EXP(-LN(2)/2))/(LN(2)/2)*FM200*FP200*VLOOKUP('Données projet'!$B$16,Paramètres!$A$1:$I$89,3,0)*0.475*44/12</f>
        <v>1.2235645085645547E-19</v>
      </c>
      <c r="FT200" s="24">
        <f t="shared" si="184"/>
        <v>13.181441513803923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1.7053025658242404E-13</v>
      </c>
      <c r="GA200" s="18">
        <f>FZ200*VLOOKUP('Données projet'!$B$17,Paramètres!$A$1:$I$89,3,0)*VLOOKUP('Données projet'!$B$17,Paramètres!$A$1:$I$89,5,0)</f>
        <v>1.1439169611549005E-13</v>
      </c>
      <c r="GB200" s="14">
        <f t="shared" si="185"/>
        <v>1.6918016515029816E-12</v>
      </c>
      <c r="GC200" s="22">
        <f t="shared" si="186"/>
        <v>3.1457867471021712E-12</v>
      </c>
      <c r="GD200" s="62">
        <f t="shared" si="200"/>
        <v>293.33333333333644</v>
      </c>
      <c r="GE200" s="62">
        <f ca="1">AVERAGE(OFFSET($GD$3,0,0,'Données projet'!$E$17+1,1))-AVERAGE(OFFSET($H$3,0,0,'Données projet'!$E$17+1,1))</f>
        <v>218.89895999738746</v>
      </c>
      <c r="GF200" s="62">
        <f t="shared" si="212"/>
        <v>145.64042897395763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13.520641944333514</v>
      </c>
      <c r="GM200" s="23">
        <f>EXP(-LN(2)/25)*GM199+(1-EXP(-LN(2)/25))/(LN(2)/25)*Calculateur!GH200*Calculateur!GJ200*VLOOKUP('Données projet'!$B$17,Paramètres!$A$1:$I$89,3,0)*0.475*44/12</f>
        <v>0.45168606029862696</v>
      </c>
      <c r="GN200" s="23">
        <f>EXP(-LN(2)/2)*GN199+(1-EXP(-LN(2)/2))/(LN(2)/2)*GH200*GK200*VLOOKUP('Données projet'!$B$17,Paramètres!$A$1:$I$89,3,0)*0.475*44/12</f>
        <v>1.0522654773655262E-19</v>
      </c>
      <c r="GO200" s="23">
        <f t="shared" si="187"/>
        <v>13.972328004632141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1.7053025658242404E-13</v>
      </c>
      <c r="GV200" s="18">
        <f>GU200*VLOOKUP('Données projet'!$B$18,Paramètres!$A$1:$I$89,3,0)*VLOOKUP('Données projet'!$B$18,Paramètres!$A$1:$I$89,5,0)</f>
        <v>1.8355876818532125E-13</v>
      </c>
      <c r="GW200" s="14">
        <f t="shared" si="188"/>
        <v>2.5693529898865504E-12</v>
      </c>
      <c r="GX200" s="22">
        <f t="shared" si="189"/>
        <v>4.7946546453085093E-12</v>
      </c>
      <c r="GY200" s="62">
        <f t="shared" si="201"/>
        <v>293.33333333333809</v>
      </c>
      <c r="GZ200" s="62">
        <f ca="1">AVERAGE(OFFSET($GY$3,0,0,'Données projet'!$E$18+1,1))-AVERAGE(OFFSET($H$3,0,0,'Données projet'!$E$18+1,1))</f>
        <v>331.3579800635751</v>
      </c>
      <c r="HA200" s="62">
        <f t="shared" si="213"/>
        <v>209.40702003535273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17.602345172811575</v>
      </c>
      <c r="HH200" s="23">
        <f>EXP(-LN(2)/25)*HH199+(1-EXP(-LN(2)/25))/(LN(2)/25)*Calculateur!HC200*Calculateur!HE200*VLOOKUP('Données projet'!$B$18,Paramètres!$A$1:$I$89,3,0)*0.475*44/12</f>
        <v>0.58804411623783537</v>
      </c>
      <c r="HI200" s="23">
        <f>EXP(-LN(2)/2)*HI199+(1-EXP(-LN(2)/2))/(LN(2)/2)*HC200*HF200*VLOOKUP('Données projet'!$B$18,Paramètres!$A$1:$I$89,3,0)*0.475*44/12</f>
        <v>1.6885190218190859E-19</v>
      </c>
      <c r="HJ200" s="24">
        <f t="shared" si="190"/>
        <v>18.19038928904941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5.0022208597511053E-12</v>
      </c>
      <c r="O201" s="14">
        <f>N201*VLOOKUP('Données projet'!$B$9,Paramètres!$A$1:$I$89,3,0)*VLOOKUP('Données projet'!$B$9,Paramètres!$A$1:$I$89,5,0)</f>
        <v>4.5260094339028E-12</v>
      </c>
      <c r="P201" s="14">
        <f t="shared" si="203"/>
        <v>4.3625683148570328E-11</v>
      </c>
      <c r="Q201" s="22">
        <f t="shared" si="162"/>
        <v>8.3864197914474037E-11</v>
      </c>
      <c r="R201" s="62">
        <f t="shared" si="191"/>
        <v>293.33333333341716</v>
      </c>
      <c r="S201" s="62">
        <f ca="1">AVERAGE(OFFSET($R$3,0,0,'Données projet'!$E$9+1,1))-AVERAGE(OFFSET($H$3,0,0,'Données projet'!$E$9+1,1))</f>
        <v>2472.5049373954762</v>
      </c>
      <c r="T201" s="62">
        <f t="shared" si="204"/>
        <v>286.98388307318311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552.21791808275964</v>
      </c>
      <c r="AA201" s="23">
        <f>EXP(-LN(2)/25)*AA200+(1-EXP(-LN(2)/25))/(LN(2)/25)*Calculateur!V201*Calculateur!X201*VLOOKUP('Données projet'!$B$9,Paramètres!$A$1:$I$89,3,0)*0.475*44/12</f>
        <v>17.547870766550016</v>
      </c>
      <c r="AB201" s="23">
        <f>EXP(-LN(2)/2)*AB200+(1-EXP(-LN(2)/2))/(LN(2)/2)*V201*Y201*VLOOKUP('Données projet'!$B$9,Paramètres!$A$1:$I$89,3,0)*0.475*44/12</f>
        <v>3.8448567071855302E-7</v>
      </c>
      <c r="AC201" s="24">
        <f t="shared" si="163"/>
        <v>569.76578923379532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5.0022208597511053E-12</v>
      </c>
      <c r="AJ201" s="14">
        <f>AI201*VLOOKUP('Données projet'!$B$10,Paramètres!$A$1:$I$89,3,0)*VLOOKUP('Données projet'!$B$10,Paramètres!$A$1:$I$89,5,0)</f>
        <v>5.0722519517876216E-12</v>
      </c>
      <c r="AK201" s="14">
        <f t="shared" si="164"/>
        <v>4.8246688221215311E-11</v>
      </c>
      <c r="AL201" s="22">
        <f t="shared" si="165"/>
        <v>9.2863820801313432E-11</v>
      </c>
      <c r="AM201" s="62">
        <f t="shared" si="193"/>
        <v>293.3333333334262</v>
      </c>
      <c r="AN201" s="62">
        <f ca="1">AVERAGE(OFFSET($AM$3,0,0,'Données projet'!$E$10+1,1))-AVERAGE(OFFSET($H$3,0,0,'Données projet'!$E$10+1,1))</f>
        <v>2761.1400657295467</v>
      </c>
      <c r="AO201" s="62">
        <f t="shared" si="205"/>
        <v>316.41877504316409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618.86490819619576</v>
      </c>
      <c r="AV201" s="23">
        <f>EXP(-LN(2)/25)*AV200+(1-EXP(-LN(2)/25))/(LN(2)/25)*Calculateur!AQ201*Calculateur!AS201*VLOOKUP('Données projet'!$B$10,Paramètres!$A$1:$I$89,3,0)*0.475*44/12</f>
        <v>19.665717238375045</v>
      </c>
      <c r="AW201" s="23">
        <f>EXP(-LN(2)/2)*AW200+(1-EXP(-LN(2)/2))/(LN(2)/2)*AQ201*AT201*VLOOKUP('Données projet'!$B$10,Paramètres!$A$1:$I$89,3,0)*0.475*44/12</f>
        <v>4.3088911373630952E-7</v>
      </c>
      <c r="AX201" s="23">
        <f t="shared" si="166"/>
        <v>638.53062586545991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5.0022208597511053E-12</v>
      </c>
      <c r="BE201" s="14">
        <f>BD201*VLOOKUP('Données projet'!$B$11,Paramètres!$A$1:$I$89,3,0)*VLOOKUP('Données projet'!$B$11,Paramètres!$A$1:$I$89,5,0)</f>
        <v>5.2283212426118558E-12</v>
      </c>
      <c r="BF201" s="14">
        <f t="shared" si="167"/>
        <v>4.9556081821365385E-11</v>
      </c>
      <c r="BG201" s="22">
        <f t="shared" si="168"/>
        <v>9.5416168669760364E-11</v>
      </c>
      <c r="BH201" s="62">
        <f t="shared" si="194"/>
        <v>293.33333333342875</v>
      </c>
      <c r="BI201" s="62">
        <f ca="1">AVERAGE(OFFSET($BH$3,0,0,'Données projet'!$E$11+1,1))-AVERAGE(OFFSET($H$3,0,0,'Données projet'!$E$11+1,1))</f>
        <v>2843.5086223152098</v>
      </c>
      <c r="BJ201" s="62">
        <f t="shared" si="206"/>
        <v>324.81562437645522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637.90690537146349</v>
      </c>
      <c r="BQ201" s="23">
        <f>EXP(-LN(2)/25)*BQ200+(1-EXP(-LN(2)/25))/(LN(2)/25)*Calculateur!BL201*Calculateur!BN201*VLOOKUP('Données projet'!$B$11,Paramètres!$A$1:$I$89,3,0)*0.475*44/12</f>
        <v>20.270816230325039</v>
      </c>
      <c r="BR201" s="23">
        <f>EXP(-LN(2)/2)*BR200+(1-EXP(-LN(2)/2))/(LN(2)/2)*BL201*BO201*VLOOKUP('Données projet'!$B$11,Paramètres!$A$1:$I$89,3,0)*0.475*44/12</f>
        <v>4.4414724031281171E-7</v>
      </c>
      <c r="BS201" s="24">
        <f t="shared" si="169"/>
        <v>658.17772204593575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5.0022208597511053E-12</v>
      </c>
      <c r="BZ201" s="14">
        <f>BY201*VLOOKUP('Données projet'!$B$12,Paramètres!$A$1:$I$89,3,0)*VLOOKUP('Données projet'!$B$12,Paramètres!$A$1:$I$89,5,0)</f>
        <v>4.9942173063755036E-12</v>
      </c>
      <c r="CA201" s="14">
        <f t="shared" si="170"/>
        <v>4.7590239529202817E-11</v>
      </c>
      <c r="CB201" s="22">
        <f t="shared" si="171"/>
        <v>9.1584595655298897E-11</v>
      </c>
      <c r="CC201" s="62">
        <f t="shared" si="195"/>
        <v>293.33333333342489</v>
      </c>
      <c r="CD201" s="62">
        <f ca="1">AVERAGE(OFFSET($CC$3,0,0,'Données projet'!$E$12+1,1))-AVERAGE(OFFSET($H$3,0,0,'Données projet'!$E$12+1,1))</f>
        <v>2719.939926994799</v>
      </c>
      <c r="CE201" s="62">
        <f t="shared" si="207"/>
        <v>312.21824046329749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609.34390960856251</v>
      </c>
      <c r="CL201" s="23">
        <f>EXP(-LN(2)/25)*CL200+(1-EXP(-LN(2)/25))/(LN(2)/25)*Calculateur!CG201*Calculateur!CI201*VLOOKUP('Données projet'!$B$12,Paramètres!$A$1:$I$89,3,0)*0.475*44/12</f>
        <v>19.363167742400041</v>
      </c>
      <c r="CM201" s="23">
        <f>EXP(-LN(2)/2)*CM200+(1-EXP(-LN(2)/2))/(LN(2)/2)*CG201*CJ201*VLOOKUP('Données projet'!$B$12,Paramètres!$A$1:$I$89,3,0)*0.475*44/12</f>
        <v>4.2426005044805834E-7</v>
      </c>
      <c r="CN201" s="24">
        <f t="shared" si="172"/>
        <v>628.70707777522261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1.1368683772161603E-12</v>
      </c>
      <c r="CU201" s="18">
        <f>CT201*VLOOKUP('Données projet'!$B$13,Paramètres!$A$1:$I$89,3,0)*VLOOKUP('Données projet'!$B$13,Paramètres!$A$1:$I$89,5,0)</f>
        <v>9.9316821433603771E-13</v>
      </c>
      <c r="CV201" s="14">
        <f t="shared" si="173"/>
        <v>1.1421454694498936E-11</v>
      </c>
      <c r="CW201" s="22">
        <f t="shared" si="174"/>
        <v>2.1622134899554243E-11</v>
      </c>
      <c r="CX201" s="62">
        <f t="shared" si="196"/>
        <v>293.33333333335491</v>
      </c>
      <c r="CY201" s="62">
        <f ca="1">AVERAGE(OFFSET($CX$3,0,0,'Données projet'!$E$13+1,1))-AVERAGE(OFFSET($H$3,0,0,'Données projet'!$E$13+1,1))</f>
        <v>1036.0130072090849</v>
      </c>
      <c r="CZ201" s="62">
        <f t="shared" si="208"/>
        <v>346.56593355696174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64.709289719331238</v>
      </c>
      <c r="DG201" s="23">
        <f>EXP(-LN(2)/25)*DG200+(1-EXP(-LN(2)/25))/(LN(2)/25)*Calculateur!DB201*Calculateur!DD201*VLOOKUP('Données projet'!$B$13,Paramètres!$A$1:$I$89,3,0)*0.475*44/12</f>
        <v>1.6058299711438528</v>
      </c>
      <c r="DH201" s="23">
        <f>EXP(-LN(2)/2)*DH200+(1-EXP(-LN(2)/2))/(LN(2)/2)*DB201*DE201*VLOOKUP('Données projet'!$B$13,Paramètres!$A$1:$I$89,3,0)*0.475*44/12</f>
        <v>1.5677566120076714E-16</v>
      </c>
      <c r="DI201" s="24">
        <f t="shared" si="175"/>
        <v>66.315119690475086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6.8212102632969618E-13</v>
      </c>
      <c r="DP201" s="18">
        <f>DO201*VLOOKUP('Données projet'!$B$14,Paramètres!$A$1:$I$89,3,0)*VLOOKUP('Données projet'!$B$14,Paramètres!$A$1:$I$89,5,0)</f>
        <v>3.8130565371830017E-13</v>
      </c>
      <c r="DQ201" s="14">
        <f t="shared" si="176"/>
        <v>4.9019074112354236E-12</v>
      </c>
      <c r="DR201" s="22">
        <f t="shared" si="177"/>
        <v>9.2015960881277352E-12</v>
      </c>
      <c r="DS201" s="62">
        <f t="shared" si="197"/>
        <v>293.33333333334252</v>
      </c>
      <c r="DT201" s="62">
        <f ca="1">AVERAGE(OFFSET($DS$3,0,0,'Données projet'!$E$14+1,1))-AVERAGE(OFFSET($H$3,0,0,'Données projet'!$E$14+1,1))</f>
        <v>446.48069057792151</v>
      </c>
      <c r="DU201" s="62">
        <f t="shared" si="209"/>
        <v>561.75656782935948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12.007605762818164</v>
      </c>
      <c r="EB201" s="23">
        <f>EXP(-LN(2)/25)*EB200+(1-EXP(-LN(2)/25))/(LN(2)/25)*Calculateur!DW201*Calculateur!DY201*VLOOKUP('Données projet'!$B$14,Paramètres!$A$1:$I$89,3,0)*0.475*44/12</f>
        <v>1.7659767612281019</v>
      </c>
      <c r="EC201" s="23">
        <f>EXP(-LN(2)/2)*EC200+(1-EXP(-LN(2)/2))/(LN(2)/2)*DW201*DZ201*VLOOKUP('Données projet'!$B$14,Paramètres!$A$1:$I$89,3,0)*0.475*44/12</f>
        <v>2.2731852326835316E-19</v>
      </c>
      <c r="ED201" s="24">
        <f t="shared" si="178"/>
        <v>13.773582524046265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1.7053025658242404E-13</v>
      </c>
      <c r="EK201" s="18">
        <f>EJ201*VLOOKUP('Données projet'!$B$15,Paramètres!$A$1:$I$89,3,0)*VLOOKUP('Données projet'!$B$15,Paramètres!$A$1:$I$89,5,0)</f>
        <v>1.6493686416652052E-13</v>
      </c>
      <c r="EL201" s="14">
        <f t="shared" si="179"/>
        <v>2.3376205369651282E-12</v>
      </c>
      <c r="EM201" s="22">
        <f t="shared" si="180"/>
        <v>4.3586208069709543E-12</v>
      </c>
      <c r="EN201" s="62">
        <f t="shared" si="198"/>
        <v>293.33333333333769</v>
      </c>
      <c r="EO201" s="62">
        <f ca="1">AVERAGE(OFFSET($EN$3,0,0,'Données projet'!$E$15+1,1))-AVERAGE(OFFSET($H$3,0,0,'Données projet'!$E$15+1,1))</f>
        <v>301.18531163828169</v>
      </c>
      <c r="EP201" s="62">
        <f t="shared" si="210"/>
        <v>192.30530273268101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15.506446131322837</v>
      </c>
      <c r="EW201" s="23">
        <f>EXP(-LN(2)/25)*EW200+(1-EXP(-LN(2)/25))/(LN(2)/25)*Calculateur!ER201*Calculateur!ET201*VLOOKUP('Données projet'!$B$15,Paramètres!$A$1:$I$89,3,0)*0.475*44/12</f>
        <v>0.51393868369906903</v>
      </c>
      <c r="EX201" s="23">
        <f>EXP(-LN(2)/2)*EX200+(1-EXP(-LN(2)/2))/(LN(2)/2)*ER201*EU201*VLOOKUP('Données projet'!$B$15,Paramètres!$A$1:$I$89,3,0)*0.475*44/12</f>
        <v>1.0728365439192372E-19</v>
      </c>
      <c r="EY201" s="24">
        <f t="shared" si="181"/>
        <v>16.020384815021906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1.7053025658242404E-13</v>
      </c>
      <c r="FF201" s="18">
        <f>FE201*VLOOKUP('Données projet'!$B$16,Paramètres!$A$1:$I$89,3,0)*VLOOKUP('Données projet'!$B$16,Paramètres!$A$1:$I$89,5,0)</f>
        <v>1.3301360013429075E-13</v>
      </c>
      <c r="FG201" s="14">
        <f t="shared" si="182"/>
        <v>1.9329766731057041E-12</v>
      </c>
      <c r="FH201" s="22">
        <f t="shared" si="183"/>
        <v>3.5982663925596575E-12</v>
      </c>
      <c r="FI201" s="62">
        <f t="shared" si="199"/>
        <v>293.3333333333369</v>
      </c>
      <c r="FJ201" s="62">
        <f ca="1">AVERAGE(OFFSET($FI$3,0,0,'Données projet'!$E$16+1,1))-AVERAGE(OFFSET($H$3,0,0,'Données projet'!$E$16+1,1))</f>
        <v>249.2899297828755</v>
      </c>
      <c r="FK201" s="62">
        <f t="shared" si="211"/>
        <v>162.88011837476813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12.505198493002299</v>
      </c>
      <c r="FR201" s="23">
        <f>EXP(-LN(2)/25)*FR200+(1-EXP(-LN(2)/25))/(LN(2)/25)*Calculateur!FM201*Calculateur!FO201*VLOOKUP('Données projet'!$B$16,Paramètres!$A$1:$I$89,3,0)*0.475*44/12</f>
        <v>0.41446668040247414</v>
      </c>
      <c r="FS201" s="23">
        <f>EXP(-LN(2)/2)*FS200+(1-EXP(-LN(2)/2))/(LN(2)/2)*FM201*FP201*VLOOKUP('Données projet'!$B$16,Paramètres!$A$1:$I$89,3,0)*0.475*44/12</f>
        <v>8.6519076122518214E-20</v>
      </c>
      <c r="FT201" s="24">
        <f t="shared" si="184"/>
        <v>12.919665173404773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1.7053025658242404E-13</v>
      </c>
      <c r="GA201" s="18">
        <f>FZ201*VLOOKUP('Données projet'!$B$17,Paramètres!$A$1:$I$89,3,0)*VLOOKUP('Données projet'!$B$17,Paramètres!$A$1:$I$89,5,0)</f>
        <v>1.1439169611549005E-13</v>
      </c>
      <c r="GB201" s="14">
        <f t="shared" si="185"/>
        <v>1.6918016515029816E-12</v>
      </c>
      <c r="GC201" s="22">
        <f t="shared" si="186"/>
        <v>3.1457867471021712E-12</v>
      </c>
      <c r="GD201" s="62">
        <f t="shared" si="200"/>
        <v>293.33333333333644</v>
      </c>
      <c r="GE201" s="62">
        <f ca="1">AVERAGE(OFFSET($GD$3,0,0,'Données projet'!$E$17+1,1))-AVERAGE(OFFSET($H$3,0,0,'Données projet'!$E$17+1,1))</f>
        <v>218.89895999738746</v>
      </c>
      <c r="GF201" s="62">
        <f t="shared" si="212"/>
        <v>145.64042897395763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13.255510402582418</v>
      </c>
      <c r="GM201" s="23">
        <f>EXP(-LN(2)/25)*GM200+(1-EXP(-LN(2)/25))/(LN(2)/25)*Calculateur!GH201*Calculateur!GJ201*VLOOKUP('Données projet'!$B$17,Paramètres!$A$1:$I$89,3,0)*0.475*44/12</f>
        <v>0.43933468122662345</v>
      </c>
      <c r="GN201" s="23">
        <f>EXP(-LN(2)/2)*GN200+(1-EXP(-LN(2)/2))/(LN(2)/2)*GH201*GK201*VLOOKUP('Données projet'!$B$17,Paramètres!$A$1:$I$89,3,0)*0.475*44/12</f>
        <v>7.4406405465366311E-20</v>
      </c>
      <c r="GO201" s="23">
        <f t="shared" si="187"/>
        <v>13.694845083809042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1.7053025658242404E-13</v>
      </c>
      <c r="GV201" s="18">
        <f>GU201*VLOOKUP('Données projet'!$B$18,Paramètres!$A$1:$I$89,3,0)*VLOOKUP('Données projet'!$B$18,Paramètres!$A$1:$I$89,5,0)</f>
        <v>1.8355876818532125E-13</v>
      </c>
      <c r="GW201" s="14">
        <f t="shared" si="188"/>
        <v>2.5693529898865504E-12</v>
      </c>
      <c r="GX201" s="22">
        <f t="shared" si="189"/>
        <v>4.7946546453085093E-12</v>
      </c>
      <c r="GY201" s="62">
        <f t="shared" si="201"/>
        <v>293.33333333333809</v>
      </c>
      <c r="GZ201" s="62">
        <f ca="1">AVERAGE(OFFSET($GY$3,0,0,'Données projet'!$E$18+1,1))-AVERAGE(OFFSET($H$3,0,0,'Données projet'!$E$18+1,1))</f>
        <v>331.3579800635751</v>
      </c>
      <c r="HA201" s="62">
        <f t="shared" si="213"/>
        <v>209.40702003535273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17.257173920343167</v>
      </c>
      <c r="HH201" s="23">
        <f>EXP(-LN(2)/25)*HH200+(1-EXP(-LN(2)/25))/(LN(2)/25)*Calculateur!HC201*Calculateur!HE201*VLOOKUP('Données projet'!$B$18,Paramètres!$A$1:$I$89,3,0)*0.475*44/12</f>
        <v>0.57196401895541571</v>
      </c>
      <c r="HI201" s="23">
        <f>EXP(-LN(2)/2)*HI200+(1-EXP(-LN(2)/2))/(LN(2)/2)*HC201*HF201*VLOOKUP('Données projet'!$B$18,Paramètres!$A$1:$I$89,3,0)*0.475*44/12</f>
        <v>1.1939632504907516E-19</v>
      </c>
      <c r="HJ201" s="24">
        <f t="shared" si="190"/>
        <v>17.829137939298583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5.0022208597511053E-12</v>
      </c>
      <c r="O202" s="14">
        <f>N202*VLOOKUP('Données projet'!$B$9,Paramètres!$A$1:$I$89,3,0)*VLOOKUP('Données projet'!$B$9,Paramètres!$A$1:$I$89,5,0)</f>
        <v>4.5260094339028E-12</v>
      </c>
      <c r="P202" s="14">
        <f t="shared" si="203"/>
        <v>4.3625683148570328E-11</v>
      </c>
      <c r="Q202" s="22">
        <f t="shared" si="162"/>
        <v>8.3864197914474037E-11</v>
      </c>
      <c r="R202" s="62">
        <f t="shared" si="191"/>
        <v>293.33333333341716</v>
      </c>
      <c r="S202" s="62">
        <f ca="1">AVERAGE(OFFSET($R$3,0,0,'Données projet'!$E$9+1,1))-AVERAGE(OFFSET($H$3,0,0,'Données projet'!$E$9+1,1))</f>
        <v>2472.5049373954762</v>
      </c>
      <c r="T202" s="62">
        <f t="shared" si="204"/>
        <v>286.98388307318311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541.38926152882857</v>
      </c>
      <c r="AA202" s="23">
        <f>EXP(-LN(2)/25)*AA201+(1-EXP(-LN(2)/25))/(LN(2)/25)*Calculateur!V202*Calculateur!X202*VLOOKUP('Données projet'!$B$9,Paramètres!$A$1:$I$89,3,0)*0.475*44/12</f>
        <v>17.068023317636289</v>
      </c>
      <c r="AB202" s="23">
        <f>EXP(-LN(2)/2)*AB201+(1-EXP(-LN(2)/2))/(LN(2)/2)*V202*Y202*VLOOKUP('Données projet'!$B$9,Paramètres!$A$1:$I$89,3,0)*0.475*44/12</f>
        <v>2.7187242503414683E-7</v>
      </c>
      <c r="AC202" s="24">
        <f t="shared" si="163"/>
        <v>558.45728511833727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5.0022208597511053E-12</v>
      </c>
      <c r="AJ202" s="14">
        <f>AI202*VLOOKUP('Données projet'!$B$10,Paramètres!$A$1:$I$89,3,0)*VLOOKUP('Données projet'!$B$10,Paramètres!$A$1:$I$89,5,0)</f>
        <v>5.0722519517876216E-12</v>
      </c>
      <c r="AK202" s="14">
        <f t="shared" si="164"/>
        <v>4.8246688221215311E-11</v>
      </c>
      <c r="AL202" s="22">
        <f t="shared" si="165"/>
        <v>9.2863820801313432E-11</v>
      </c>
      <c r="AM202" s="62">
        <f t="shared" si="193"/>
        <v>293.3333333334262</v>
      </c>
      <c r="AN202" s="62">
        <f ca="1">AVERAGE(OFFSET($AM$3,0,0,'Données projet'!$E$10+1,1))-AVERAGE(OFFSET($H$3,0,0,'Données projet'!$E$10+1,1))</f>
        <v>2761.1400657295467</v>
      </c>
      <c r="AO202" s="62">
        <f t="shared" si="205"/>
        <v>316.41877504316409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606.72934481679022</v>
      </c>
      <c r="AV202" s="23">
        <f>EXP(-LN(2)/25)*AV201+(1-EXP(-LN(2)/25))/(LN(2)/25)*Calculateur!AQ202*Calculateur!AS202*VLOOKUP('Données projet'!$B$10,Paramètres!$A$1:$I$89,3,0)*0.475*44/12</f>
        <v>19.127957166316556</v>
      </c>
      <c r="AW202" s="23">
        <f>EXP(-LN(2)/2)*AW201+(1-EXP(-LN(2)/2))/(LN(2)/2)*AQ202*AT202*VLOOKUP('Données projet'!$B$10,Paramètres!$A$1:$I$89,3,0)*0.475*44/12</f>
        <v>3.04684614262406E-7</v>
      </c>
      <c r="AX202" s="23">
        <f t="shared" si="166"/>
        <v>625.85730228779141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5.0022208597511053E-12</v>
      </c>
      <c r="BE202" s="14">
        <f>BD202*VLOOKUP('Données projet'!$B$11,Paramètres!$A$1:$I$89,3,0)*VLOOKUP('Données projet'!$B$11,Paramètres!$A$1:$I$89,5,0)</f>
        <v>5.2283212426118558E-12</v>
      </c>
      <c r="BF202" s="14">
        <f t="shared" si="167"/>
        <v>4.9556081821365385E-11</v>
      </c>
      <c r="BG202" s="22">
        <f t="shared" si="168"/>
        <v>9.5416168669760364E-11</v>
      </c>
      <c r="BH202" s="62">
        <f t="shared" si="194"/>
        <v>293.33333333342875</v>
      </c>
      <c r="BI202" s="62">
        <f ca="1">AVERAGE(OFFSET($BH$3,0,0,'Données projet'!$E$11+1,1))-AVERAGE(OFFSET($H$3,0,0,'Données projet'!$E$11+1,1))</f>
        <v>2843.5086223152098</v>
      </c>
      <c r="BJ202" s="62">
        <f t="shared" si="206"/>
        <v>324.81562437645522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625.39794004192242</v>
      </c>
      <c r="BQ202" s="23">
        <f>EXP(-LN(2)/25)*BQ201+(1-EXP(-LN(2)/25))/(LN(2)/25)*Calculateur!BL202*Calculateur!BN202*VLOOKUP('Données projet'!$B$11,Paramètres!$A$1:$I$89,3,0)*0.475*44/12</f>
        <v>19.716509694510904</v>
      </c>
      <c r="BR202" s="23">
        <f>EXP(-LN(2)/2)*BR201+(1-EXP(-LN(2)/2))/(LN(2)/2)*BL202*BO202*VLOOKUP('Données projet'!$B$11,Paramètres!$A$1:$I$89,3,0)*0.475*44/12</f>
        <v>3.1405952547048029E-7</v>
      </c>
      <c r="BS202" s="24">
        <f t="shared" si="169"/>
        <v>645.11445005049291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5.0022208597511053E-12</v>
      </c>
      <c r="BZ202" s="14">
        <f>BY202*VLOOKUP('Données projet'!$B$12,Paramètres!$A$1:$I$89,3,0)*VLOOKUP('Données projet'!$B$12,Paramètres!$A$1:$I$89,5,0)</f>
        <v>4.9942173063755036E-12</v>
      </c>
      <c r="CA202" s="14">
        <f t="shared" si="170"/>
        <v>4.7590239529202817E-11</v>
      </c>
      <c r="CB202" s="22">
        <f t="shared" si="171"/>
        <v>9.1584595655298897E-11</v>
      </c>
      <c r="CC202" s="62">
        <f t="shared" si="195"/>
        <v>293.33333333342489</v>
      </c>
      <c r="CD202" s="62">
        <f ca="1">AVERAGE(OFFSET($CC$3,0,0,'Données projet'!$E$12+1,1))-AVERAGE(OFFSET($H$3,0,0,'Données projet'!$E$12+1,1))</f>
        <v>2719.939926994799</v>
      </c>
      <c r="CE202" s="62">
        <f t="shared" si="207"/>
        <v>312.21824046329749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597.39504720422474</v>
      </c>
      <c r="CL202" s="23">
        <f>EXP(-LN(2)/25)*CL201+(1-EXP(-LN(2)/25))/(LN(2)/25)*Calculateur!CG202*Calculateur!CI202*VLOOKUP('Données projet'!$B$12,Paramètres!$A$1:$I$89,3,0)*0.475*44/12</f>
        <v>18.833680902219374</v>
      </c>
      <c r="CM202" s="23">
        <f>EXP(-LN(2)/2)*CM201+(1-EXP(-LN(2)/2))/(LN(2)/2)*CG202*CJ202*VLOOKUP('Données projet'!$B$12,Paramètres!$A$1:$I$89,3,0)*0.475*44/12</f>
        <v>2.999971586583688E-7</v>
      </c>
      <c r="CN202" s="24">
        <f t="shared" si="172"/>
        <v>616.22872840644129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1.1368683772161603E-12</v>
      </c>
      <c r="CU202" s="18">
        <f>CT202*VLOOKUP('Données projet'!$B$13,Paramètres!$A$1:$I$89,3,0)*VLOOKUP('Données projet'!$B$13,Paramètres!$A$1:$I$89,5,0)</f>
        <v>9.9316821433603771E-13</v>
      </c>
      <c r="CV202" s="14">
        <f t="shared" si="173"/>
        <v>1.1421454694498936E-11</v>
      </c>
      <c r="CW202" s="22">
        <f t="shared" si="174"/>
        <v>2.1622134899554243E-11</v>
      </c>
      <c r="CX202" s="62">
        <f t="shared" si="196"/>
        <v>293.33333333335491</v>
      </c>
      <c r="CY202" s="62">
        <f ca="1">AVERAGE(OFFSET($CX$3,0,0,'Données projet'!$E$13+1,1))-AVERAGE(OFFSET($H$3,0,0,'Données projet'!$E$13+1,1))</f>
        <v>1036.0130072090849</v>
      </c>
      <c r="CZ202" s="62">
        <f t="shared" si="208"/>
        <v>346.56593355696174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63.440380016704665</v>
      </c>
      <c r="DG202" s="23">
        <f>EXP(-LN(2)/25)*DG201+(1-EXP(-LN(2)/25))/(LN(2)/25)*Calculateur!DB202*Calculateur!DD202*VLOOKUP('Données projet'!$B$13,Paramètres!$A$1:$I$89,3,0)*0.475*44/12</f>
        <v>1.5619184661359962</v>
      </c>
      <c r="DH202" s="23">
        <f>EXP(-LN(2)/2)*DH201+(1-EXP(-LN(2)/2))/(LN(2)/2)*DB202*DE202*VLOOKUP('Données projet'!$B$13,Paramètres!$A$1:$I$89,3,0)*0.475*44/12</f>
        <v>1.1085713316006716E-16</v>
      </c>
      <c r="DI202" s="24">
        <f t="shared" si="175"/>
        <v>65.002298482840658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6.8212102632969618E-13</v>
      </c>
      <c r="DP202" s="18">
        <f>DO202*VLOOKUP('Données projet'!$B$14,Paramètres!$A$1:$I$89,3,0)*VLOOKUP('Données projet'!$B$14,Paramètres!$A$1:$I$89,5,0)</f>
        <v>3.8130565371830017E-13</v>
      </c>
      <c r="DQ202" s="14">
        <f t="shared" si="176"/>
        <v>4.9019074112354236E-12</v>
      </c>
      <c r="DR202" s="22">
        <f t="shared" si="177"/>
        <v>9.2015960881277352E-12</v>
      </c>
      <c r="DS202" s="62">
        <f t="shared" si="197"/>
        <v>293.33333333334252</v>
      </c>
      <c r="DT202" s="62">
        <f ca="1">AVERAGE(OFFSET($DS$3,0,0,'Données projet'!$E$14+1,1))-AVERAGE(OFFSET($H$3,0,0,'Données projet'!$E$14+1,1))</f>
        <v>446.48069057792151</v>
      </c>
      <c r="DU202" s="62">
        <f t="shared" si="209"/>
        <v>561.75656782935948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11.772143937725639</v>
      </c>
      <c r="EB202" s="23">
        <f>EXP(-LN(2)/25)*EB201+(1-EXP(-LN(2)/25))/(LN(2)/25)*Calculateur!DW202*Calculateur!DY202*VLOOKUP('Données projet'!$B$14,Paramètres!$A$1:$I$89,3,0)*0.475*44/12</f>
        <v>1.7176860338236377</v>
      </c>
      <c r="EC202" s="23">
        <f>EXP(-LN(2)/2)*EC201+(1-EXP(-LN(2)/2))/(LN(2)/2)*DW202*DZ202*VLOOKUP('Données projet'!$B$14,Paramètres!$A$1:$I$89,3,0)*0.475*44/12</f>
        <v>1.6073846929236451E-19</v>
      </c>
      <c r="ED202" s="24">
        <f t="shared" si="178"/>
        <v>13.489829971549277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1.7053025658242404E-13</v>
      </c>
      <c r="EK202" s="18">
        <f>EJ202*VLOOKUP('Données projet'!$B$15,Paramètres!$A$1:$I$89,3,0)*VLOOKUP('Données projet'!$B$15,Paramètres!$A$1:$I$89,5,0)</f>
        <v>1.6493686416652052E-13</v>
      </c>
      <c r="EL202" s="14">
        <f t="shared" si="179"/>
        <v>2.3376205369651282E-12</v>
      </c>
      <c r="EM202" s="22">
        <f t="shared" si="180"/>
        <v>4.3586208069709543E-12</v>
      </c>
      <c r="EN202" s="62">
        <f t="shared" si="198"/>
        <v>293.33333333333769</v>
      </c>
      <c r="EO202" s="62">
        <f ca="1">AVERAGE(OFFSET($EN$3,0,0,'Données projet'!$E$15+1,1))-AVERAGE(OFFSET($H$3,0,0,'Données projet'!$E$15+1,1))</f>
        <v>301.18531163828169</v>
      </c>
      <c r="EP202" s="62">
        <f t="shared" si="210"/>
        <v>192.30530273268101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15.202374180685837</v>
      </c>
      <c r="EW202" s="23">
        <f>EXP(-LN(2)/25)*EW201+(1-EXP(-LN(2)/25))/(LN(2)/25)*Calculateur!ER202*Calculateur!ET202*VLOOKUP('Données projet'!$B$15,Paramètres!$A$1:$I$89,3,0)*0.475*44/12</f>
        <v>0.49988500336645725</v>
      </c>
      <c r="EX202" s="23">
        <f>EXP(-LN(2)/2)*EX201+(1-EXP(-LN(2)/2))/(LN(2)/2)*ER202*EU202*VLOOKUP('Données projet'!$B$15,Paramètres!$A$1:$I$89,3,0)*0.475*44/12</f>
        <v>7.5860999531003198E-20</v>
      </c>
      <c r="EY202" s="24">
        <f t="shared" si="181"/>
        <v>15.702259184052295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1.7053025658242404E-13</v>
      </c>
      <c r="FF202" s="18">
        <f>FE202*VLOOKUP('Données projet'!$B$16,Paramètres!$A$1:$I$89,3,0)*VLOOKUP('Données projet'!$B$16,Paramètres!$A$1:$I$89,5,0)</f>
        <v>1.3301360013429075E-13</v>
      </c>
      <c r="FG202" s="14">
        <f t="shared" si="182"/>
        <v>1.9329766731057041E-12</v>
      </c>
      <c r="FH202" s="22">
        <f t="shared" si="183"/>
        <v>3.5982663925596575E-12</v>
      </c>
      <c r="FI202" s="62">
        <f t="shared" si="199"/>
        <v>293.3333333333369</v>
      </c>
      <c r="FJ202" s="62">
        <f ca="1">AVERAGE(OFFSET($FI$3,0,0,'Données projet'!$E$16+1,1))-AVERAGE(OFFSET($H$3,0,0,'Données projet'!$E$16+1,1))</f>
        <v>249.2899297828755</v>
      </c>
      <c r="FK202" s="62">
        <f t="shared" si="211"/>
        <v>162.88011837476813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12.259979177972459</v>
      </c>
      <c r="FR202" s="23">
        <f>EXP(-LN(2)/25)*FR201+(1-EXP(-LN(2)/25))/(LN(2)/25)*Calculateur!FM202*Calculateur!FO202*VLOOKUP('Données projet'!$B$16,Paramètres!$A$1:$I$89,3,0)*0.475*44/12</f>
        <v>0.40313306723101305</v>
      </c>
      <c r="FS202" s="23">
        <f>EXP(-LN(2)/2)*FS201+(1-EXP(-LN(2)/2))/(LN(2)/2)*FM202*FP202*VLOOKUP('Données projet'!$B$16,Paramètres!$A$1:$I$89,3,0)*0.475*44/12</f>
        <v>6.1178225428227734E-20</v>
      </c>
      <c r="FT202" s="24">
        <f t="shared" si="184"/>
        <v>12.663112245203472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1.7053025658242404E-13</v>
      </c>
      <c r="GA202" s="18">
        <f>FZ202*VLOOKUP('Données projet'!$B$17,Paramètres!$A$1:$I$89,3,0)*VLOOKUP('Données projet'!$B$17,Paramètres!$A$1:$I$89,5,0)</f>
        <v>1.1439169611549005E-13</v>
      </c>
      <c r="GB202" s="14">
        <f t="shared" si="185"/>
        <v>1.6918016515029816E-12</v>
      </c>
      <c r="GC202" s="22">
        <f t="shared" si="186"/>
        <v>3.1457867471021712E-12</v>
      </c>
      <c r="GD202" s="62">
        <f t="shared" si="200"/>
        <v>293.33333333333644</v>
      </c>
      <c r="GE202" s="62">
        <f ca="1">AVERAGE(OFFSET($GD$3,0,0,'Données projet'!$E$17+1,1))-AVERAGE(OFFSET($H$3,0,0,'Données projet'!$E$17+1,1))</f>
        <v>218.89895999738746</v>
      </c>
      <c r="GF202" s="62">
        <f t="shared" si="212"/>
        <v>145.64042897395763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12.995577928650789</v>
      </c>
      <c r="GM202" s="23">
        <f>EXP(-LN(2)/25)*GM201+(1-EXP(-LN(2)/25))/(LN(2)/25)*Calculateur!GH202*Calculateur!GJ202*VLOOKUP('Données projet'!$B$17,Paramètres!$A$1:$I$89,3,0)*0.475*44/12</f>
        <v>0.42732105126487463</v>
      </c>
      <c r="GN202" s="23">
        <f>EXP(-LN(2)/2)*GN201+(1-EXP(-LN(2)/2))/(LN(2)/2)*GH202*GK202*VLOOKUP('Données projet'!$B$17,Paramètres!$A$1:$I$89,3,0)*0.475*44/12</f>
        <v>5.261327386827631E-20</v>
      </c>
      <c r="GO202" s="23">
        <f t="shared" si="187"/>
        <v>13.422898979915663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1.7053025658242404E-13</v>
      </c>
      <c r="GV202" s="18">
        <f>GU202*VLOOKUP('Données projet'!$B$18,Paramètres!$A$1:$I$89,3,0)*VLOOKUP('Données projet'!$B$18,Paramètres!$A$1:$I$89,5,0)</f>
        <v>1.8355876818532125E-13</v>
      </c>
      <c r="GW202" s="14">
        <f t="shared" si="188"/>
        <v>2.5693529898865504E-12</v>
      </c>
      <c r="GX202" s="22">
        <f t="shared" si="189"/>
        <v>4.7946546453085093E-12</v>
      </c>
      <c r="GY202" s="62">
        <f t="shared" si="201"/>
        <v>293.33333333333809</v>
      </c>
      <c r="GZ202" s="62">
        <f ca="1">AVERAGE(OFFSET($GY$3,0,0,'Données projet'!$E$18+1,1))-AVERAGE(OFFSET($H$3,0,0,'Données projet'!$E$18+1,1))</f>
        <v>331.3579800635751</v>
      </c>
      <c r="HA202" s="62">
        <f t="shared" si="213"/>
        <v>209.40702003535273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16.91877126560199</v>
      </c>
      <c r="HH202" s="23">
        <f>EXP(-LN(2)/25)*HH201+(1-EXP(-LN(2)/25))/(LN(2)/25)*Calculateur!HC202*Calculateur!HE202*VLOOKUP('Données projet'!$B$18,Paramètres!$A$1:$I$89,3,0)*0.475*44/12</f>
        <v>0.55632363277879937</v>
      </c>
      <c r="HI202" s="23">
        <f>EXP(-LN(2)/2)*HI201+(1-EXP(-LN(2)/2))/(LN(2)/2)*HC202*HF202*VLOOKUP('Données projet'!$B$18,Paramètres!$A$1:$I$89,3,0)*0.475*44/12</f>
        <v>8.4425951090954297E-20</v>
      </c>
      <c r="HJ202" s="24">
        <f t="shared" si="190"/>
        <v>17.475094898380789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5.0022208597511053E-12</v>
      </c>
      <c r="O203" s="14">
        <f>N203*VLOOKUP('Données projet'!$B$9,Paramètres!$A$1:$I$89,3,0)*VLOOKUP('Données projet'!$B$9,Paramètres!$A$1:$I$89,5,0)</f>
        <v>4.5260094339028E-12</v>
      </c>
      <c r="P203" s="14">
        <f t="shared" si="203"/>
        <v>4.3625683148570328E-11</v>
      </c>
      <c r="Q203" s="22">
        <f t="shared" si="162"/>
        <v>8.3864197914474037E-11</v>
      </c>
      <c r="R203" s="62">
        <f t="shared" si="191"/>
        <v>293.33333333341716</v>
      </c>
      <c r="S203" s="62">
        <f ca="1">AVERAGE(OFFSET($R$3,0,0,'Données projet'!$E$9+1,1))-AVERAGE(OFFSET($H$3,0,0,'Données projet'!$E$9+1,1))</f>
        <v>2472.5049373954762</v>
      </c>
      <c r="T203" s="62">
        <f t="shared" si="204"/>
        <v>286.98388307318311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530.77294832509176</v>
      </c>
      <c r="AA203" s="23">
        <f>EXP(-LN(2)/25)*AA202+(1-EXP(-LN(2)/25))/(LN(2)/25)*Calculateur!V203*Calculateur!X203*VLOOKUP('Données projet'!$B$9,Paramètres!$A$1:$I$89,3,0)*0.475*44/12</f>
        <v>16.601297322447188</v>
      </c>
      <c r="AB203" s="23">
        <f>EXP(-LN(2)/2)*AB202+(1-EXP(-LN(2)/2))/(LN(2)/2)*V203*Y203*VLOOKUP('Données projet'!$B$9,Paramètres!$A$1:$I$89,3,0)*0.475*44/12</f>
        <v>1.9224283535927651E-7</v>
      </c>
      <c r="AC203" s="24">
        <f t="shared" si="163"/>
        <v>547.37424583978179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5.0022208597511053E-12</v>
      </c>
      <c r="AJ203" s="14">
        <f>AI203*VLOOKUP('Données projet'!$B$10,Paramètres!$A$1:$I$89,3,0)*VLOOKUP('Données projet'!$B$10,Paramètres!$A$1:$I$89,5,0)</f>
        <v>5.0722519517876216E-12</v>
      </c>
      <c r="AK203" s="14">
        <f t="shared" si="164"/>
        <v>4.8246688221215311E-11</v>
      </c>
      <c r="AL203" s="22">
        <f t="shared" si="165"/>
        <v>9.2863820801313432E-11</v>
      </c>
      <c r="AM203" s="62">
        <f t="shared" si="193"/>
        <v>293.3333333334262</v>
      </c>
      <c r="AN203" s="62">
        <f ca="1">AVERAGE(OFFSET($AM$3,0,0,'Données projet'!$E$10+1,1))-AVERAGE(OFFSET($H$3,0,0,'Données projet'!$E$10+1,1))</f>
        <v>2761.1400657295467</v>
      </c>
      <c r="AO203" s="62">
        <f t="shared" si="205"/>
        <v>316.41877504316409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594.83175243329208</v>
      </c>
      <c r="AV203" s="23">
        <f>EXP(-LN(2)/25)*AV202+(1-EXP(-LN(2)/25))/(LN(2)/25)*Calculateur!AQ203*Calculateur!AS203*VLOOKUP('Données projet'!$B$10,Paramètres!$A$1:$I$89,3,0)*0.475*44/12</f>
        <v>18.60490217170808</v>
      </c>
      <c r="AW203" s="23">
        <f>EXP(-LN(2)/2)*AW202+(1-EXP(-LN(2)/2))/(LN(2)/2)*AQ203*AT203*VLOOKUP('Données projet'!$B$10,Paramètres!$A$1:$I$89,3,0)*0.475*44/12</f>
        <v>2.1544455686815476E-7</v>
      </c>
      <c r="AX203" s="23">
        <f t="shared" si="166"/>
        <v>613.43665482044469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5.0022208597511053E-12</v>
      </c>
      <c r="BE203" s="14">
        <f>BD203*VLOOKUP('Données projet'!$B$11,Paramètres!$A$1:$I$89,3,0)*VLOOKUP('Données projet'!$B$11,Paramètres!$A$1:$I$89,5,0)</f>
        <v>5.2283212426118558E-12</v>
      </c>
      <c r="BF203" s="14">
        <f t="shared" si="167"/>
        <v>4.9556081821365385E-11</v>
      </c>
      <c r="BG203" s="22">
        <f t="shared" si="168"/>
        <v>9.5416168669760364E-11</v>
      </c>
      <c r="BH203" s="62">
        <f t="shared" si="194"/>
        <v>293.33333333342875</v>
      </c>
      <c r="BI203" s="62">
        <f ca="1">AVERAGE(OFFSET($BH$3,0,0,'Données projet'!$E$11+1,1))-AVERAGE(OFFSET($H$3,0,0,'Données projet'!$E$11+1,1))</f>
        <v>2843.5086223152098</v>
      </c>
      <c r="BJ203" s="62">
        <f t="shared" si="206"/>
        <v>324.81562437645522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613.13426789277821</v>
      </c>
      <c r="BQ203" s="23">
        <f>EXP(-LN(2)/25)*BQ202+(1-EXP(-LN(2)/25))/(LN(2)/25)*Calculateur!BL203*Calculateur!BN203*VLOOKUP('Données projet'!$B$11,Paramètres!$A$1:$I$89,3,0)*0.475*44/12</f>
        <v>19.17736070006832</v>
      </c>
      <c r="BR203" s="23">
        <f>EXP(-LN(2)/2)*BR202+(1-EXP(-LN(2)/2))/(LN(2)/2)*BL203*BO203*VLOOKUP('Données projet'!$B$11,Paramètres!$A$1:$I$89,3,0)*0.475*44/12</f>
        <v>2.2207362015640586E-7</v>
      </c>
      <c r="BS203" s="24">
        <f t="shared" si="169"/>
        <v>632.31162881492014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5.0022208597511053E-12</v>
      </c>
      <c r="BZ203" s="14">
        <f>BY203*VLOOKUP('Données projet'!$B$12,Paramètres!$A$1:$I$89,3,0)*VLOOKUP('Données projet'!$B$12,Paramètres!$A$1:$I$89,5,0)</f>
        <v>4.9942173063755036E-12</v>
      </c>
      <c r="CA203" s="14">
        <f t="shared" si="170"/>
        <v>4.7590239529202817E-11</v>
      </c>
      <c r="CB203" s="22">
        <f t="shared" si="171"/>
        <v>9.1584595655298897E-11</v>
      </c>
      <c r="CC203" s="62">
        <f t="shared" si="195"/>
        <v>293.33333333342489</v>
      </c>
      <c r="CD203" s="62">
        <f ca="1">AVERAGE(OFFSET($CC$3,0,0,'Données projet'!$E$12+1,1))-AVERAGE(OFFSET($H$3,0,0,'Données projet'!$E$12+1,1))</f>
        <v>2719.939926994799</v>
      </c>
      <c r="CE203" s="62">
        <f t="shared" si="207"/>
        <v>312.21824046329749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585.6804947035497</v>
      </c>
      <c r="CL203" s="23">
        <f>EXP(-LN(2)/25)*CL202+(1-EXP(-LN(2)/25))/(LN(2)/25)*Calculateur!CG203*Calculateur!CI203*VLOOKUP('Données projet'!$B$12,Paramètres!$A$1:$I$89,3,0)*0.475*44/12</f>
        <v>18.318672907527951</v>
      </c>
      <c r="CM203" s="23">
        <f>EXP(-LN(2)/2)*CM202+(1-EXP(-LN(2)/2))/(LN(2)/2)*CG203*CJ203*VLOOKUP('Données projet'!$B$12,Paramètres!$A$1:$I$89,3,0)*0.475*44/12</f>
        <v>2.1213002522402917E-7</v>
      </c>
      <c r="CN203" s="24">
        <f t="shared" si="172"/>
        <v>603.99916782320759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1.1368683772161603E-12</v>
      </c>
      <c r="CU203" s="18">
        <f>CT203*VLOOKUP('Données projet'!$B$13,Paramètres!$A$1:$I$89,3,0)*VLOOKUP('Données projet'!$B$13,Paramètres!$A$1:$I$89,5,0)</f>
        <v>9.9316821433603771E-13</v>
      </c>
      <c r="CV203" s="14">
        <f t="shared" si="173"/>
        <v>1.1421454694498936E-11</v>
      </c>
      <c r="CW203" s="22">
        <f t="shared" si="174"/>
        <v>2.1622134899554243E-11</v>
      </c>
      <c r="CX203" s="62">
        <f t="shared" si="196"/>
        <v>293.33333333335491</v>
      </c>
      <c r="CY203" s="62">
        <f ca="1">AVERAGE(OFFSET($CX$3,0,0,'Données projet'!$E$13+1,1))-AVERAGE(OFFSET($H$3,0,0,'Données projet'!$E$13+1,1))</f>
        <v>1036.0130072090849</v>
      </c>
      <c r="CZ203" s="62">
        <f t="shared" si="208"/>
        <v>346.56593355696174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62.196352859388099</v>
      </c>
      <c r="DG203" s="23">
        <f>EXP(-LN(2)/25)*DG202+(1-EXP(-LN(2)/25))/(LN(2)/25)*Calculateur!DB203*Calculateur!DD203*VLOOKUP('Données projet'!$B$13,Paramètres!$A$1:$I$89,3,0)*0.475*44/12</f>
        <v>1.5192077235417851</v>
      </c>
      <c r="DH203" s="23">
        <f>EXP(-LN(2)/2)*DH202+(1-EXP(-LN(2)/2))/(LN(2)/2)*DB203*DE203*VLOOKUP('Données projet'!$B$13,Paramètres!$A$1:$I$89,3,0)*0.475*44/12</f>
        <v>7.8387830600383582E-17</v>
      </c>
      <c r="DI203" s="24">
        <f t="shared" si="175"/>
        <v>63.715560582929882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6.8212102632969618E-13</v>
      </c>
      <c r="DP203" s="18">
        <f>DO203*VLOOKUP('Données projet'!$B$14,Paramètres!$A$1:$I$89,3,0)*VLOOKUP('Données projet'!$B$14,Paramètres!$A$1:$I$89,5,0)</f>
        <v>3.8130565371830017E-13</v>
      </c>
      <c r="DQ203" s="14">
        <f t="shared" si="176"/>
        <v>4.9019074112354236E-12</v>
      </c>
      <c r="DR203" s="22">
        <f t="shared" si="177"/>
        <v>9.2015960881277352E-12</v>
      </c>
      <c r="DS203" s="62">
        <f t="shared" si="197"/>
        <v>293.33333333334252</v>
      </c>
      <c r="DT203" s="62">
        <f ca="1">AVERAGE(OFFSET($DS$3,0,0,'Données projet'!$E$14+1,1))-AVERAGE(OFFSET($H$3,0,0,'Données projet'!$E$14+1,1))</f>
        <v>446.48069057792151</v>
      </c>
      <c r="DU203" s="62">
        <f t="shared" si="209"/>
        <v>561.75656782935948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11.541299375405647</v>
      </c>
      <c r="EB203" s="23">
        <f>EXP(-LN(2)/25)*EB202+(1-EXP(-LN(2)/25))/(LN(2)/25)*Calculateur!DW203*Calculateur!DY203*VLOOKUP('Données projet'!$B$14,Paramètres!$A$1:$I$89,3,0)*0.475*44/12</f>
        <v>1.6707158188995477</v>
      </c>
      <c r="EC203" s="23">
        <f>EXP(-LN(2)/2)*EC202+(1-EXP(-LN(2)/2))/(LN(2)/2)*DW203*DZ203*VLOOKUP('Données projet'!$B$14,Paramètres!$A$1:$I$89,3,0)*0.475*44/12</f>
        <v>1.1365926163417658E-19</v>
      </c>
      <c r="ED203" s="24">
        <f t="shared" si="178"/>
        <v>13.212015194305195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1.7053025658242404E-13</v>
      </c>
      <c r="EK203" s="18">
        <f>EJ203*VLOOKUP('Données projet'!$B$15,Paramètres!$A$1:$I$89,3,0)*VLOOKUP('Données projet'!$B$15,Paramètres!$A$1:$I$89,5,0)</f>
        <v>1.6493686416652052E-13</v>
      </c>
      <c r="EL203" s="14">
        <f t="shared" si="179"/>
        <v>2.3376205369651282E-12</v>
      </c>
      <c r="EM203" s="22">
        <f t="shared" si="180"/>
        <v>4.3586208069709543E-12</v>
      </c>
      <c r="EN203" s="62">
        <f t="shared" si="198"/>
        <v>293.33333333333769</v>
      </c>
      <c r="EO203" s="62">
        <f ca="1">AVERAGE(OFFSET($EN$3,0,0,'Données projet'!$E$15+1,1))-AVERAGE(OFFSET($H$3,0,0,'Données projet'!$E$15+1,1))</f>
        <v>301.18531163828169</v>
      </c>
      <c r="EP203" s="62">
        <f t="shared" si="210"/>
        <v>192.30530273268101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14.904264895535251</v>
      </c>
      <c r="EW203" s="23">
        <f>EXP(-LN(2)/25)*EW202+(1-EXP(-LN(2)/25))/(LN(2)/25)*Calculateur!ER203*Calculateur!ET203*VLOOKUP('Données projet'!$B$15,Paramètres!$A$1:$I$89,3,0)*0.475*44/12</f>
        <v>0.48621562166159166</v>
      </c>
      <c r="EX203" s="23">
        <f>EXP(-LN(2)/2)*EX202+(1-EXP(-LN(2)/2))/(LN(2)/2)*ER203*EU203*VLOOKUP('Données projet'!$B$15,Paramètres!$A$1:$I$89,3,0)*0.475*44/12</f>
        <v>5.3641827195961865E-20</v>
      </c>
      <c r="EY203" s="24">
        <f t="shared" si="181"/>
        <v>15.390480517196842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1.7053025658242404E-13</v>
      </c>
      <c r="FF203" s="18">
        <f>FE203*VLOOKUP('Données projet'!$B$16,Paramètres!$A$1:$I$89,3,0)*VLOOKUP('Données projet'!$B$16,Paramètres!$A$1:$I$89,5,0)</f>
        <v>1.3301360013429075E-13</v>
      </c>
      <c r="FG203" s="14">
        <f t="shared" si="182"/>
        <v>1.9329766731057041E-12</v>
      </c>
      <c r="FH203" s="22">
        <f t="shared" si="183"/>
        <v>3.5982663925596575E-12</v>
      </c>
      <c r="FI203" s="62">
        <f t="shared" si="199"/>
        <v>293.3333333333369</v>
      </c>
      <c r="FJ203" s="62">
        <f ca="1">AVERAGE(OFFSET($FI$3,0,0,'Données projet'!$E$16+1,1))-AVERAGE(OFFSET($H$3,0,0,'Données projet'!$E$16+1,1))</f>
        <v>249.2899297828755</v>
      </c>
      <c r="FK203" s="62">
        <f t="shared" si="211"/>
        <v>162.88011837476813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12.019568464141342</v>
      </c>
      <c r="FR203" s="23">
        <f>EXP(-LN(2)/25)*FR202+(1-EXP(-LN(2)/25))/(LN(2)/25)*Calculateur!FM203*Calculateur!FO203*VLOOKUP('Données projet'!$B$16,Paramètres!$A$1:$I$89,3,0)*0.475*44/12</f>
        <v>0.39210937230773435</v>
      </c>
      <c r="FS203" s="23">
        <f>EXP(-LN(2)/2)*FS202+(1-EXP(-LN(2)/2))/(LN(2)/2)*FM203*FP203*VLOOKUP('Données projet'!$B$16,Paramètres!$A$1:$I$89,3,0)*0.475*44/12</f>
        <v>4.3259538061259107E-20</v>
      </c>
      <c r="FT203" s="24">
        <f t="shared" si="184"/>
        <v>12.411677836449076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1.7053025658242404E-13</v>
      </c>
      <c r="GA203" s="18">
        <f>FZ203*VLOOKUP('Données projet'!$B$17,Paramètres!$A$1:$I$89,3,0)*VLOOKUP('Données projet'!$B$17,Paramètres!$A$1:$I$89,5,0)</f>
        <v>1.1439169611549005E-13</v>
      </c>
      <c r="GB203" s="14">
        <f t="shared" si="185"/>
        <v>1.6918016515029816E-12</v>
      </c>
      <c r="GC203" s="22">
        <f t="shared" si="186"/>
        <v>3.1457867471021712E-12</v>
      </c>
      <c r="GD203" s="62">
        <f t="shared" si="200"/>
        <v>293.33333333333644</v>
      </c>
      <c r="GE203" s="62">
        <f ca="1">AVERAGE(OFFSET($GD$3,0,0,'Données projet'!$E$17+1,1))-AVERAGE(OFFSET($H$3,0,0,'Données projet'!$E$17+1,1))</f>
        <v>218.89895999738746</v>
      </c>
      <c r="GF203" s="62">
        <f t="shared" si="212"/>
        <v>145.64042897395763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12.740742571989804</v>
      </c>
      <c r="GM203" s="23">
        <f>EXP(-LN(2)/25)*GM202+(1-EXP(-LN(2)/25))/(LN(2)/25)*Calculateur!GH203*Calculateur!GJ203*VLOOKUP('Données projet'!$B$17,Paramètres!$A$1:$I$89,3,0)*0.475*44/12</f>
        <v>0.41563593464619919</v>
      </c>
      <c r="GN203" s="23">
        <f>EXP(-LN(2)/2)*GN202+(1-EXP(-LN(2)/2))/(LN(2)/2)*GH203*GK203*VLOOKUP('Données projet'!$B$17,Paramètres!$A$1:$I$89,3,0)*0.475*44/12</f>
        <v>3.7203202732683155E-20</v>
      </c>
      <c r="GO203" s="23">
        <f t="shared" si="187"/>
        <v>13.156378506636003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1.7053025658242404E-13</v>
      </c>
      <c r="GV203" s="18">
        <f>GU203*VLOOKUP('Données projet'!$B$18,Paramètres!$A$1:$I$89,3,0)*VLOOKUP('Données projet'!$B$18,Paramètres!$A$1:$I$89,5,0)</f>
        <v>1.8355876818532125E-13</v>
      </c>
      <c r="GW203" s="14">
        <f t="shared" si="188"/>
        <v>2.5693529898865504E-12</v>
      </c>
      <c r="GX203" s="22">
        <f t="shared" si="189"/>
        <v>4.7946546453085093E-12</v>
      </c>
      <c r="GY203" s="62">
        <f t="shared" si="201"/>
        <v>293.33333333333809</v>
      </c>
      <c r="GZ203" s="62">
        <f ca="1">AVERAGE(OFFSET($GY$3,0,0,'Données projet'!$E$18+1,1))-AVERAGE(OFFSET($H$3,0,0,'Données projet'!$E$18+1,1))</f>
        <v>331.3579800635751</v>
      </c>
      <c r="HA203" s="62">
        <f t="shared" si="213"/>
        <v>209.40702003535273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16.587004480515048</v>
      </c>
      <c r="HH203" s="23">
        <f>EXP(-LN(2)/25)*HH202+(1-EXP(-LN(2)/25))/(LN(2)/25)*Calculateur!HC203*Calculateur!HE203*VLOOKUP('Données projet'!$B$18,Paramètres!$A$1:$I$89,3,0)*0.475*44/12</f>
        <v>0.54111093378467479</v>
      </c>
      <c r="HI203" s="23">
        <f>EXP(-LN(2)/2)*HI202+(1-EXP(-LN(2)/2))/(LN(2)/2)*HC203*HF203*VLOOKUP('Données projet'!$B$18,Paramètres!$A$1:$I$89,3,0)*0.475*44/12</f>
        <v>5.9698162524537582E-20</v>
      </c>
      <c r="HJ203" s="24">
        <f t="shared" si="190"/>
        <v>17.128115414299725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1.174776374249781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1.174776374249781</v>
      </c>
      <c r="BA205" s="88">
        <f>EXP(LN('Données projet'!B88)/'Données projet'!A88)</f>
        <v>1.174776374249781</v>
      </c>
      <c r="BV205" s="88">
        <f>EXP(LN('Données projet'!B114)/'Données projet'!A114)</f>
        <v>1.174776374249781</v>
      </c>
      <c r="CQ205" s="88">
        <f>EXP(LN('Données projet'!B140)/'Données projet'!A140)</f>
        <v>1.1847611749689972</v>
      </c>
      <c r="DL205" s="88">
        <f>EXP(LN('Données projet'!B166)/'Données projet'!A166)</f>
        <v>1.2582478117013756</v>
      </c>
      <c r="EG205" s="88">
        <f>EXP(LN('Données projet'!B192)/'Données projet'!A192)</f>
        <v>1.1532789179499305</v>
      </c>
      <c r="FB205" s="88">
        <f>EXP(LN('Données projet'!B218)/'Données projet'!A218)</f>
        <v>1.1532789179499305</v>
      </c>
      <c r="FW205" s="88">
        <f>EXP(LN('Données projet'!B244)/'Données projet'!A244)</f>
        <v>1.1532789179499305</v>
      </c>
      <c r="GR205" s="88">
        <f>EXP(LN('Données projet'!B270)/'Données projet'!A270)</f>
        <v>1.1532789179499305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1" zoomScale="80" zoomScaleNormal="80" workbookViewId="0">
      <selection activeCell="J24" sqref="J24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3.5478000000000001</v>
      </c>
      <c r="C6" s="156">
        <f ca="1">IF(OR('Données projet'!B9="",'Données projet'!C9="",'Données projet'!C9=0%),0,Calculateur!S3)</f>
        <v>2472.5049373954762</v>
      </c>
      <c r="D6" s="156">
        <f>IF(OR('Données projet'!B9="",'Données projet'!C9="",'Données projet'!C9=0%),0,Calculateur!T3)</f>
        <v>286.98388307318311</v>
      </c>
      <c r="E6" s="156">
        <f ca="1">MIN(C6,D6)</f>
        <v>286.98388307318311</v>
      </c>
      <c r="F6" s="156">
        <f ca="1">E6*B6</f>
        <v>1018.161420367039</v>
      </c>
      <c r="G6" s="156">
        <f ca="1">F6*(100%-'Données projet'!$C$24)*(100%-'Données projet'!$C$25)*(100%-'Données projet'!$C$26)*(100%-'Données projet'!$C$27)</f>
        <v>916.34527833033508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916.34527833033508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pubescent</v>
      </c>
      <c r="B7" s="163">
        <f>'Données projet'!D10</f>
        <v>0.38880000000000003</v>
      </c>
      <c r="C7" s="156">
        <f ca="1">IF(OR('Données projet'!B10="",'Données projet'!C10="",'Données projet'!C10=0%),0,Calculateur!AN3)</f>
        <v>2761.1400657295467</v>
      </c>
      <c r="D7" s="156">
        <f>IF(OR('Données projet'!B10="",'Données projet'!C10="",'Données projet'!C10=0%),0,Calculateur!AO3)</f>
        <v>316.41877504316409</v>
      </c>
      <c r="E7" s="156">
        <f t="shared" ref="E7:E15" ca="1" si="0">MIN(C7,D7)</f>
        <v>316.41877504316409</v>
      </c>
      <c r="F7" s="156">
        <f t="shared" ref="F7:F15" ca="1" si="1">E7*B7</f>
        <v>123.02361973678221</v>
      </c>
      <c r="G7" s="156">
        <f ca="1">F7*(100%-'Données projet'!$C$24)*(100%-'Données projet'!$C$25)*(100%-'Données projet'!$C$26)*(100%-'Données projet'!$C$27)</f>
        <v>110.72125776310399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110.72125776310399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Chêne chevelu</v>
      </c>
      <c r="B8" s="163">
        <f>'Données projet'!D11</f>
        <v>0.14580000000000001</v>
      </c>
      <c r="C8" s="156">
        <f ca="1">IF(OR('Données projet'!B11="",'Données projet'!C11="",'Données projet'!C11=0%),0,Calculateur!BI3)</f>
        <v>2843.5086223152098</v>
      </c>
      <c r="D8" s="156">
        <f>IF(OR('Données projet'!B11="",'Données projet'!C11="",'Données projet'!C11=0%),0,Calculateur!BJ3)</f>
        <v>324.81562437645522</v>
      </c>
      <c r="E8" s="156">
        <f t="shared" ca="1" si="0"/>
        <v>324.81562437645522</v>
      </c>
      <c r="F8" s="156">
        <f t="shared" ca="1" si="1"/>
        <v>47.358118034087177</v>
      </c>
      <c r="G8" s="156">
        <f ca="1">F8*(100%-'Données projet'!$C$24)*(100%-'Données projet'!$C$25)*(100%-'Données projet'!$C$26)*(100%-'Données projet'!$C$27)</f>
        <v>42.622306230678461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42.622306230678461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Chêne tauzin</v>
      </c>
      <c r="B9" s="163">
        <f>'Données projet'!D12</f>
        <v>4.8600000000000004E-2</v>
      </c>
      <c r="C9" s="156">
        <f ca="1">IF(OR('Données projet'!B12="",'Données projet'!C12="",'Données projet'!C12=0%),0,Calculateur!CD3)</f>
        <v>2719.939926994799</v>
      </c>
      <c r="D9" s="156">
        <f>IF(OR('Données projet'!B12="",'Données projet'!C12="",'Données projet'!C12=0%),0,Calculateur!CE3)</f>
        <v>312.21824046329749</v>
      </c>
      <c r="E9" s="156">
        <f t="shared" ca="1" si="0"/>
        <v>312.21824046329749</v>
      </c>
      <c r="F9" s="156">
        <f t="shared" ca="1" si="1"/>
        <v>15.173806486516259</v>
      </c>
      <c r="G9" s="156">
        <f ca="1">F9*(100%-'Données projet'!$C$24)*(100%-'Données projet'!$C$25)*(100%-'Données projet'!$C$26)*(100%-'Données projet'!$C$27)</f>
        <v>13.656425837864633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13.656425837864633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Chêne rouge d'Amérique</v>
      </c>
      <c r="B10" s="163">
        <f>'Données projet'!D13</f>
        <v>9.7200000000000009E-2</v>
      </c>
      <c r="C10" s="156">
        <f ca="1">IF(OR('Données projet'!B13="",'Données projet'!C13="",'Données projet'!C13=0%),0,Calculateur!CY3)</f>
        <v>1036.0130072090849</v>
      </c>
      <c r="D10" s="156">
        <f>IF(OR('Données projet'!B13="",'Données projet'!C13="",'Données projet'!C13=0%),0,Calculateur!CZ3)</f>
        <v>346.56593355696174</v>
      </c>
      <c r="E10" s="156">
        <f t="shared" ca="1" si="0"/>
        <v>346.56593355696174</v>
      </c>
      <c r="F10" s="156">
        <f t="shared" ca="1" si="1"/>
        <v>33.686208741736685</v>
      </c>
      <c r="G10" s="156">
        <f ca="1">F10*(100%-'Données projet'!$C$24)*(100%-'Données projet'!$C$25)*(100%-'Données projet'!$C$26)*(100%-'Données projet'!$C$27)</f>
        <v>30.317587867563017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ca="1" si="2"/>
        <v>30.317587867563017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Douglas</v>
      </c>
      <c r="B11" s="163">
        <f>'Données projet'!D14</f>
        <v>0.19440000000000002</v>
      </c>
      <c r="C11" s="156">
        <f ca="1">IF(OR('Données projet'!B14="",'Données projet'!C14="",'Données projet'!C14=0%),0,Calculateur!DT3)</f>
        <v>446.48069057792151</v>
      </c>
      <c r="D11" s="156">
        <f>IF(OR('Données projet'!B14="",'Données projet'!C14="",'Données projet'!C14=0%),0,Calculateur!DU3)</f>
        <v>561.75656782935948</v>
      </c>
      <c r="E11" s="156">
        <f t="shared" ca="1" si="0"/>
        <v>446.48069057792151</v>
      </c>
      <c r="F11" s="156">
        <f t="shared" ca="1" si="1"/>
        <v>86.795846248347942</v>
      </c>
      <c r="G11" s="156">
        <f ca="1">F11*(100%-'Données projet'!$C$24)*(100%-'Données projet'!$C$25)*(100%-'Données projet'!$C$26)*(100%-'Données projet'!$C$27)</f>
        <v>78.116261623513154</v>
      </c>
      <c r="H11" s="164">
        <f>IF(OR('Données projet'!B14="",'Données projet'!C14="",'Données projet'!C14=0%),0,AVERAGE(Calculateur!$ED$3:$ED$33)*B11)</f>
        <v>0.60022807482212093</v>
      </c>
      <c r="I11" s="158">
        <f>H11*(100%-'Données projet'!$C$24)*(100%-'Données projet'!$C$25)*(100%-'Données projet'!$C$26)*(100%-'Données projet'!$C$27)</f>
        <v>0.54020526733990881</v>
      </c>
      <c r="J11" s="159">
        <f>IF(OR('Données projet'!B14="",'Données projet'!C14="",'Données projet'!C14=0%),0,SUM(Calculateur!$DW$3:$DW$33)*VLOOKUP('Données projet'!$B$14,Paramètres!$A$1:$I$89,9,0)*B11)</f>
        <v>3.9121056000000003</v>
      </c>
      <c r="K11" s="160">
        <f>J11*(100%-'Données projet'!$C$24)*(100%-'Données projet'!$C$25)*(100%-'Données projet'!$C$26)*(100%-'Données projet'!$C$27)</f>
        <v>3.5208950400000005</v>
      </c>
      <c r="L11" s="161">
        <f t="shared" ca="1" si="2"/>
        <v>82.177361930853067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>Alisier torminal</v>
      </c>
      <c r="B12" s="163">
        <f>'Données projet'!D15</f>
        <v>4.8600000000000004E-2</v>
      </c>
      <c r="C12" s="156">
        <f ca="1">IF(OR('Données projet'!B15="",'Données projet'!C15="",'Données projet'!C15=0%),0,Calculateur!EO3)</f>
        <v>301.18531163828169</v>
      </c>
      <c r="D12" s="156">
        <f>IF(OR('Données projet'!B15="",'Données projet'!C15="",'Données projet'!C15=0%),0,Calculateur!EP3)</f>
        <v>192.30530273268101</v>
      </c>
      <c r="E12" s="156">
        <f t="shared" ca="1" si="0"/>
        <v>192.30530273268101</v>
      </c>
      <c r="F12" s="156">
        <f t="shared" ca="1" si="1"/>
        <v>9.3460377128082985</v>
      </c>
      <c r="G12" s="156">
        <f ca="1">F12*(100%-'Données projet'!$C$24)*(100%-'Données projet'!$C$25)*(100%-'Données projet'!$C$26)*(100%-'Données projet'!$C$27)</f>
        <v>8.4114339415274681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ca="1" si="2"/>
        <v>8.4114339415274681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>Merisier</v>
      </c>
      <c r="B13" s="163">
        <f>'Données projet'!D16</f>
        <v>4.8600000000000004E-2</v>
      </c>
      <c r="C13" s="156">
        <f ca="1">IF(OR('Données projet'!B16="",'Données projet'!C16="",'Données projet'!C16=0%),0,Calculateur!FJ3)</f>
        <v>249.2899297828755</v>
      </c>
      <c r="D13" s="156">
        <f>IF(OR('Données projet'!B16="",'Données projet'!C16="",'Données projet'!C16=0%),0,Calculateur!FK3)</f>
        <v>162.88011837476813</v>
      </c>
      <c r="E13" s="156">
        <f t="shared" ca="1" si="0"/>
        <v>162.88011837476813</v>
      </c>
      <c r="F13" s="156">
        <f t="shared" ca="1" si="1"/>
        <v>7.9159737530137315</v>
      </c>
      <c r="G13" s="156">
        <f ca="1">F13*(100%-'Données projet'!$C$24)*(100%-'Données projet'!$C$25)*(100%-'Données projet'!$C$26)*(100%-'Données projet'!$C$27)</f>
        <v>7.1243763777123581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ca="1" si="2"/>
        <v>7.1243763777123581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>Tilleul</v>
      </c>
      <c r="B14" s="163">
        <f>'Données projet'!D17</f>
        <v>4.8600000000000004E-2</v>
      </c>
      <c r="C14" s="156">
        <f ca="1">IF(OR('Données projet'!B17="",'Données projet'!C17="",'Données projet'!C17=0%),0,Calculateur!GE3)</f>
        <v>218.89895999738746</v>
      </c>
      <c r="D14" s="156">
        <f>IF(OR('Données projet'!B17="",'Données projet'!C17="",'Données projet'!C17=0%),0,Calculateur!GF3)</f>
        <v>145.64042897395763</v>
      </c>
      <c r="E14" s="156">
        <f t="shared" ca="1" si="0"/>
        <v>145.64042897395763</v>
      </c>
      <c r="F14" s="156">
        <f t="shared" ca="1" si="1"/>
        <v>7.0781248481343413</v>
      </c>
      <c r="G14" s="156">
        <f ca="1">F14*(100%-'Données projet'!$C$24)*(100%-'Données projet'!$C$25)*(100%-'Données projet'!$C$26)*(100%-'Données projet'!$C$27)</f>
        <v>6.3703123633209069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ca="1" si="2"/>
        <v>6.3703123633209069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>Cormier</v>
      </c>
      <c r="B15" s="166">
        <f>'Données projet'!D18</f>
        <v>4.8600000000000004E-2</v>
      </c>
      <c r="C15" s="167">
        <f ca="1">IF(OR('Données projet'!B18="",'Données projet'!C18="",'Données projet'!C18=0%),0,Calculateur!GZ3)</f>
        <v>331.3579800635751</v>
      </c>
      <c r="D15" s="167">
        <f>IF(OR('Données projet'!B18="",'Données projet'!C18="",'Données projet'!C18=0%),0,Calculateur!HA3)</f>
        <v>209.40702003535273</v>
      </c>
      <c r="E15" s="167">
        <f t="shared" ca="1" si="0"/>
        <v>209.40702003535273</v>
      </c>
      <c r="F15" s="168">
        <f t="shared" ca="1" si="1"/>
        <v>10.177181173718143</v>
      </c>
      <c r="G15" s="168">
        <f ca="1">F15*(100%-'Données projet'!$C$24)*(100%-'Données projet'!$C$25)*(100%-'Données projet'!$C$26)*(100%-'Données projet'!$C$27)</f>
        <v>9.1594630563463291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ca="1" si="2"/>
        <v>9.1594630563463291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1358.7163371021838</v>
      </c>
      <c r="G16" s="175">
        <f t="shared" ca="1" si="3"/>
        <v>1222.8447033919654</v>
      </c>
      <c r="H16" s="176">
        <f t="shared" si="3"/>
        <v>0.60022807482212093</v>
      </c>
      <c r="I16" s="176">
        <f t="shared" si="3"/>
        <v>0.54020526733990881</v>
      </c>
      <c r="J16" s="177">
        <f t="shared" si="3"/>
        <v>3.9121056000000003</v>
      </c>
      <c r="K16" s="177">
        <f t="shared" si="3"/>
        <v>3.5208950400000005</v>
      </c>
      <c r="L16" s="178">
        <f t="shared" ca="1" si="3"/>
        <v>1226.9058036993054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Chêne chevelu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Chêne tauzin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Chêne rouge d'Amérique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Douglas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>Alisier torminal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>Merisier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>Tilleul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>Cormier</v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G7" zoomScale="80" zoomScaleNormal="80" workbookViewId="0">
      <selection activeCell="I20" sqref="I2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3061.8369504852608</v>
      </c>
      <c r="U10" s="190">
        <f>'Données projet'!D9</f>
        <v>3.5478000000000001</v>
      </c>
      <c r="V10" s="189">
        <f>U10*T10</f>
        <v>10862.785132931609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2927.6410603196259</v>
      </c>
      <c r="U11" s="190">
        <f>'Données projet'!D10</f>
        <v>0.38880000000000003</v>
      </c>
      <c r="V11" s="189">
        <f t="shared" ref="V11" si="0">U11*T11</f>
        <v>1138.2668442522706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chevelu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3061.8369504852608</v>
      </c>
      <c r="U12" s="190">
        <f>'Données projet'!D11</f>
        <v>0.14580000000000001</v>
      </c>
      <c r="V12" s="189">
        <f t="shared" ref="V12:V19" si="1">U12*T12</f>
        <v>446.41582738075107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tauzin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3061.8369504852608</v>
      </c>
      <c r="U13" s="190">
        <f>'Données projet'!D12</f>
        <v>4.8600000000000004E-2</v>
      </c>
      <c r="V13" s="189">
        <f t="shared" si="1"/>
        <v>148.80527579358369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 rouge d'Amérique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8265.9699006166138</v>
      </c>
      <c r="U14" s="190">
        <f>'Données projet'!D13</f>
        <v>9.7200000000000009E-2</v>
      </c>
      <c r="V14" s="189">
        <f t="shared" si="1"/>
        <v>803.45227433993489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Douglas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2238.2317798357371</v>
      </c>
      <c r="U15" s="190">
        <f>'Données projet'!D14</f>
        <v>0.19440000000000002</v>
      </c>
      <c r="V15" s="189">
        <f t="shared" si="1"/>
        <v>435.11225800006736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>Alisier torminal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1077.3306785596992</v>
      </c>
      <c r="U16" s="190">
        <f>'Données projet'!D15</f>
        <v>4.8600000000000004E-2</v>
      </c>
      <c r="V16" s="189">
        <f t="shared" si="1"/>
        <v>52.358270978001386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Merisier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1077.3306785596992</v>
      </c>
      <c r="U17" s="190">
        <f>'Données projet'!D16</f>
        <v>4.8600000000000004E-2</v>
      </c>
      <c r="V17" s="189">
        <f t="shared" si="1"/>
        <v>52.358270978001386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>Tilleul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1077.3306785596992</v>
      </c>
      <c r="U18" s="190">
        <f>'Données projet'!D17</f>
        <v>4.8600000000000004E-2</v>
      </c>
      <c r="V18" s="189">
        <f t="shared" si="1"/>
        <v>52.358270978001386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>Cormier</v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1008.4620888457594</v>
      </c>
      <c r="U19" s="190">
        <f>'Données projet'!D18</f>
        <v>4.8600000000000004E-2</v>
      </c>
      <c r="V19" s="189">
        <f t="shared" si="1"/>
        <v>49.011257517903907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f>5810.26*(1+12.8%)</f>
        <v>6553.9732800000011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f>700*(1+20%)</f>
        <v>840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f t="shared" ref="I22:I23" si="2">700*(1+20%)</f>
        <v>840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33</v>
      </c>
      <c r="B23" s="193">
        <f>'Données projet'!D36</f>
        <v>30.52</v>
      </c>
      <c r="C23" s="206">
        <f>13*(1+12.8%)</f>
        <v>14.664000000000001</v>
      </c>
      <c r="D23" s="194">
        <f>B23*C23</f>
        <v>447.54528000000005</v>
      </c>
      <c r="E23" s="206">
        <f>75+(D23*12%)</f>
        <v>128.70543359999999</v>
      </c>
      <c r="F23" s="261"/>
      <c r="H23" s="203">
        <v>5</v>
      </c>
      <c r="I23" s="204">
        <f t="shared" si="2"/>
        <v>840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-27031.451238983682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41</v>
      </c>
      <c r="B24" s="193">
        <f>'Données projet'!D37</f>
        <v>69.02</v>
      </c>
      <c r="C24" s="206">
        <f>13*(1+12.8%)</f>
        <v>14.664000000000001</v>
      </c>
      <c r="D24" s="194">
        <f t="shared" ref="D24:D42" si="3">B24*C24</f>
        <v>1012.10928</v>
      </c>
      <c r="E24" s="206">
        <f t="shared" ref="E24:E31" si="4">75+(D24*12%)</f>
        <v>196.45311359999999</v>
      </c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59815.455705711014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55</v>
      </c>
      <c r="B25" s="193">
        <f>'Données projet'!D38</f>
        <v>147.87</v>
      </c>
      <c r="C25" s="206">
        <f>25*(1+12.8%)</f>
        <v>28.200000000000003</v>
      </c>
      <c r="D25" s="194">
        <f t="shared" si="3"/>
        <v>4169.9340000000002</v>
      </c>
      <c r="E25" s="206">
        <f t="shared" si="4"/>
        <v>575.39208000000008</v>
      </c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f>474*(1+20%)</f>
        <v>568.79999999999995</v>
      </c>
      <c r="Q25" s="265"/>
      <c r="R25" s="25"/>
      <c r="S25" s="198" t="s">
        <v>266</v>
      </c>
      <c r="T25" s="341">
        <f ca="1">T23-T24</f>
        <v>-86846.906944694696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70</v>
      </c>
      <c r="B26" s="193">
        <f>'Données projet'!D39</f>
        <v>258.61</v>
      </c>
      <c r="C26" s="206">
        <f>25*(1+12.8%)</f>
        <v>28.200000000000003</v>
      </c>
      <c r="D26" s="194">
        <f t="shared" si="3"/>
        <v>7292.8020000000015</v>
      </c>
      <c r="E26" s="206">
        <f t="shared" si="4"/>
        <v>950.13624000000016</v>
      </c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83</v>
      </c>
      <c r="B27" s="193">
        <f>'Données projet'!D40</f>
        <v>327.82</v>
      </c>
      <c r="C27" s="206">
        <f>52*(1+12.8%)</f>
        <v>58.656000000000006</v>
      </c>
      <c r="D27" s="194">
        <f t="shared" si="3"/>
        <v>19228.609920000003</v>
      </c>
      <c r="E27" s="206">
        <f t="shared" si="4"/>
        <v>2382.4331904000001</v>
      </c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97</v>
      </c>
      <c r="B28" s="193">
        <f>'Données projet'!D41</f>
        <v>426.69</v>
      </c>
      <c r="C28" s="206">
        <f>59*(1+12.8%)</f>
        <v>66.552000000000007</v>
      </c>
      <c r="D28" s="194">
        <f t="shared" si="3"/>
        <v>28397.072880000003</v>
      </c>
      <c r="E28" s="206">
        <f t="shared" si="4"/>
        <v>3482.6487456000004</v>
      </c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111</v>
      </c>
      <c r="B29" s="193">
        <f>'Données projet'!D42</f>
        <v>503.42</v>
      </c>
      <c r="C29" s="206">
        <v>74</v>
      </c>
      <c r="D29" s="194">
        <f t="shared" si="3"/>
        <v>37253.08</v>
      </c>
      <c r="E29" s="206">
        <f t="shared" si="4"/>
        <v>4545.3696</v>
      </c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125</v>
      </c>
      <c r="B30" s="193">
        <f>'Données projet'!D43</f>
        <v>612.94000000000005</v>
      </c>
      <c r="C30" s="206">
        <f>74*(1+12.8%)</f>
        <v>83.472000000000008</v>
      </c>
      <c r="D30" s="194">
        <f t="shared" si="3"/>
        <v>51163.327680000009</v>
      </c>
      <c r="E30" s="206">
        <f t="shared" si="4"/>
        <v>6214.5993216000006</v>
      </c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12307.706935331484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140</v>
      </c>
      <c r="B31" s="193">
        <f>'Données projet'!D44</f>
        <v>4026.47</v>
      </c>
      <c r="C31" s="206">
        <f>122*(1+12.8%)</f>
        <v>137.61600000000001</v>
      </c>
      <c r="D31" s="194">
        <f t="shared" si="3"/>
        <v>554106.69552000007</v>
      </c>
      <c r="E31" s="206">
        <f t="shared" si="4"/>
        <v>66567.803462399999</v>
      </c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3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3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5">$P$25/(1+$M$4)^O33</f>
        <v>568.79999999999995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3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5"/>
        <v>544.30622009569379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3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5"/>
        <v>520.86719626382182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3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5"/>
        <v>498.4375083864324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3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5"/>
        <v>476.97369223582058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3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5"/>
        <v>456.43415524958908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3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5"/>
        <v>436.77909593262126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3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5"/>
        <v>417.97042672978108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3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5"/>
        <v>399.97170021988632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3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5"/>
        <v>382.74803848792948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5"/>
        <v>366.26606553868857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5"/>
        <v>350.49384262075461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5"/>
        <v>335.40080633565043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5"/>
        <v>320.95770941210566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5"/>
        <v>307.13656403072321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5"/>
        <v>293.91058758920877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5"/>
        <v>281.25415080307073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5"/>
        <v>269.142728041216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5"/>
        <v>257.55284980020673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5"/>
        <v>246.46205722507824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5"/>
        <v>235.84885858859167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33</v>
      </c>
      <c r="B54" s="193">
        <f>'Données projet'!D62</f>
        <v>30.52</v>
      </c>
      <c r="C54" s="206">
        <f>13*(1+12.8%)</f>
        <v>14.664000000000001</v>
      </c>
      <c r="D54" s="191">
        <f>B54*C54</f>
        <v>447.54528000000005</v>
      </c>
      <c r="E54" s="206">
        <f>75+(D54*12%)</f>
        <v>128.70543359999999</v>
      </c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5"/>
        <v>225.69268764458531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41</v>
      </c>
      <c r="B55" s="193">
        <f>'Données projet'!D63</f>
        <v>69.02</v>
      </c>
      <c r="C55" s="206">
        <f>13*(1+12.8%)</f>
        <v>14.664000000000001</v>
      </c>
      <c r="D55" s="191">
        <f t="shared" ref="D55:D73" si="6">B55*C55</f>
        <v>1012.10928</v>
      </c>
      <c r="E55" s="206">
        <f t="shared" ref="E55:E62" si="7">75+(D55*12%)</f>
        <v>196.45311359999999</v>
      </c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5"/>
        <v>215.97386377472284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55</v>
      </c>
      <c r="B56" s="193">
        <f>'Données projet'!D64</f>
        <v>147.87</v>
      </c>
      <c r="C56" s="206">
        <f>25*(1+12.8%)</f>
        <v>28.200000000000003</v>
      </c>
      <c r="D56" s="191">
        <f t="shared" si="6"/>
        <v>4169.9340000000002</v>
      </c>
      <c r="E56" s="206">
        <f t="shared" si="7"/>
        <v>575.39208000000008</v>
      </c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5"/>
        <v>206.67355385140942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70</v>
      </c>
      <c r="B57" s="193">
        <f>'Données projet'!D65</f>
        <v>258.61</v>
      </c>
      <c r="C57" s="206">
        <f>25*(1+12.8%)</f>
        <v>28.200000000000003</v>
      </c>
      <c r="D57" s="191">
        <f t="shared" si="6"/>
        <v>7292.8020000000015</v>
      </c>
      <c r="E57" s="206">
        <f t="shared" si="7"/>
        <v>950.13624000000016</v>
      </c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5"/>
        <v>197.77373574297556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83</v>
      </c>
      <c r="B58" s="193">
        <f>'Données projet'!D66</f>
        <v>327.82</v>
      </c>
      <c r="C58" s="206">
        <f>52*(1+12.8%)</f>
        <v>58.656000000000006</v>
      </c>
      <c r="D58" s="191">
        <f t="shared" si="6"/>
        <v>19228.609920000003</v>
      </c>
      <c r="E58" s="206">
        <f t="shared" si="7"/>
        <v>2382.4331904000001</v>
      </c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5"/>
        <v>189.25716339040724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97</v>
      </c>
      <c r="B59" s="193">
        <f>'Données projet'!D67</f>
        <v>426.69</v>
      </c>
      <c r="C59" s="206">
        <f>59*(1+12.8%)</f>
        <v>66.552000000000007</v>
      </c>
      <c r="D59" s="191">
        <f t="shared" si="6"/>
        <v>28397.072880000003</v>
      </c>
      <c r="E59" s="206">
        <f t="shared" si="7"/>
        <v>3482.6487456000004</v>
      </c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5"/>
        <v>181.10733338794958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111</v>
      </c>
      <c r="B60" s="193">
        <f>'Données projet'!D68</f>
        <v>503.42</v>
      </c>
      <c r="C60" s="206">
        <v>74</v>
      </c>
      <c r="D60" s="191">
        <f t="shared" si="6"/>
        <v>37253.08</v>
      </c>
      <c r="E60" s="206">
        <f t="shared" si="7"/>
        <v>4545.3696</v>
      </c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5"/>
        <v>173.30845300282255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125</v>
      </c>
      <c r="B61" s="193">
        <f>'Données projet'!D69</f>
        <v>612.94000000000005</v>
      </c>
      <c r="C61" s="206">
        <f>74*(1+12.8%)</f>
        <v>83.472000000000008</v>
      </c>
      <c r="D61" s="191">
        <f t="shared" si="6"/>
        <v>51163.327680000009</v>
      </c>
      <c r="E61" s="206">
        <f t="shared" si="7"/>
        <v>6214.5993216000006</v>
      </c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5"/>
        <v>165.84540957207903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140</v>
      </c>
      <c r="B62" s="193">
        <f>'Données projet'!D70</f>
        <v>4026.47</v>
      </c>
      <c r="C62" s="206">
        <f>122*(1+12.8%)</f>
        <v>137.61600000000001</v>
      </c>
      <c r="D62" s="191">
        <f t="shared" si="6"/>
        <v>554106.69552000007</v>
      </c>
      <c r="E62" s="206">
        <f t="shared" si="7"/>
        <v>66567.803462399999</v>
      </c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5"/>
        <v>158.70374121730049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6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5"/>
        <v>151.86960882038329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6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5"/>
        <v>145.32976920610838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6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8">$P$25/(1+$M$4)^O65</f>
        <v>139.07154947952964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6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8"/>
        <v>133.08282246844942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6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8"/>
        <v>127.3519832233966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6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8"/>
        <v>121.86792652956612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6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8"/>
        <v>116.62002538714464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6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8"/>
        <v>111.59811041832023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6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8"/>
        <v>106.79245016107201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6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8"/>
        <v>102.19373221155216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6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8"/>
        <v>97.793045178518838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8"/>
        <v>93.581861414850579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8"/>
        <v>89.552020492679986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Chêne chevelu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8"/>
        <v>85.695713390124396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8"/>
        <v>82.005467358970719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8"/>
        <v>78.474131443991126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8"/>
        <v>75.094862625828839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8"/>
        <v>71.861112560601754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8"/>
        <v>68.766614890528032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8"/>
        <v>65.805373100983758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8"/>
        <v>62.971648900462938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8"/>
        <v>60.259951100921477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33</v>
      </c>
      <c r="B85" s="193">
        <f>'Données projet'!D88</f>
        <v>30.52</v>
      </c>
      <c r="C85" s="206">
        <f>13*(1+12.8%)</f>
        <v>14.664000000000001</v>
      </c>
      <c r="D85" s="191">
        <f>B85*C85</f>
        <v>447.54528000000005</v>
      </c>
      <c r="E85" s="206">
        <f>75+(D85*12%)</f>
        <v>128.70543359999999</v>
      </c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8"/>
        <v>57.665024976958357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41</v>
      </c>
      <c r="B86" s="193">
        <f>'Données projet'!D89</f>
        <v>69.02</v>
      </c>
      <c r="C86" s="206">
        <f>13*(1+12.8%)</f>
        <v>14.664000000000001</v>
      </c>
      <c r="D86" s="191">
        <f t="shared" ref="D86:D104" si="9">B86*C86</f>
        <v>1012.10928</v>
      </c>
      <c r="E86" s="206">
        <f t="shared" ref="E86:E93" si="10">75+(D86*12%)</f>
        <v>196.45311359999999</v>
      </c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8"/>
        <v>55.181842083213738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55</v>
      </c>
      <c r="B87" s="193">
        <f>'Données projet'!D90</f>
        <v>147.87</v>
      </c>
      <c r="C87" s="206">
        <f>25*(1+12.8%)</f>
        <v>28.200000000000003</v>
      </c>
      <c r="D87" s="191">
        <f t="shared" si="9"/>
        <v>4169.9340000000002</v>
      </c>
      <c r="E87" s="206">
        <f t="shared" si="10"/>
        <v>575.39208000000008</v>
      </c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8"/>
        <v>52.805590510252401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70</v>
      </c>
      <c r="B88" s="193">
        <f>'Données projet'!D91</f>
        <v>258.61</v>
      </c>
      <c r="C88" s="206">
        <f>25*(1+12.8%)</f>
        <v>28.200000000000003</v>
      </c>
      <c r="D88" s="191">
        <f t="shared" si="9"/>
        <v>7292.8020000000015</v>
      </c>
      <c r="E88" s="206">
        <f t="shared" si="10"/>
        <v>950.13624000000016</v>
      </c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8"/>
        <v>50.531665560050136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83</v>
      </c>
      <c r="B89" s="193">
        <f>'Données projet'!D92</f>
        <v>327.82</v>
      </c>
      <c r="C89" s="206">
        <f>52*(1+12.8%)</f>
        <v>58.656000000000006</v>
      </c>
      <c r="D89" s="191">
        <f t="shared" si="9"/>
        <v>19228.609920000003</v>
      </c>
      <c r="E89" s="206">
        <f t="shared" si="10"/>
        <v>2382.4331904000001</v>
      </c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8"/>
        <v>48.355660823014496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97</v>
      </c>
      <c r="B90" s="193">
        <f>'Données projet'!D93</f>
        <v>426.69</v>
      </c>
      <c r="C90" s="206">
        <f>59*(1+12.8%)</f>
        <v>66.552000000000007</v>
      </c>
      <c r="D90" s="191">
        <f t="shared" si="9"/>
        <v>28397.072880000003</v>
      </c>
      <c r="E90" s="206">
        <f t="shared" si="10"/>
        <v>3482.6487456000004</v>
      </c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8"/>
        <v>46.273359639248334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111</v>
      </c>
      <c r="B91" s="193">
        <f>'Données projet'!D94</f>
        <v>503.42</v>
      </c>
      <c r="C91" s="206">
        <v>74</v>
      </c>
      <c r="D91" s="191">
        <f t="shared" si="9"/>
        <v>37253.08</v>
      </c>
      <c r="E91" s="206">
        <f t="shared" si="10"/>
        <v>4545.3696</v>
      </c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8"/>
        <v>44.280726927510372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125</v>
      </c>
      <c r="B92" s="193">
        <f>'Données projet'!D95</f>
        <v>612.94000000000005</v>
      </c>
      <c r="C92" s="206">
        <f>74*(1+12.8%)</f>
        <v>83.472000000000008</v>
      </c>
      <c r="D92" s="191">
        <f t="shared" si="9"/>
        <v>51163.327680000009</v>
      </c>
      <c r="E92" s="206">
        <f t="shared" si="10"/>
        <v>6214.5993216000006</v>
      </c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8"/>
        <v>42.373901366038638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140</v>
      </c>
      <c r="B93" s="193">
        <f>'Données projet'!D96</f>
        <v>4026.47</v>
      </c>
      <c r="C93" s="206">
        <f>122*(1+12.8%)</f>
        <v>137.61600000000001</v>
      </c>
      <c r="D93" s="191">
        <f t="shared" si="9"/>
        <v>554106.69552000007</v>
      </c>
      <c r="E93" s="206">
        <f t="shared" si="10"/>
        <v>66567.803462399999</v>
      </c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8"/>
        <v>40.549187910084825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9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8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9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8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9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8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9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11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9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11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9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11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9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11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9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11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9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11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9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11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9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11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11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11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Chêne tauzin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11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11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11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11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11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11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11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11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11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33</v>
      </c>
      <c r="B116" s="193">
        <f>'Données projet'!D114</f>
        <v>30.52</v>
      </c>
      <c r="C116" s="206">
        <f>13*(1+12.8%)</f>
        <v>14.664000000000001</v>
      </c>
      <c r="D116" s="191">
        <f>B116*C116</f>
        <v>447.54528000000005</v>
      </c>
      <c r="E116" s="206">
        <f>75+(D116*12%)</f>
        <v>128.70543359999999</v>
      </c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11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41</v>
      </c>
      <c r="B117" s="193">
        <f>'Données projet'!D115</f>
        <v>69.02</v>
      </c>
      <c r="C117" s="206">
        <f>13*(1+12.8%)</f>
        <v>14.664000000000001</v>
      </c>
      <c r="D117" s="191">
        <f t="shared" ref="D117:D135" si="12">B117*C117</f>
        <v>1012.10928</v>
      </c>
      <c r="E117" s="206">
        <f t="shared" ref="E117:E124" si="13">75+(D117*12%)</f>
        <v>196.45311359999999</v>
      </c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11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55</v>
      </c>
      <c r="B118" s="193">
        <f>'Données projet'!D116</f>
        <v>147.87</v>
      </c>
      <c r="C118" s="206">
        <f>25*(1+12.8%)</f>
        <v>28.200000000000003</v>
      </c>
      <c r="D118" s="191">
        <f t="shared" si="12"/>
        <v>4169.9340000000002</v>
      </c>
      <c r="E118" s="206">
        <f t="shared" si="13"/>
        <v>575.39208000000008</v>
      </c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11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70</v>
      </c>
      <c r="B119" s="193">
        <f>'Données projet'!D117</f>
        <v>258.61</v>
      </c>
      <c r="C119" s="206">
        <f>25*(1+12.8%)</f>
        <v>28.200000000000003</v>
      </c>
      <c r="D119" s="191">
        <f t="shared" si="12"/>
        <v>7292.8020000000015</v>
      </c>
      <c r="E119" s="206">
        <f t="shared" si="13"/>
        <v>950.13624000000016</v>
      </c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11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83</v>
      </c>
      <c r="B120" s="193">
        <f>'Données projet'!D118</f>
        <v>327.82</v>
      </c>
      <c r="C120" s="206">
        <f>52*(1+12.8%)</f>
        <v>58.656000000000006</v>
      </c>
      <c r="D120" s="191">
        <f t="shared" si="12"/>
        <v>19228.609920000003</v>
      </c>
      <c r="E120" s="206">
        <f t="shared" si="13"/>
        <v>2382.4331904000001</v>
      </c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11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97</v>
      </c>
      <c r="B121" s="193">
        <f>'Données projet'!D119</f>
        <v>426.69</v>
      </c>
      <c r="C121" s="206">
        <f>59*(1+12.8%)</f>
        <v>66.552000000000007</v>
      </c>
      <c r="D121" s="191">
        <f t="shared" si="12"/>
        <v>28397.072880000003</v>
      </c>
      <c r="E121" s="206">
        <f t="shared" si="13"/>
        <v>3482.6487456000004</v>
      </c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11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111</v>
      </c>
      <c r="B122" s="193">
        <f>'Données projet'!D120</f>
        <v>503.42</v>
      </c>
      <c r="C122" s="206">
        <v>74</v>
      </c>
      <c r="D122" s="191">
        <f t="shared" si="12"/>
        <v>37253.08</v>
      </c>
      <c r="E122" s="206">
        <f t="shared" si="13"/>
        <v>4545.3696</v>
      </c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11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125</v>
      </c>
      <c r="B123" s="193">
        <f>'Données projet'!D121</f>
        <v>612.94000000000005</v>
      </c>
      <c r="C123" s="206">
        <f>74*(1+12.8%)</f>
        <v>83.472000000000008</v>
      </c>
      <c r="D123" s="191">
        <f t="shared" si="12"/>
        <v>51163.327680000009</v>
      </c>
      <c r="E123" s="206">
        <f t="shared" si="13"/>
        <v>6214.5993216000006</v>
      </c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11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140</v>
      </c>
      <c r="B124" s="193">
        <f>'Données projet'!D122</f>
        <v>4026.47</v>
      </c>
      <c r="C124" s="206">
        <f>122*(1+12.8%)</f>
        <v>137.61600000000001</v>
      </c>
      <c r="D124" s="191">
        <f t="shared" si="12"/>
        <v>554106.69552000007</v>
      </c>
      <c r="E124" s="206">
        <f t="shared" si="13"/>
        <v>66567.803462399999</v>
      </c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11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12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11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12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11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12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11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12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11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12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14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12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14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12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14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12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14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12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12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12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Chêne rouge d'Amérique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33</v>
      </c>
      <c r="B147" s="187">
        <f>'Données projet'!D140</f>
        <v>40.36</v>
      </c>
      <c r="C147" s="204">
        <f>13*(1+12.8%)</f>
        <v>14.664000000000001</v>
      </c>
      <c r="D147" s="194">
        <f>B147*C147</f>
        <v>591.83904000000007</v>
      </c>
      <c r="E147" s="206">
        <f>75+(D147*12%)</f>
        <v>146.02068480000003</v>
      </c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41</v>
      </c>
      <c r="B148" s="187">
        <f>'Données projet'!D141</f>
        <v>85.73</v>
      </c>
      <c r="C148" s="204">
        <f>13*(1+12.8%)</f>
        <v>14.664000000000001</v>
      </c>
      <c r="D148" s="194">
        <f t="shared" ref="D148:D166" si="15">B148*C148</f>
        <v>1257.1447200000002</v>
      </c>
      <c r="E148" s="206">
        <f t="shared" ref="E148:E151" si="16">75+(D148*12%)</f>
        <v>225.85736640000002</v>
      </c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55</v>
      </c>
      <c r="B149" s="187">
        <f>'Données projet'!D142</f>
        <v>167.38</v>
      </c>
      <c r="C149" s="204">
        <f>25*(1+12.8%)</f>
        <v>28.200000000000003</v>
      </c>
      <c r="D149" s="194">
        <f t="shared" si="15"/>
        <v>4720.116</v>
      </c>
      <c r="E149" s="206">
        <f t="shared" si="16"/>
        <v>641.41391999999996</v>
      </c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70</v>
      </c>
      <c r="B150" s="187">
        <f>'Données projet'!D143</f>
        <v>287.02</v>
      </c>
      <c r="C150" s="204">
        <f>25*(1+12.8%)</f>
        <v>28.200000000000003</v>
      </c>
      <c r="D150" s="194">
        <f t="shared" si="15"/>
        <v>8093.9639999999999</v>
      </c>
      <c r="E150" s="206">
        <f t="shared" si="16"/>
        <v>1046.27568</v>
      </c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80</v>
      </c>
      <c r="B151" s="187">
        <f>'Données projet'!D144</f>
        <v>1804.89</v>
      </c>
      <c r="C151" s="204">
        <f>138*(1+12.8%)</f>
        <v>155.66400000000002</v>
      </c>
      <c r="D151" s="194">
        <f t="shared" si="15"/>
        <v>280956.39696000004</v>
      </c>
      <c r="E151" s="206">
        <f t="shared" si="16"/>
        <v>33789.767635200005</v>
      </c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5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5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5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5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5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5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5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5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5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5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5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5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5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5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5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Douglas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25</v>
      </c>
      <c r="B178" s="193">
        <f>'Données projet'!D166</f>
        <v>46.8</v>
      </c>
      <c r="C178" s="206">
        <f>8*(1+12.8%)</f>
        <v>9.0240000000000009</v>
      </c>
      <c r="D178" s="191">
        <f>B178*C178</f>
        <v>422.32320000000004</v>
      </c>
      <c r="E178" s="206">
        <f>75+(D178*12%)</f>
        <v>125.67878400000001</v>
      </c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33</v>
      </c>
      <c r="B179" s="193">
        <f>'Données projet'!D167</f>
        <v>80.25</v>
      </c>
      <c r="C179" s="206">
        <f>8*(1+12.8%)</f>
        <v>9.0240000000000009</v>
      </c>
      <c r="D179" s="191">
        <f t="shared" ref="D179:D197" si="17">B179*C179</f>
        <v>724.17600000000004</v>
      </c>
      <c r="E179" s="206">
        <f t="shared" ref="E179:E182" si="18">75+(D179*12%)</f>
        <v>161.90111999999999</v>
      </c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41</v>
      </c>
      <c r="B180" s="193">
        <f>'Données projet'!D168</f>
        <v>126.35</v>
      </c>
      <c r="C180" s="206">
        <f>16*(1+12.8%)</f>
        <v>18.048000000000002</v>
      </c>
      <c r="D180" s="191">
        <f t="shared" si="17"/>
        <v>2280.3648000000003</v>
      </c>
      <c r="E180" s="206">
        <f t="shared" si="18"/>
        <v>348.643776</v>
      </c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52</v>
      </c>
      <c r="B181" s="193">
        <f>'Données projet'!D169</f>
        <v>141.96</v>
      </c>
      <c r="C181" s="206">
        <f>19*(1+12.8%)</f>
        <v>21.432000000000002</v>
      </c>
      <c r="D181" s="191">
        <f t="shared" si="17"/>
        <v>3042.4867200000003</v>
      </c>
      <c r="E181" s="206">
        <f t="shared" si="18"/>
        <v>440.09840640000004</v>
      </c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60</v>
      </c>
      <c r="B182" s="193">
        <f>'Données projet'!D170</f>
        <v>697.64</v>
      </c>
      <c r="C182" s="206">
        <f>29*(1+12.8%)</f>
        <v>32.712000000000003</v>
      </c>
      <c r="D182" s="191">
        <f t="shared" si="17"/>
        <v>22821.199680000002</v>
      </c>
      <c r="E182" s="206">
        <f t="shared" si="18"/>
        <v>2813.5439615999999</v>
      </c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7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7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7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7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7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7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7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7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7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7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7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7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7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7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7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>Alisier torminal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33</v>
      </c>
      <c r="B209" s="193">
        <f>'Données projet'!D192</f>
        <v>16.59</v>
      </c>
      <c r="C209" s="206">
        <f>13*(1+12.8%)</f>
        <v>14.664000000000001</v>
      </c>
      <c r="D209" s="191">
        <f>B209*C209</f>
        <v>243.27576000000002</v>
      </c>
      <c r="E209" s="206">
        <f>75+(D209*12%)</f>
        <v>104.1930912</v>
      </c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41</v>
      </c>
      <c r="B210" s="193">
        <f>'Données projet'!D193</f>
        <v>38.25</v>
      </c>
      <c r="C210" s="206">
        <f>13*(1+12.8%)</f>
        <v>14.664000000000001</v>
      </c>
      <c r="D210" s="191">
        <f t="shared" ref="D210:D228" si="19">B210*C210</f>
        <v>560.89800000000002</v>
      </c>
      <c r="E210" s="206">
        <f t="shared" ref="E210:E212" si="20">75+(D210*12%)</f>
        <v>142.30776</v>
      </c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52</v>
      </c>
      <c r="B211" s="193">
        <f>'Données projet'!D194</f>
        <v>70.849999999999994</v>
      </c>
      <c r="C211" s="206">
        <f>25*(1+12.8%)</f>
        <v>28.200000000000003</v>
      </c>
      <c r="D211" s="191">
        <f t="shared" si="19"/>
        <v>1997.97</v>
      </c>
      <c r="E211" s="206">
        <f t="shared" si="20"/>
        <v>314.75639999999999</v>
      </c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60</v>
      </c>
      <c r="B212" s="193">
        <f>'Données projet'!D195</f>
        <v>458.21</v>
      </c>
      <c r="C212" s="206">
        <f>25*(1+12.8%)</f>
        <v>28.200000000000003</v>
      </c>
      <c r="D212" s="191">
        <f t="shared" si="19"/>
        <v>12921.522000000001</v>
      </c>
      <c r="E212" s="206">
        <f t="shared" si="20"/>
        <v>1625.5826400000001</v>
      </c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9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9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9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9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9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9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9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9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9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9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9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9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9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9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9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9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>Merisier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33</v>
      </c>
      <c r="B240" s="193">
        <f>'Données projet'!D218</f>
        <v>16.59</v>
      </c>
      <c r="C240" s="206">
        <f>13*(1+12.8%)</f>
        <v>14.664000000000001</v>
      </c>
      <c r="D240" s="191">
        <f>B240*C240</f>
        <v>243.27576000000002</v>
      </c>
      <c r="E240" s="206">
        <f>75+(D240*12%)</f>
        <v>104.1930912</v>
      </c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41</v>
      </c>
      <c r="B241" s="193">
        <f>'Données projet'!D219</f>
        <v>38.25</v>
      </c>
      <c r="C241" s="206">
        <f>13*(1+12.8%)</f>
        <v>14.664000000000001</v>
      </c>
      <c r="D241" s="191">
        <f t="shared" ref="D241:D259" si="21">B241*C241</f>
        <v>560.89800000000002</v>
      </c>
      <c r="E241" s="206">
        <f t="shared" ref="E241:E243" si="22">75+(D241*12%)</f>
        <v>142.30776</v>
      </c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52</v>
      </c>
      <c r="B242" s="193">
        <f>'Données projet'!D220</f>
        <v>70.849999999999994</v>
      </c>
      <c r="C242" s="206">
        <f>25*(1+12.8%)</f>
        <v>28.200000000000003</v>
      </c>
      <c r="D242" s="191">
        <f t="shared" si="21"/>
        <v>1997.97</v>
      </c>
      <c r="E242" s="206">
        <f t="shared" si="22"/>
        <v>314.75639999999999</v>
      </c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60</v>
      </c>
      <c r="B243" s="193">
        <f>'Données projet'!D221</f>
        <v>458.21</v>
      </c>
      <c r="C243" s="206">
        <f>25*(1+12.8%)</f>
        <v>28.200000000000003</v>
      </c>
      <c r="D243" s="191">
        <f t="shared" si="21"/>
        <v>12921.522000000001</v>
      </c>
      <c r="E243" s="206">
        <f t="shared" si="22"/>
        <v>1625.5826400000001</v>
      </c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21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21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21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21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21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21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21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21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21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21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21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21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21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21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21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21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>Tilleul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33</v>
      </c>
      <c r="B271" s="193">
        <f>'Données projet'!D244</f>
        <v>16.59</v>
      </c>
      <c r="C271" s="206">
        <f>13*(1+12.8%)</f>
        <v>14.664000000000001</v>
      </c>
      <c r="D271" s="191">
        <f>B271*C271</f>
        <v>243.27576000000002</v>
      </c>
      <c r="E271" s="206">
        <f>75+(D271*12%)</f>
        <v>104.1930912</v>
      </c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41</v>
      </c>
      <c r="B272" s="193">
        <f>'Données projet'!D245</f>
        <v>38.25</v>
      </c>
      <c r="C272" s="206">
        <f>13*(1+12.8%)</f>
        <v>14.664000000000001</v>
      </c>
      <c r="D272" s="191">
        <f t="shared" ref="D272:D290" si="23">B272*C272</f>
        <v>560.89800000000002</v>
      </c>
      <c r="E272" s="206">
        <f t="shared" ref="E272:E274" si="24">75+(D272*12%)</f>
        <v>142.30776</v>
      </c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52</v>
      </c>
      <c r="B273" s="193">
        <f>'Données projet'!D246</f>
        <v>70.849999999999994</v>
      </c>
      <c r="C273" s="206">
        <f>25*(1+12.8%)</f>
        <v>28.200000000000003</v>
      </c>
      <c r="D273" s="191">
        <f t="shared" si="23"/>
        <v>1997.97</v>
      </c>
      <c r="E273" s="206">
        <f t="shared" si="24"/>
        <v>314.75639999999999</v>
      </c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60</v>
      </c>
      <c r="B274" s="193">
        <f>'Données projet'!D247</f>
        <v>458.21</v>
      </c>
      <c r="C274" s="206">
        <f>25*(1+12.8%)</f>
        <v>28.200000000000003</v>
      </c>
      <c r="D274" s="191">
        <f t="shared" si="23"/>
        <v>12921.522000000001</v>
      </c>
      <c r="E274" s="206">
        <f t="shared" si="24"/>
        <v>1625.5826400000001</v>
      </c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23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23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23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23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23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23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23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23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23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23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23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23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23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23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23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23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>Cormier</v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33</v>
      </c>
      <c r="B302" s="193">
        <f>'Données projet'!D270</f>
        <v>16.59</v>
      </c>
      <c r="C302" s="206">
        <f>13*(1+12.8%)</f>
        <v>14.664000000000001</v>
      </c>
      <c r="D302" s="194">
        <f>B302*C302</f>
        <v>243.27576000000002</v>
      </c>
      <c r="E302" s="206">
        <f>75+(D302*12%)</f>
        <v>104.1930912</v>
      </c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41</v>
      </c>
      <c r="B303" s="193">
        <f>'Données projet'!D271</f>
        <v>38.25</v>
      </c>
      <c r="C303" s="206">
        <f>13*(1+12.8%)</f>
        <v>14.664000000000001</v>
      </c>
      <c r="D303" s="194">
        <f t="shared" ref="D303:D321" si="25">B303*C303</f>
        <v>560.89800000000002</v>
      </c>
      <c r="E303" s="206">
        <f t="shared" ref="E303:E305" si="26">75+(D303*12%)</f>
        <v>142.30776</v>
      </c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52</v>
      </c>
      <c r="B304" s="193">
        <f>'Données projet'!D272</f>
        <v>70.849999999999994</v>
      </c>
      <c r="C304" s="206">
        <f>25*(1+12.8%)</f>
        <v>28.200000000000003</v>
      </c>
      <c r="D304" s="194">
        <f t="shared" si="25"/>
        <v>1997.97</v>
      </c>
      <c r="E304" s="206">
        <f t="shared" si="26"/>
        <v>314.75639999999999</v>
      </c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60</v>
      </c>
      <c r="B305" s="193">
        <f>'Données projet'!D273</f>
        <v>458.21</v>
      </c>
      <c r="C305" s="206">
        <f>25*(1+12.8%)</f>
        <v>28.200000000000003</v>
      </c>
      <c r="D305" s="194">
        <f t="shared" si="25"/>
        <v>12921.522000000001</v>
      </c>
      <c r="E305" s="206">
        <f t="shared" si="26"/>
        <v>1625.5826400000001</v>
      </c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2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2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2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2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2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2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2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2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2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2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2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2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2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2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2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2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emilie Parthuisot</cp:lastModifiedBy>
  <dcterms:created xsi:type="dcterms:W3CDTF">2021-02-01T08:22:39Z</dcterms:created>
  <dcterms:modified xsi:type="dcterms:W3CDTF">2022-03-30T09:10:35Z</dcterms:modified>
</cp:coreProperties>
</file>