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arbonapp\Downloads\"/>
    </mc:Choice>
  </mc:AlternateContent>
  <xr:revisionPtr revIDLastSave="0" documentId="13_ncr:1_{E05C3E99-E378-423C-BB80-4236694FD93B}" xr6:coauthVersionLast="47" xr6:coauthVersionMax="47" xr10:uidLastSave="{00000000-0000-0000-0000-000000000000}"/>
  <bookViews>
    <workbookView xWindow="28680" yWindow="-120" windowWidth="29040" windowHeight="15840" tabRatio="866" activeTab="6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1" i="6" l="1"/>
  <c r="I22" i="6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B152" i="6" l="1"/>
  <c r="AD3" i="2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B92" i="6" l="1"/>
  <c r="B153" i="6"/>
  <c r="B123" i="6"/>
  <c r="F154" i="2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155" i="6" l="1"/>
  <c r="B4" i="2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R4" i="2" l="1"/>
  <c r="EC4" i="2"/>
  <c r="FQ4" i="2"/>
  <c r="BQ4" i="2"/>
  <c r="GL4" i="2"/>
  <c r="EA4" i="2"/>
  <c r="FR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B7" i="2"/>
  <c r="EW7" i="2"/>
  <c r="EV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FS10" i="2" l="1"/>
  <c r="EB10" i="2"/>
  <c r="EA10" i="2"/>
  <c r="HH10" i="2"/>
  <c r="HG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HG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W12" i="2" l="1"/>
  <c r="EV12" i="2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C14" i="2" l="1"/>
  <c r="EX14" i="2"/>
  <c r="EB14" i="2"/>
  <c r="HH14" i="2"/>
  <c r="HG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FS15" i="2" l="1"/>
  <c r="EV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HH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FS18" i="2"/>
  <c r="EA18" i="2"/>
  <c r="EV18" i="2"/>
  <c r="EW18" i="2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FS20" i="2" l="1"/>
  <c r="EC20" i="2"/>
  <c r="HH20" i="2"/>
  <c r="EW20" i="2"/>
  <c r="EV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EW21" i="2"/>
  <c r="EB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C22" i="2" l="1"/>
  <c r="EA22" i="2"/>
  <c r="EB22" i="2"/>
  <c r="EW22" i="2"/>
  <c r="HH22" i="2"/>
  <c r="HG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FR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C26" i="2" s="1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EX27" i="2" s="1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FS27" i="2" l="1"/>
  <c r="HI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FS28" i="2" l="1"/>
  <c r="EC28" i="2"/>
  <c r="HI28" i="2"/>
  <c r="EV28" i="2"/>
  <c r="EB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HI29" i="2" l="1"/>
  <c r="EX29" i="2"/>
  <c r="FS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C30" i="2" l="1"/>
  <c r="EV30" i="2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H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A33" i="2" l="1"/>
  <c r="EV33" i="2"/>
  <c r="EW33" i="2"/>
  <c r="EB33" i="2"/>
  <c r="HG33" i="2"/>
  <c r="HH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B35" i="2"/>
  <c r="FQ35" i="2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G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FS38" i="2"/>
  <c r="HI38" i="2"/>
  <c r="EA38" i="2"/>
  <c r="EW38" i="2"/>
  <c r="HH38" i="2"/>
  <c r="HG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HI43" i="2"/>
  <c r="DG43" i="2"/>
  <c r="EA43" i="2"/>
  <c r="HG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C44" i="2" l="1"/>
  <c r="EW44" i="2"/>
  <c r="HH44" i="2"/>
  <c r="HG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X45" i="2" l="1"/>
  <c r="HG45" i="2"/>
  <c r="EB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HI46" i="2"/>
  <c r="EW46" i="2"/>
  <c r="HG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EC48" i="2" l="1"/>
  <c r="HI48" i="2"/>
  <c r="HH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EC50" i="2" l="1"/>
  <c r="FS50" i="2"/>
  <c r="HI50" i="2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A51" i="2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FS57" i="2" l="1"/>
  <c r="EV57" i="2"/>
  <c r="EB57" i="2"/>
  <c r="HG57" i="2"/>
  <c r="HH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EA59" i="2"/>
  <c r="EB59" i="2"/>
  <c r="HH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I60" i="2" l="1"/>
  <c r="EW60" i="2"/>
  <c r="EV60" i="2"/>
  <c r="HH60" i="2"/>
  <c r="HG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X61" i="2" l="1"/>
  <c r="EA61" i="2"/>
  <c r="EV61" i="2"/>
  <c r="EW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I62" i="2" l="1"/>
  <c r="EA62" i="2"/>
  <c r="EB62" i="2"/>
  <c r="HH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EB63" i="2"/>
  <c r="HG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C64" i="2" l="1"/>
  <c r="EA64" i="2"/>
  <c r="EV64" i="2"/>
  <c r="HH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X66" i="2" l="1"/>
  <c r="FS66" i="2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FS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I70" i="2" l="1"/>
  <c r="EB70" i="2"/>
  <c r="EW70" i="2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X72" i="2" l="1"/>
  <c r="EB72" i="2"/>
  <c r="HH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HI73" i="2" l="1"/>
  <c r="EW73" i="2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EW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FS75" i="2" l="1"/>
  <c r="EA75" i="2"/>
  <c r="EB75" i="2"/>
  <c r="HH75" i="2"/>
  <c r="HG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H76" i="2" l="1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HI77" i="2" l="1"/>
  <c r="EA77" i="2"/>
  <c r="EB77" i="2"/>
  <c r="EW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C78" i="2" l="1"/>
  <c r="HI78" i="2"/>
  <c r="EB78" i="2"/>
  <c r="EV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EB79" i="2" l="1"/>
  <c r="HH79" i="2"/>
  <c r="HG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HI85" i="2" l="1"/>
  <c r="EC85" i="2"/>
  <c r="EV85" i="2"/>
  <c r="EW85" i="2"/>
  <c r="HG85" i="2"/>
  <c r="HH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A86" i="2" l="1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X95" i="2" l="1"/>
  <c r="EB95" i="2"/>
  <c r="FQ95" i="2"/>
  <c r="HG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X98" i="2" l="1"/>
  <c r="FS98" i="2"/>
  <c r="HI98" i="2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X100" i="2" l="1"/>
  <c r="EW100" i="2"/>
  <c r="EV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FS105" i="2" l="1"/>
  <c r="EB105" i="2"/>
  <c r="EA105" i="2"/>
  <c r="EV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B106" i="2" l="1"/>
  <c r="HG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X107" i="2" l="1"/>
  <c r="EC107" i="2"/>
  <c r="EA107" i="2"/>
  <c r="EB107" i="2"/>
  <c r="HG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FS108" i="2" l="1"/>
  <c r="EW108" i="2"/>
  <c r="EB108" i="2"/>
  <c r="EA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X109" i="2" l="1"/>
  <c r="EB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C112" i="2" l="1"/>
  <c r="EX112" i="2"/>
  <c r="HI112" i="2"/>
  <c r="EB112" i="2"/>
  <c r="FQ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HI113" i="2" l="1"/>
  <c r="EC113" i="2"/>
  <c r="EX113" i="2"/>
  <c r="FS113" i="2"/>
  <c r="EB113" i="2"/>
  <c r="EW113" i="2"/>
  <c r="HG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V114" i="2" l="1"/>
  <c r="EW114" i="2"/>
  <c r="HH114" i="2"/>
  <c r="HG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C116" i="2" l="1"/>
  <c r="EA116" i="2"/>
  <c r="EV116" i="2"/>
  <c r="HG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A117" i="2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C118" i="2" l="1"/>
  <c r="EX118" i="2"/>
  <c r="FS118" i="2"/>
  <c r="FQ118" i="2"/>
  <c r="HH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FR119" i="2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EX120" i="2" l="1"/>
  <c r="HI120" i="2"/>
  <c r="FQ120" i="2"/>
  <c r="HH120" i="2"/>
  <c r="FR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FR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EC122" i="2" l="1"/>
  <c r="FS122" i="2"/>
  <c r="HI122" i="2"/>
  <c r="EW122" i="2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X124" i="2" l="1"/>
  <c r="EW124" i="2"/>
  <c r="HH124" i="2"/>
  <c r="HG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FS126" i="2" l="1"/>
  <c r="EA126" i="2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FS127" i="2" l="1"/>
  <c r="HI127" i="2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FS128" i="2" l="1"/>
  <c r="EX128" i="2"/>
  <c r="EB128" i="2"/>
  <c r="EV128" i="2"/>
  <c r="HG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V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X130" i="2" l="1"/>
  <c r="FS130" i="2"/>
  <c r="HI130" i="2"/>
  <c r="EB130" i="2"/>
  <c r="EW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S132" i="2" s="1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V133" i="2" l="1"/>
  <c r="EW133" i="2"/>
  <c r="HH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EV134" i="2"/>
  <c r="EW134" i="2"/>
  <c r="HG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X135" i="2" l="1"/>
  <c r="EA135" i="2"/>
  <c r="EW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HH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C138" i="2" l="1"/>
  <c r="EV138" i="2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EA139" i="2"/>
  <c r="EB139" i="2"/>
  <c r="EW139" i="2"/>
  <c r="HH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C140" i="2" l="1"/>
  <c r="EX140" i="2"/>
  <c r="EB140" i="2"/>
  <c r="FR140" i="2"/>
  <c r="HH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FS141" i="2" l="1"/>
  <c r="EA141" i="2"/>
  <c r="EB141" i="2"/>
  <c r="HG141" i="2"/>
  <c r="HH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EW142" i="2"/>
  <c r="HG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X144" i="2" l="1"/>
  <c r="EB144" i="2"/>
  <c r="EA144" i="2"/>
  <c r="FR144" i="2"/>
  <c r="HH144" i="2"/>
  <c r="HG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EA145" i="2"/>
  <c r="EB145" i="2"/>
  <c r="FR145" i="2"/>
  <c r="HG145" i="2"/>
  <c r="HH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FS146" i="2" l="1"/>
  <c r="HI146" i="2"/>
  <c r="EA146" i="2"/>
  <c r="FR146" i="2"/>
  <c r="HH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C149" i="2" l="1"/>
  <c r="EX149" i="2"/>
  <c r="HG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FS150" i="2" l="1"/>
  <c r="HI150" i="2"/>
  <c r="EV150" i="2"/>
  <c r="HH150" i="2"/>
  <c r="HG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X151" i="2" l="1"/>
  <c r="EC151" i="2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HI152" i="2" l="1"/>
  <c r="EB152" i="2"/>
  <c r="EV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B153" i="2"/>
  <c r="EA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B154" i="2" s="1"/>
  <c r="AX150" i="2"/>
  <c r="Z153" i="2"/>
  <c r="AC152" i="2"/>
  <c r="HH154" i="2" l="1"/>
  <c r="HG154" i="2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3" i="2"/>
  <c r="FT153" i="2"/>
  <c r="CN153" i="2"/>
  <c r="HJ153" i="2"/>
  <c r="GO153" i="2"/>
  <c r="EY153" i="2"/>
  <c r="ED153" i="2"/>
  <c r="AC153" i="2"/>
  <c r="AX151" i="2"/>
  <c r="EW155" i="2" l="1"/>
  <c r="AC154" i="2"/>
  <c r="DI154" i="2"/>
  <c r="EA155" i="2"/>
  <c r="HH155" i="2"/>
  <c r="HG155" i="2"/>
  <c r="EX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EX156" i="2" l="1"/>
  <c r="HH156" i="2"/>
  <c r="AB156" i="2"/>
  <c r="FS156" i="2"/>
  <c r="DH156" i="2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EA157" i="2" s="1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CN156" i="2" l="1"/>
  <c r="EX157" i="2"/>
  <c r="HH157" i="2"/>
  <c r="HG157" i="2"/>
  <c r="EC157" i="2"/>
  <c r="EB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EV158" i="2" s="1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H158" i="2" l="1"/>
  <c r="HG158" i="2"/>
  <c r="EW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ED158" i="2" s="1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HI159" i="2" s="1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A159" i="2" l="1"/>
  <c r="EC159" i="2"/>
  <c r="HH159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GJ160" i="2"/>
  <c r="EH160" i="2"/>
  <c r="ET160" i="2"/>
  <c r="DL160" i="2"/>
  <c r="FM160" i="2"/>
  <c r="FS160" i="2" s="1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HG160" i="2"/>
  <c r="DG160" i="2"/>
  <c r="HH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GJ161" i="2"/>
  <c r="HE161" i="2"/>
  <c r="HH161" i="2" s="1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HG161" i="2" l="1"/>
  <c r="AB161" i="2"/>
  <c r="EB161" i="2"/>
  <c r="EX161" i="2"/>
  <c r="FS161" i="2"/>
  <c r="AW161" i="2"/>
  <c r="EC161" i="2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DI161" i="2" l="1"/>
  <c r="EW162" i="2"/>
  <c r="HH162" i="2"/>
  <c r="HG162" i="2"/>
  <c r="EB162" i="2"/>
  <c r="FS162" i="2"/>
  <c r="AU162" i="2"/>
  <c r="EX162" i="2"/>
  <c r="EA162" i="2"/>
  <c r="ED162" i="2" s="1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GJ163" i="2"/>
  <c r="HE163" i="2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A163" i="2" l="1"/>
  <c r="HH163" i="2"/>
  <c r="HG163" i="2"/>
  <c r="EV163" i="2"/>
  <c r="HI163" i="2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G164" i="2" s="1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HH164" i="2" l="1"/>
  <c r="DI163" i="2"/>
  <c r="DH164" i="2"/>
  <c r="FS164" i="2"/>
  <c r="EX164" i="2"/>
  <c r="EA164" i="2"/>
  <c r="EV164" i="2"/>
  <c r="FR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HG165" i="2" l="1"/>
  <c r="EA165" i="2"/>
  <c r="HH165" i="2"/>
  <c r="EB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FS166" i="2" l="1"/>
  <c r="CN165" i="2"/>
  <c r="HG166" i="2"/>
  <c r="HJ166" i="2" s="1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X167" i="2" l="1"/>
  <c r="HI167" i="2"/>
  <c r="DG167" i="2"/>
  <c r="EA167" i="2"/>
  <c r="EB167" i="2"/>
  <c r="FR167" i="2"/>
  <c r="EC167" i="2"/>
  <c r="HH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G168" i="2" l="1"/>
  <c r="HI168" i="2"/>
  <c r="EB168" i="2"/>
  <c r="EW168" i="2"/>
  <c r="DI167" i="2"/>
  <c r="EV168" i="2"/>
  <c r="EY168" i="2" s="1"/>
  <c r="HH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X169" i="2" l="1"/>
  <c r="EA169" i="2"/>
  <c r="HH169" i="2"/>
  <c r="EB169" i="2"/>
  <c r="FS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A171" i="2" l="1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EY171" i="2" s="1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B172" i="2" l="1"/>
  <c r="HG172" i="2"/>
  <c r="EA172" i="2"/>
  <c r="EW172" i="2"/>
  <c r="HI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B173" i="2" l="1"/>
  <c r="EW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Y173" i="2" s="1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C174" i="2" s="1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HH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EA175" i="2" s="1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ED174" i="2"/>
  <c r="AX172" i="2"/>
  <c r="EB175" i="2" l="1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B176" i="2" l="1"/>
  <c r="HH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C177" i="2" l="1"/>
  <c r="EW177" i="2"/>
  <c r="FS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HH178" i="2" l="1"/>
  <c r="HG178" i="2"/>
  <c r="FQ178" i="2"/>
  <c r="EB178" i="2"/>
  <c r="EA178" i="2"/>
  <c r="FS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EB179" i="2" l="1"/>
  <c r="HH179" i="2"/>
  <c r="EA179" i="2"/>
  <c r="HG179" i="2"/>
  <c r="DF179" i="2"/>
  <c r="EV179" i="2"/>
  <c r="HI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X180" i="2"/>
  <c r="HI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W181" i="2" l="1"/>
  <c r="FS181" i="2"/>
  <c r="HG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X182" i="2" l="1"/>
  <c r="FS182" i="2"/>
  <c r="DG182" i="2"/>
  <c r="EC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EA183" i="2" s="1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B183" i="2" l="1"/>
  <c r="FS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Y184" i="2" s="1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ED184" i="2"/>
  <c r="EW185" i="2" l="1"/>
  <c r="EA185" i="2"/>
  <c r="HG185" i="2"/>
  <c r="HH185" i="2"/>
  <c r="EV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FR186" i="2" l="1"/>
  <c r="ED185" i="2"/>
  <c r="HH186" i="2"/>
  <c r="HG186" i="2"/>
  <c r="EA186" i="2"/>
  <c r="FS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H187" i="2" l="1"/>
  <c r="HG187" i="2"/>
  <c r="EB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G188" i="2" s="1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H188" i="2" l="1"/>
  <c r="HI188" i="2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HH189" i="2"/>
  <c r="EV189" i="2"/>
  <c r="EB189" i="2"/>
  <c r="EC189" i="2"/>
  <c r="FS189" i="2"/>
  <c r="HI189" i="2"/>
  <c r="EX189" i="2"/>
  <c r="EA189" i="2"/>
  <c r="GN189" i="2"/>
  <c r="HG189" i="2"/>
  <c r="HJ189" i="2" s="1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HH190" i="2" l="1"/>
  <c r="HG190" i="2"/>
  <c r="EV190" i="2"/>
  <c r="EB190" i="2"/>
  <c r="EW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EW191" i="2" l="1"/>
  <c r="HI191" i="2"/>
  <c r="HH191" i="2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C192" i="2" l="1"/>
  <c r="HG192" i="2"/>
  <c r="EV192" i="2"/>
  <c r="EA192" i="2"/>
  <c r="EB192" i="2"/>
  <c r="EW192" i="2"/>
  <c r="HH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B193" i="2" l="1"/>
  <c r="EA193" i="2"/>
  <c r="ED193" i="2" s="1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HG194" i="2" l="1"/>
  <c r="EB194" i="2"/>
  <c r="EA194" i="2"/>
  <c r="ED194" i="2" s="1"/>
  <c r="FQ194" i="2"/>
  <c r="CN193" i="2"/>
  <c r="HI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A195" i="2" s="1"/>
  <c r="AX192" i="2"/>
  <c r="DH195" i="2" l="1"/>
  <c r="EX195" i="2"/>
  <c r="EA195" i="2"/>
  <c r="EB195" i="2"/>
  <c r="HI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HG196" i="2"/>
  <c r="EW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HG197" i="2" l="1"/>
  <c r="EA197" i="2"/>
  <c r="EW197" i="2"/>
  <c r="EC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EW198" i="2" s="1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HI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FS199" i="2" l="1"/>
  <c r="EB199" i="2"/>
  <c r="EA199" i="2"/>
  <c r="EV199" i="2"/>
  <c r="EW199" i="2"/>
  <c r="HH199" i="2"/>
  <c r="HG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EW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FS201" i="2" l="1"/>
  <c r="DI200" i="2"/>
  <c r="EA201" i="2"/>
  <c r="HH201" i="2"/>
  <c r="HG201" i="2"/>
  <c r="EB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EX202" i="2" l="1"/>
  <c r="HG202" i="2"/>
  <c r="EW202" i="2"/>
  <c r="FR202" i="2"/>
  <c r="HH202" i="2"/>
  <c r="FZ6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50" i="2" a="1"/>
  <c r="FY50" i="2" s="1"/>
  <c r="FY35" i="2" a="1"/>
  <c r="FY35" i="2" s="1"/>
  <c r="FY120" i="2" a="1"/>
  <c r="FY120" i="2" s="1"/>
  <c r="FY69" i="2" a="1"/>
  <c r="FY69" i="2" s="1"/>
  <c r="FY102" i="2" a="1"/>
  <c r="FY102" i="2" s="1"/>
  <c r="FY191" i="2" a="1"/>
  <c r="FY191" i="2" s="1"/>
  <c r="FY159" i="2" a="1"/>
  <c r="FY159" i="2" s="1"/>
  <c r="FY186" i="2" a="1"/>
  <c r="FY186" i="2" s="1"/>
  <c r="FY152" i="2" a="1"/>
  <c r="FY152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58" i="2" a="1"/>
  <c r="BC58" i="2" s="1"/>
  <c r="BC68" i="2" a="1"/>
  <c r="BC68" i="2" s="1"/>
  <c r="BC47" i="2" a="1"/>
  <c r="BC47" i="2" s="1"/>
  <c r="BC82" i="2" a="1"/>
  <c r="BC82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78" i="2" a="1"/>
  <c r="EI178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CS161" i="2" a="1"/>
  <c r="CS161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FD82" i="2" a="1"/>
  <c r="FD82" i="2" s="1"/>
  <c r="DN187" i="2" a="1"/>
  <c r="DN187" i="2" s="1"/>
  <c r="HJ202" i="2"/>
  <c r="EY202" i="2"/>
  <c r="AX200" i="2"/>
  <c r="BC34" i="2" l="1" a="1"/>
  <c r="BC34" i="2" s="1"/>
  <c r="BC164" i="2" a="1"/>
  <c r="BC164" i="2" s="1"/>
  <c r="BC192" i="2" a="1"/>
  <c r="BC192" i="2" s="1"/>
  <c r="BC65" i="2" a="1"/>
  <c r="BC65" i="2" s="1"/>
  <c r="BC117" i="2" a="1"/>
  <c r="BC117" i="2" s="1"/>
  <c r="BC181" i="2" a="1"/>
  <c r="BC181" i="2" s="1"/>
  <c r="AH163" i="2" a="1"/>
  <c r="AH163" i="2" s="1"/>
  <c r="AH151" i="2" a="1"/>
  <c r="AH151" i="2" s="1"/>
  <c r="BX107" i="2" a="1"/>
  <c r="BX107" i="2" s="1"/>
  <c r="BC114" i="2" a="1"/>
  <c r="BC114" i="2" s="1"/>
  <c r="BC126" i="2" a="1"/>
  <c r="BC126" i="2" s="1"/>
  <c r="CS105" i="2" a="1"/>
  <c r="CS105" i="2" s="1"/>
  <c r="HG203" i="2"/>
  <c r="EI145" i="2" a="1"/>
  <c r="EI145" i="2" s="1"/>
  <c r="EI162" i="2" a="1"/>
  <c r="EI162" i="2" s="1"/>
  <c r="EI150" i="2" a="1"/>
  <c r="EI150" i="2" s="1"/>
  <c r="EI195" i="2" a="1"/>
  <c r="EI195" i="2" s="1"/>
  <c r="EI29" i="2" a="1"/>
  <c r="EI29" i="2" s="1"/>
  <c r="EI106" i="2" a="1"/>
  <c r="EI106" i="2" s="1"/>
  <c r="BP203" i="2"/>
  <c r="EI153" i="2" a="1"/>
  <c r="EI153" i="2" s="1"/>
  <c r="EI142" i="2" a="1"/>
  <c r="EI142" i="2" s="1"/>
  <c r="EI166" i="2" a="1"/>
  <c r="EI166" i="2" s="1"/>
  <c r="AH92" i="2" a="1"/>
  <c r="AH92" i="2" s="1"/>
  <c r="FY173" i="2" a="1"/>
  <c r="FY173" i="2" s="1"/>
  <c r="FY66" i="2" a="1"/>
  <c r="FY66" i="2" s="1"/>
  <c r="FY165" i="2" a="1"/>
  <c r="FY165" i="2" s="1"/>
  <c r="FY109" i="2" a="1"/>
  <c r="FY109" i="2" s="1"/>
  <c r="FY146" i="2" a="1"/>
  <c r="FY146" i="2" s="1"/>
  <c r="FY79" i="2" a="1"/>
  <c r="FY79" i="2" s="1"/>
  <c r="FY143" i="2" a="1"/>
  <c r="FY143" i="2" s="1"/>
  <c r="FY71" i="2" a="1"/>
  <c r="FY71" i="2" s="1"/>
  <c r="FY32" i="2" a="1"/>
  <c r="FY32" i="2" s="1"/>
  <c r="FY47" i="2" a="1"/>
  <c r="FY47" i="2" s="1"/>
  <c r="FY18" i="2" a="1"/>
  <c r="FY18" i="2" s="1"/>
  <c r="FY22" i="2" a="1"/>
  <c r="FY22" i="2" s="1"/>
  <c r="FY111" i="2" a="1"/>
  <c r="FY111" i="2" s="1"/>
  <c r="FY110" i="2" a="1"/>
  <c r="FY110" i="2" s="1"/>
  <c r="FY133" i="2" a="1"/>
  <c r="FY133" i="2" s="1"/>
  <c r="FY90" i="2" a="1"/>
  <c r="FY90" i="2" s="1"/>
  <c r="FY188" i="2" a="1"/>
  <c r="FY188" i="2" s="1"/>
  <c r="FY73" i="2" a="1"/>
  <c r="FY73" i="2" s="1"/>
  <c r="FY153" i="2" a="1"/>
  <c r="FY153" i="2" s="1"/>
  <c r="FY140" i="2" a="1"/>
  <c r="FY140" i="2" s="1"/>
  <c r="FY57" i="2" a="1"/>
  <c r="FY57" i="2" s="1"/>
  <c r="FY29" i="2" a="1"/>
  <c r="FY29" i="2" s="1"/>
  <c r="FY54" i="2" a="1"/>
  <c r="FY54" i="2" s="1"/>
  <c r="AH166" i="2" a="1"/>
  <c r="AH166" i="2" s="1"/>
  <c r="AH199" i="2" a="1"/>
  <c r="AH199" i="2" s="1"/>
  <c r="AH90" i="2" a="1"/>
  <c r="AH90" i="2" s="1"/>
  <c r="AH62" i="2" a="1"/>
  <c r="AH62" i="2" s="1"/>
  <c r="AH19" i="2" a="1"/>
  <c r="AH19" i="2" s="1"/>
  <c r="FR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Z8" i="2" s="1"/>
  <c r="FZ9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0" i="2" l="1"/>
  <c r="FZ11" i="2" s="1"/>
  <c r="FZ12" i="2" s="1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Z195" i="2" l="1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165" i="2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BF116" i="2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<sst xmlns="http://schemas.openxmlformats.org/spreadsheetml/2006/main" count="1174" uniqueCount="325">
  <si>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</si>
  <si>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</si>
  <si>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Seules les cellules en jaune pâle sont à remplir</t>
  </si>
  <si>
    <t>V15/10/2021</t>
  </si>
  <si>
    <t>SCÉNARIO DE PROJET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</si>
  <si>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</si>
  <si>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</si>
  <si>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La surface du projet</t>
  </si>
  <si>
    <t>Entrer une surface en hectares</t>
  </si>
  <si>
    <t>Les essences du projet</t>
  </si>
  <si>
    <t>Choisir dans le menu déroulant</t>
  </si>
  <si>
    <t>Proportion</t>
  </si>
  <si>
    <t>Surface de l'essence</t>
  </si>
  <si>
    <t>Durée de révolution</t>
  </si>
  <si>
    <t>Vérification</t>
  </si>
  <si>
    <t>Essence 1</t>
  </si>
  <si>
    <t>Robinier faux-acacia</t>
  </si>
  <si>
    <t>NB : La durée de révolution doit être identique à la dernière année indiquée dans la table de production renseignée en dessous</t>
  </si>
  <si>
    <t>Essence 2</t>
  </si>
  <si>
    <t>Chêne rouge d'Amérique</t>
  </si>
  <si>
    <t>Essence 3</t>
  </si>
  <si>
    <t>Aulne glutineux</t>
  </si>
  <si>
    <t>Essence 4</t>
  </si>
  <si>
    <t>Charme</t>
  </si>
  <si>
    <t>Essence 5</t>
  </si>
  <si>
    <t>Chêne sessile</t>
  </si>
  <si>
    <t>Essence 6</t>
  </si>
  <si>
    <t>Essence 7</t>
  </si>
  <si>
    <t>Essence 8</t>
  </si>
  <si>
    <t>Essence 9</t>
  </si>
  <si>
    <t>Essence 10</t>
  </si>
  <si>
    <t>TOTAL</t>
  </si>
  <si>
    <t>Les rabais à appliquer</t>
  </si>
  <si>
    <t>Rabais 1</t>
  </si>
  <si>
    <t>Analyse économique (VAN)</t>
  </si>
  <si>
    <t>Indiquer 20 % si absence de calcul de VAN, 0 % sinon</t>
  </si>
  <si>
    <t>Rabais 2</t>
  </si>
  <si>
    <t>Risque de non permanence</t>
  </si>
  <si>
    <t>Rabais 3</t>
  </si>
  <si>
    <t>Risque d'incendie</t>
  </si>
  <si>
    <t>Indiquer 5 %, 10 %, 15 % selon le risque (cf. méthodes), 0 % sinon</t>
  </si>
  <si>
    <t>Rabais 4</t>
  </si>
  <si>
    <t>Classe de fertilité</t>
  </si>
  <si>
    <t>Indiquer 10 % si absence de justification de la classe de fertilité, 0 % sinon</t>
  </si>
  <si>
    <t>Les tables de production</t>
  </si>
  <si>
    <t>NB : Ne remplir qu'avec les années d'éclaircies de la table de production utilisée, ne pas simuler les premières années</t>
  </si>
  <si>
    <t>AVANT ECLAIRCIE</t>
  </si>
  <si>
    <t>ECLAIRCIE</t>
  </si>
  <si>
    <t>VENTILATION PRODUITS BOIS</t>
  </si>
  <si>
    <t>Age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</si>
  <si>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</si>
  <si>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Numéro d'éclaircie</t>
  </si>
  <si>
    <t>Volume bois fort 
prélevé (m³/ha)</t>
  </si>
  <si>
    <t>% sciages</t>
  </si>
  <si>
    <t>% panneaux</t>
  </si>
  <si>
    <t>% papier</t>
  </si>
  <si>
    <t>% BE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</si>
  <si>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</si>
  <si>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</si>
  <si>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Renseignez les surfaces concernées par le ou les scénarios puis choisissez la nature de culture et/ou l'essence de colonisation</t>
  </si>
  <si>
    <t>% de surface</t>
  </si>
  <si>
    <t>Méthode boisement</t>
  </si>
  <si>
    <t>Méthode reconstitution</t>
  </si>
  <si>
    <t>Poursuite de la culture agricole</t>
  </si>
  <si>
    <t>Récolte d'une forêt dégradée et colonisation par des accrus (hors Méditerranée)</t>
  </si>
  <si>
    <t>Embroussaillement par colonisation naturelle (hors Méditerranée)</t>
  </si>
  <si>
    <t>Récolte d'une forêt dégradée et colonisation par des accrus en Méditerranée</t>
  </si>
  <si>
    <t>Embroussaillement par colonisation naturelle en Méditerranée</t>
  </si>
  <si>
    <t>→ Si scénario 1 :</t>
  </si>
  <si>
    <t>→ Si scénarios 2, 3, 4 ou 5 :</t>
  </si>
  <si>
    <t>Renseignez les % de surfaces de culture à l'année 0 (en % de la surface totale du projet)</t>
  </si>
  <si>
    <t>Choisir l'essence de colonisation</t>
  </si>
  <si>
    <t>Saule</t>
  </si>
  <si>
    <t>Culture agricole</t>
  </si>
  <si>
    <t>Prairie</t>
  </si>
  <si>
    <t>Verger ou vigne</t>
  </si>
  <si>
    <t>Scénario de référence</t>
  </si>
  <si>
    <t>Année</t>
  </si>
  <si>
    <t>Biomasse culture
(tC/ha)</t>
  </si>
  <si>
    <t>Biomasse aérienne accrus 
(tMS/ha)</t>
  </si>
  <si>
    <t>Biomasse 
racinaire accrus
(tMS/ha)</t>
  </si>
  <si>
    <t>Sol (tC/ha)</t>
  </si>
  <si>
    <t>Litière (tC/ha)</t>
  </si>
  <si>
    <t>Biomasse totale (tCO₂/ha)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</si>
  <si>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</si>
  <si>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Volume BF (m³/ha)</t>
  </si>
  <si>
    <t>Accroissement 
courant 
(m³/ha/an)</t>
  </si>
  <si>
    <t>Volume BF 
linéarisé (m³/ha)</t>
  </si>
  <si>
    <t>Biomasse 
aérienne 
(tMS/ha)</t>
  </si>
  <si>
    <t>Biomasse 
racinaire (tMS/ha)</t>
  </si>
  <si>
    <t>Biomasse totale + sol + litière (tCO₂/ha)</t>
  </si>
  <si>
    <t>ΔStock moyen de long terme (tCO₂/ha)</t>
  </si>
  <si>
    <t>Δstock CO₂ 30 ans (tCO₂/ha)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</si>
  <si>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</si>
  <si>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</si>
  <si>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</si>
  <si>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</si>
  <si>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</si>
  <si>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</si>
  <si>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</si>
  <si>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% pâte à 
papier</t>
  </si>
  <si>
    <t>% pâte 
à papier</t>
  </si>
  <si>
    <t>a</t>
  </si>
  <si>
    <t>Essence</t>
  </si>
  <si>
    <t>Nom scientifique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</si>
  <si>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</si>
  <si>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Source</t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</si>
  <si>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</si>
  <si>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</si>
  <si>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</si>
  <si>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Alisier torminal</t>
  </si>
  <si>
    <t>Sorbus torminalis</t>
  </si>
  <si>
    <t>IGN, d'après Dupouey 2002</t>
  </si>
  <si>
    <t>Inra, 2016</t>
  </si>
  <si>
    <t>Assimilation au chêne</t>
  </si>
  <si>
    <t>Rabais analyse écomique</t>
  </si>
  <si>
    <t>Arbousier</t>
  </si>
  <si>
    <t>Arbutus unedo</t>
  </si>
  <si>
    <t>Aulne à feuilles en cœur</t>
  </si>
  <si>
    <t>Alnus cordata</t>
  </si>
  <si>
    <t>Alnus glutinosa</t>
  </si>
  <si>
    <t>Rabais incendie</t>
  </si>
  <si>
    <t>Aulne vert</t>
  </si>
  <si>
    <t>Alnus viridis</t>
  </si>
  <si>
    <t>Bouleau verruqueux</t>
  </si>
  <si>
    <t>Betula pendula</t>
  </si>
  <si>
    <t>Cèdre de l'Atlas</t>
  </si>
  <si>
    <t>Cedrus atlantica</t>
  </si>
  <si>
    <t>Assimilation à épicéa</t>
  </si>
  <si>
    <t>Carpinus betulus</t>
  </si>
  <si>
    <t>Charme-houblon</t>
  </si>
  <si>
    <t>Ostrya carpinifolia</t>
  </si>
  <si>
    <t>Rabais Fertilité</t>
  </si>
  <si>
    <t>Châtaignier</t>
  </si>
  <si>
    <t>Castanea sativa</t>
  </si>
  <si>
    <t>Chêne chevelu</t>
  </si>
  <si>
    <t>Quercus cerris</t>
  </si>
  <si>
    <t>FCBA, 2020</t>
  </si>
  <si>
    <t>Chêne-liège</t>
  </si>
  <si>
    <t>Quercus suber</t>
  </si>
  <si>
    <t>Chêne pédonculé</t>
  </si>
  <si>
    <t>Quercus robur</t>
  </si>
  <si>
    <t>Chêne pubescent</t>
  </si>
  <si>
    <t>Quercus pubescens</t>
  </si>
  <si>
    <t>Quercus rubra</t>
  </si>
  <si>
    <t>Quercus petraea</t>
  </si>
  <si>
    <t>Chêne tauzin</t>
  </si>
  <si>
    <t>Quercus pyrenaica</t>
  </si>
  <si>
    <t>Chêne vert</t>
  </si>
  <si>
    <t>Quercus ilex</t>
  </si>
  <si>
    <t>Cormier</t>
  </si>
  <si>
    <t>Sorbus domestica</t>
  </si>
  <si>
    <t>Leban, Xylodensmap, 2021</t>
  </si>
  <si>
    <t>Assimilation à chêne</t>
  </si>
  <si>
    <t>Cryptomère du Japon</t>
  </si>
  <si>
    <t>Cryptomeria japonica</t>
  </si>
  <si>
    <t>Cyprès de Provence</t>
  </si>
  <si>
    <t>Cupressus sempervirens</t>
  </si>
  <si>
    <t>Douglas</t>
  </si>
  <si>
    <t>Pseudotsuga menziesii</t>
  </si>
  <si>
    <t>Epicéa commun</t>
  </si>
  <si>
    <t>Picea abies</t>
  </si>
  <si>
    <t>Epicéa de Sitka</t>
  </si>
  <si>
    <t>Picea sitchensis</t>
  </si>
  <si>
    <t>Erable champêtre</t>
  </si>
  <si>
    <t>Acer campestre</t>
  </si>
  <si>
    <t>Assimilation au hêtre</t>
  </si>
  <si>
    <t>Erable plane</t>
  </si>
  <si>
    <t>Acer platanoides</t>
  </si>
  <si>
    <t>Erable sycomore</t>
  </si>
  <si>
    <t>Acer pseudoplatanus</t>
  </si>
  <si>
    <t>Eucalyptus</t>
  </si>
  <si>
    <t>Hêtre</t>
  </si>
  <si>
    <t>Fagus sylvatica</t>
  </si>
  <si>
    <t>Frêne</t>
  </si>
  <si>
    <t>Fraxinus excelsior</t>
  </si>
  <si>
    <t>Mélèze d'Europe</t>
  </si>
  <si>
    <t>Larix decidua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</si>
  <si>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</si>
  <si>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Mélèze du Japon</t>
  </si>
  <si>
    <t>Larix kaempferi</t>
  </si>
  <si>
    <t>Mélèze hybride</t>
  </si>
  <si>
    <t>Larix eurolepsis</t>
  </si>
  <si>
    <t>Mémoire de Léopold Baquet, 2014</t>
  </si>
  <si>
    <t>Bourgeois, 2001 in Forêt méditerranéenne</t>
  </si>
  <si>
    <t>Merisier</t>
  </si>
  <si>
    <t>Prunus avium</t>
  </si>
  <si>
    <t>Micocoulier de Provence</t>
  </si>
  <si>
    <t>Celtis australis</t>
  </si>
  <si>
    <t>Noyer</t>
  </si>
  <si>
    <t>Juglans sp.</t>
  </si>
  <si>
    <t>Orme</t>
  </si>
  <si>
    <t>Ulmus sp.</t>
  </si>
  <si>
    <t>Peuplier A4A</t>
  </si>
  <si>
    <t>-</t>
  </si>
  <si>
    <t>CNPF, FCBA, Arts et Métiers ParisTech, 2013</t>
  </si>
  <si>
    <t>Thèse El Haouzali, 2010</t>
  </si>
  <si>
    <t>Peuplier Alcinde</t>
  </si>
  <si>
    <t>Peuplier Beaupré</t>
  </si>
  <si>
    <t>Peuplier Blanc du Poitou</t>
  </si>
  <si>
    <t>Peuplier Brenta</t>
  </si>
  <si>
    <t>Peuplier Dorskamp</t>
  </si>
  <si>
    <t>Peuplier Dvena</t>
  </si>
  <si>
    <t>Peuplier Flevo</t>
  </si>
  <si>
    <t>Peuplier Fritzi Pauley</t>
  </si>
  <si>
    <t>Peuplier Ghoy</t>
  </si>
  <si>
    <t>Peuplier I-214</t>
  </si>
  <si>
    <t>Peuplier I-45/51</t>
  </si>
  <si>
    <t>Peuplier Koster</t>
  </si>
  <si>
    <t>Peuplier Lambro</t>
  </si>
  <si>
    <t>Peuplier Lena</t>
  </si>
  <si>
    <t>Peuplier Mella</t>
  </si>
  <si>
    <t>Peuplier Polargo</t>
  </si>
  <si>
    <t>Peuplier Raspalje</t>
  </si>
  <si>
    <t>Peuplier Robusta</t>
  </si>
  <si>
    <t>Peuplier Soligo</t>
  </si>
  <si>
    <t>Peuplier Taro</t>
  </si>
  <si>
    <t>Peuplier Trichobel</t>
  </si>
  <si>
    <t>Peuplier Triplo</t>
  </si>
  <si>
    <t>Peuplier non cultivé</t>
  </si>
  <si>
    <t>Populus sp.</t>
  </si>
  <si>
    <t>Pin d'Alep</t>
  </si>
  <si>
    <t>Pinus halepensis</t>
  </si>
  <si>
    <t>Assimilation au pin maritime</t>
  </si>
  <si>
    <t>Pin cembro</t>
  </si>
  <si>
    <t>Pinus cembra</t>
  </si>
  <si>
    <t>Pin à crochets</t>
  </si>
  <si>
    <t>Pinus uncinata</t>
  </si>
  <si>
    <t>Pin laricio</t>
  </si>
  <si>
    <t>Pinus laricio</t>
  </si>
  <si>
    <t>Pin maritime</t>
  </si>
  <si>
    <t>Pinus pinaster</t>
  </si>
  <si>
    <t>Pin mugho</t>
  </si>
  <si>
    <t>Pinus mugo</t>
  </si>
  <si>
    <t>Pin noir d'Autriche</t>
  </si>
  <si>
    <t>Pinus nigra</t>
  </si>
  <si>
    <t>Pin pignon</t>
  </si>
  <si>
    <t>Pinus pinea</t>
  </si>
  <si>
    <t>Correia, 2010</t>
  </si>
  <si>
    <t>Pin de Salzmann</t>
  </si>
  <si>
    <t>Pinus nigra subsp. Salzmannii</t>
  </si>
  <si>
    <t>Assimilation à pin noir</t>
  </si>
  <si>
    <t>Pin sylvestre</t>
  </si>
  <si>
    <t>Pinus sylvestris</t>
  </si>
  <si>
    <t>Pin taeda</t>
  </si>
  <si>
    <t>Pinus taeda</t>
  </si>
  <si>
    <t>Assimilation à pin maritime</t>
  </si>
  <si>
    <t>Pin de Weymouth</t>
  </si>
  <si>
    <t>Pinus strobus</t>
  </si>
  <si>
    <t>Platane</t>
  </si>
  <si>
    <t>Platanus sp.</t>
  </si>
  <si>
    <t>Robinia pseudacacia</t>
  </si>
  <si>
    <t>Dire d'expert</t>
  </si>
  <si>
    <t>Sapin méditerranéen</t>
  </si>
  <si>
    <t>Abies sp.</t>
  </si>
  <si>
    <t>Sapin de Nordmann</t>
  </si>
  <si>
    <t>Abies nordmanniana</t>
  </si>
  <si>
    <t>Sapin pectiné</t>
  </si>
  <si>
    <t>Abies alba</t>
  </si>
  <si>
    <t>Sapin de Vancouver</t>
  </si>
  <si>
    <t>Abies grandis</t>
  </si>
  <si>
    <t>Salix sp.</t>
  </si>
  <si>
    <t>Séquoia géant</t>
  </si>
  <si>
    <t>Sequoiadendron giganteum</t>
  </si>
  <si>
    <t>FCBA, 2013</t>
  </si>
  <si>
    <t>Séquoia toujours vert</t>
  </si>
  <si>
    <t>Sequoia sempervirens</t>
  </si>
  <si>
    <t>Thuya géant</t>
  </si>
  <si>
    <t>Thuja plicata</t>
  </si>
  <si>
    <t>Tilleul</t>
  </si>
  <si>
    <t>Tilia sp.</t>
  </si>
  <si>
    <t>Tremble</t>
  </si>
  <si>
    <t>Populus tremula</t>
  </si>
  <si>
    <t>Assimilation au peuplier</t>
  </si>
  <si>
    <t>Tulipier de Virginie</t>
  </si>
  <si>
    <t>Liriodendron tulipifera</t>
  </si>
  <si>
    <t>Xinhao Feng et al., 2021</t>
  </si>
  <si>
    <t>Conifères (moyenne)</t>
  </si>
  <si>
    <t>Feuillus (moyenne)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</si>
  <si>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</si>
  <si>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t>Essences</t>
  </si>
  <si>
    <t>Surface 
(ha)</t>
  </si>
  <si>
    <t>Stock biomasse 
(tCO₂/ha)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</si>
  <si>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</si>
  <si>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</si>
  <si>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</si>
  <si>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</si>
  <si>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</si>
  <si>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</si>
  <si>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</si>
  <si>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</si>
  <si>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</si>
  <si>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Seules les cellules en jaune doivent être remplies</t>
  </si>
  <si>
    <t>Taux d'actualisation</t>
  </si>
  <si>
    <t>VAN TOTALE</t>
  </si>
  <si>
    <t xml:space="preserve">Remplir pour les essences concernées par le projet, les recettes et les coûts du projets imputables aux essences, </t>
  </si>
  <si>
    <t xml:space="preserve">Remplir pour les essences concernées par le projet, les recettes et les coûts du projets non imputables </t>
  </si>
  <si>
    <t>VAN (€/ha)</t>
  </si>
  <si>
    <t>Surface (ha)</t>
  </si>
  <si>
    <t>VAN (€)</t>
  </si>
  <si>
    <t>pour les différentes années.</t>
  </si>
  <si>
    <t>aux essences, pour les différentes années.</t>
  </si>
  <si>
    <t>NB : coûts imputables à l'essence = achats des plants, opération de plantation, éclaircies, etc.</t>
  </si>
  <si>
    <t>NB : coûts non imputables aux essences = préparation de la parcelle, protections, assurance, etc.</t>
  </si>
  <si>
    <t>Si scénarios 2, 3, 4 ou 5, remplir les cases jaunes</t>
  </si>
  <si>
    <t>Aide publique (€/ha)</t>
  </si>
  <si>
    <t>NB : Indiquer le numéro de l'année à partir du début du projet et non l'année réelle (ex: année 1 et non année 2022)</t>
  </si>
  <si>
    <t>Volume bois fort prélevé (m³/ha)</t>
  </si>
  <si>
    <t>Prix unitaire (€/m³)</t>
  </si>
  <si>
    <t>Recettes</t>
  </si>
  <si>
    <t>Coûts (€/ha)</t>
  </si>
  <si>
    <t>Âge de récolte des accrus</t>
  </si>
  <si>
    <t>Volume (m³/ha)</t>
  </si>
  <si>
    <t>Coût du boisement/reboisement (€/ha)</t>
  </si>
  <si>
    <t>Recettes (€/ha)</t>
  </si>
  <si>
    <t>Si scénario 1, remplir la case jaune</t>
  </si>
  <si>
    <t>VAN scénario de projet</t>
  </si>
  <si>
    <t>VAN scénario de référence</t>
  </si>
  <si>
    <t>Recettes nettes déclarées par le Porteur de projet (€/ha)</t>
  </si>
  <si>
    <t>ΔVAN</t>
  </si>
  <si>
    <t>Par défaut le calcul économique des recettes nettes du Porteur de projet sera établi sur la durée de révolution la plus courte parmi les essences de projet</t>
  </si>
  <si>
    <t>Additionnalité économique</t>
  </si>
  <si>
    <t>Reprendre les valeurs du tableau dans le Document descriptif de projet</t>
  </si>
  <si>
    <t>VAN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</si>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</sst>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4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4.5603227029592857</c:v>
                </c:pt>
                <c:pt idx="2">
                  <c:v>9.0132952331201093</c:v>
                </c:pt>
                <c:pt idx="3">
                  <c:v>17.838817144878906</c:v>
                </c:pt>
                <c:pt idx="4">
                  <c:v>35.352605371028027</c:v>
                </c:pt>
                <c:pt idx="5">
                  <c:v>70.149974013263474</c:v>
                </c:pt>
                <c:pt idx="6">
                  <c:v>86.557695432218452</c:v>
                </c:pt>
                <c:pt idx="7">
                  <c:v>114.79386073387418</c:v>
                </c:pt>
                <c:pt idx="8">
                  <c:v>142.85889776559074</c:v>
                </c:pt>
                <c:pt idx="9">
                  <c:v>170.79137460696464</c:v>
                </c:pt>
                <c:pt idx="10">
                  <c:v>198.61608801133966</c:v>
                </c:pt>
                <c:pt idx="11">
                  <c:v>170.79137460696464</c:v>
                </c:pt>
                <c:pt idx="12">
                  <c:v>197.83360065109466</c:v>
                </c:pt>
                <c:pt idx="13">
                  <c:v>224.78996180947172</c:v>
                </c:pt>
                <c:pt idx="14">
                  <c:v>251.67220666437959</c:v>
                </c:pt>
                <c:pt idx="15">
                  <c:v>278.48936400091264</c:v>
                </c:pt>
                <c:pt idx="16">
                  <c:v>258.28507230454863</c:v>
                </c:pt>
                <c:pt idx="17">
                  <c:v>282.75904421972086</c:v>
                </c:pt>
                <c:pt idx="18">
                  <c:v>307.18556432776853</c:v>
                </c:pt>
                <c:pt idx="19">
                  <c:v>331.56893409573678</c:v>
                </c:pt>
                <c:pt idx="20">
                  <c:v>355.91277070439497</c:v>
                </c:pt>
                <c:pt idx="21">
                  <c:v>339.68777684695175</c:v>
                </c:pt>
                <c:pt idx="22">
                  <c:v>360.15946409007734</c:v>
                </c:pt>
                <c:pt idx="23">
                  <c:v>380.60570876556659</c:v>
                </c:pt>
                <c:pt idx="24">
                  <c:v>401.02806913443993</c:v>
                </c:pt>
                <c:pt idx="25">
                  <c:v>421.42793186976087</c:v>
                </c:pt>
                <c:pt idx="26">
                  <c:v>411.03827995947967</c:v>
                </c:pt>
                <c:pt idx="27">
                  <c:v>427.58215058986383</c:v>
                </c:pt>
                <c:pt idx="28">
                  <c:v>444.11226191866245</c:v>
                </c:pt>
                <c:pt idx="29">
                  <c:v>460.62919798538456</c:v>
                </c:pt>
                <c:pt idx="30">
                  <c:v>477.13349754486757</c:v>
                </c:pt>
                <c:pt idx="31">
                  <c:v>469.45861841140703</c:v>
                </c:pt>
                <c:pt idx="32">
                  <c:v>482.88793138454997</c:v>
                </c:pt>
                <c:pt idx="33">
                  <c:v>496.30931275327686</c:v>
                </c:pt>
                <c:pt idx="34">
                  <c:v>509.72300718239154</c:v>
                </c:pt>
                <c:pt idx="35">
                  <c:v>523.12924541243797</c:v>
                </c:pt>
                <c:pt idx="36">
                  <c:v>517.76763064124964</c:v>
                </c:pt>
                <c:pt idx="37">
                  <c:v>529.63822214325558</c:v>
                </c:pt>
                <c:pt idx="38">
                  <c:v>541.50321514451991</c:v>
                </c:pt>
                <c:pt idx="39">
                  <c:v>553.36274958383808</c:v>
                </c:pt>
                <c:pt idx="40">
                  <c:v>565.21695891368051</c:v>
                </c:pt>
                <c:pt idx="41">
                  <c:v>563.30534449457014</c:v>
                </c:pt>
                <c:pt idx="42">
                  <c:v>574.77301329675186</c:v>
                </c:pt>
                <c:pt idx="43">
                  <c:v>586.23590668718793</c:v>
                </c:pt>
                <c:pt idx="44">
                  <c:v>597.69413118158775</c:v>
                </c:pt>
                <c:pt idx="45">
                  <c:v>609.1477888796602</c:v>
                </c:pt>
                <c:pt idx="46">
                  <c:v>595.78474694239264</c:v>
                </c:pt>
                <c:pt idx="47">
                  <c:v>595.78474694239264</c:v>
                </c:pt>
                <c:pt idx="48">
                  <c:v>595.78474694239264</c:v>
                </c:pt>
                <c:pt idx="49">
                  <c:v>595.78474694239264</c:v>
                </c:pt>
                <c:pt idx="50">
                  <c:v>595.78474694239264</c:v>
                </c:pt>
                <c:pt idx="51">
                  <c:v>595.78474694239264</c:v>
                </c:pt>
                <c:pt idx="52">
                  <c:v>595.78474694239264</c:v>
                </c:pt>
                <c:pt idx="53">
                  <c:v>595.78474694239264</c:v>
                </c:pt>
                <c:pt idx="54">
                  <c:v>595.78474694239264</c:v>
                </c:pt>
                <c:pt idx="55">
                  <c:v>595.78474694239264</c:v>
                </c:pt>
                <c:pt idx="56">
                  <c:v>595.78474694239264</c:v>
                </c:pt>
                <c:pt idx="57">
                  <c:v>595.78474694239264</c:v>
                </c:pt>
                <c:pt idx="58">
                  <c:v>595.78474694239264</c:v>
                </c:pt>
                <c:pt idx="59">
                  <c:v>595.78474694239264</c:v>
                </c:pt>
                <c:pt idx="60">
                  <c:v>595.78474694239264</c:v>
                </c:pt>
                <c:pt idx="61">
                  <c:v>595.78474694239264</c:v>
                </c:pt>
                <c:pt idx="62">
                  <c:v>595.78474694239264</c:v>
                </c:pt>
                <c:pt idx="63">
                  <c:v>595.78474694239264</c:v>
                </c:pt>
                <c:pt idx="64">
                  <c:v>595.78474694239264</c:v>
                </c:pt>
                <c:pt idx="65">
                  <c:v>595.78474694239264</c:v>
                </c:pt>
                <c:pt idx="66">
                  <c:v>595.78474694239264</c:v>
                </c:pt>
                <c:pt idx="67">
                  <c:v>595.78474694239264</c:v>
                </c:pt>
                <c:pt idx="68">
                  <c:v>595.78474694239264</c:v>
                </c:pt>
                <c:pt idx="69">
                  <c:v>595.78474694239264</c:v>
                </c:pt>
                <c:pt idx="70">
                  <c:v>595.78474694239264</c:v>
                </c:pt>
                <c:pt idx="71">
                  <c:v>595.78474694239264</c:v>
                </c:pt>
                <c:pt idx="72">
                  <c:v>595.78474694239264</c:v>
                </c:pt>
                <c:pt idx="73">
                  <c:v>595.78474694239264</c:v>
                </c:pt>
                <c:pt idx="74">
                  <c:v>595.78474694239264</c:v>
                </c:pt>
                <c:pt idx="75">
                  <c:v>595.78474694239264</c:v>
                </c:pt>
                <c:pt idx="76">
                  <c:v>595.78474694239264</c:v>
                </c:pt>
                <c:pt idx="77">
                  <c:v>595.78474694239264</c:v>
                </c:pt>
                <c:pt idx="78">
                  <c:v>595.78474694239264</c:v>
                </c:pt>
                <c:pt idx="79">
                  <c:v>595.78474694239264</c:v>
                </c:pt>
                <c:pt idx="80">
                  <c:v>595.78474694239264</c:v>
                </c:pt>
                <c:pt idx="81">
                  <c:v>595.78474694239264</c:v>
                </c:pt>
                <c:pt idx="82">
                  <c:v>595.78474694239264</c:v>
                </c:pt>
                <c:pt idx="83">
                  <c:v>595.78474694239264</c:v>
                </c:pt>
                <c:pt idx="84">
                  <c:v>595.78474694239264</c:v>
                </c:pt>
                <c:pt idx="85">
                  <c:v>595.78474694239264</c:v>
                </c:pt>
                <c:pt idx="86">
                  <c:v>595.78474694239264</c:v>
                </c:pt>
                <c:pt idx="87">
                  <c:v>595.78474694239264</c:v>
                </c:pt>
                <c:pt idx="88">
                  <c:v>595.78474694239264</c:v>
                </c:pt>
                <c:pt idx="89">
                  <c:v>595.78474694239264</c:v>
                </c:pt>
                <c:pt idx="90">
                  <c:v>595.78474694239264</c:v>
                </c:pt>
                <c:pt idx="91">
                  <c:v>595.78474694239264</c:v>
                </c:pt>
                <c:pt idx="92">
                  <c:v>595.78474694239264</c:v>
                </c:pt>
                <c:pt idx="93">
                  <c:v>595.78474694239264</c:v>
                </c:pt>
                <c:pt idx="94">
                  <c:v>595.78474694239264</c:v>
                </c:pt>
                <c:pt idx="95">
                  <c:v>595.78474694239264</c:v>
                </c:pt>
                <c:pt idx="96">
                  <c:v>595.78474694239264</c:v>
                </c:pt>
                <c:pt idx="97">
                  <c:v>595.78474694239264</c:v>
                </c:pt>
                <c:pt idx="98">
                  <c:v>595.78474694239264</c:v>
                </c:pt>
                <c:pt idx="99">
                  <c:v>595.78474694239264</c:v>
                </c:pt>
                <c:pt idx="100">
                  <c:v>595.78474694239264</c:v>
                </c:pt>
                <c:pt idx="101">
                  <c:v>595.78474694239264</c:v>
                </c:pt>
                <c:pt idx="102">
                  <c:v>595.78474694239264</c:v>
                </c:pt>
                <c:pt idx="103">
                  <c:v>595.78474694239264</c:v>
                </c:pt>
                <c:pt idx="104">
                  <c:v>595.78474694239264</c:v>
                </c:pt>
                <c:pt idx="105">
                  <c:v>595.78474694239264</c:v>
                </c:pt>
                <c:pt idx="106">
                  <c:v>595.78474694239264</c:v>
                </c:pt>
                <c:pt idx="107">
                  <c:v>595.78474694239264</c:v>
                </c:pt>
                <c:pt idx="108">
                  <c:v>595.78474694239264</c:v>
                </c:pt>
                <c:pt idx="109">
                  <c:v>595.78474694239264</c:v>
                </c:pt>
                <c:pt idx="110">
                  <c:v>595.78474694239264</c:v>
                </c:pt>
                <c:pt idx="111">
                  <c:v>595.78474694239264</c:v>
                </c:pt>
                <c:pt idx="112">
                  <c:v>595.78474694239264</c:v>
                </c:pt>
                <c:pt idx="113">
                  <c:v>595.78474694239264</c:v>
                </c:pt>
                <c:pt idx="114">
                  <c:v>595.78474694239264</c:v>
                </c:pt>
                <c:pt idx="115">
                  <c:v>595.78474694239264</c:v>
                </c:pt>
                <c:pt idx="116">
                  <c:v>595.78474694239264</c:v>
                </c:pt>
                <c:pt idx="117">
                  <c:v>595.78474694239264</c:v>
                </c:pt>
                <c:pt idx="118">
                  <c:v>595.78474694239264</c:v>
                </c:pt>
                <c:pt idx="119">
                  <c:v>595.78474694239264</c:v>
                </c:pt>
                <c:pt idx="120">
                  <c:v>595.78474694239264</c:v>
                </c:pt>
                <c:pt idx="121">
                  <c:v>595.78474694239264</c:v>
                </c:pt>
                <c:pt idx="122">
                  <c:v>595.78474694239264</c:v>
                </c:pt>
                <c:pt idx="123">
                  <c:v>595.78474694239264</c:v>
                </c:pt>
                <c:pt idx="124">
                  <c:v>595.78474694239264</c:v>
                </c:pt>
                <c:pt idx="125">
                  <c:v>595.78474694239264</c:v>
                </c:pt>
                <c:pt idx="126">
                  <c:v>595.78474694239264</c:v>
                </c:pt>
                <c:pt idx="127">
                  <c:v>595.78474694239264</c:v>
                </c:pt>
                <c:pt idx="128">
                  <c:v>595.78474694239264</c:v>
                </c:pt>
                <c:pt idx="129">
                  <c:v>595.78474694239264</c:v>
                </c:pt>
                <c:pt idx="130">
                  <c:v>595.78474694239264</c:v>
                </c:pt>
                <c:pt idx="131">
                  <c:v>595.78474694239264</c:v>
                </c:pt>
                <c:pt idx="132">
                  <c:v>595.78474694239264</c:v>
                </c:pt>
                <c:pt idx="133">
                  <c:v>595.78474694239264</c:v>
                </c:pt>
                <c:pt idx="134">
                  <c:v>595.78474694239264</c:v>
                </c:pt>
                <c:pt idx="135">
                  <c:v>595.78474694239264</c:v>
                </c:pt>
                <c:pt idx="136">
                  <c:v>595.78474694239264</c:v>
                </c:pt>
                <c:pt idx="137">
                  <c:v>595.78474694239264</c:v>
                </c:pt>
                <c:pt idx="138">
                  <c:v>595.78474694239264</c:v>
                </c:pt>
                <c:pt idx="139">
                  <c:v>595.78474694239264</c:v>
                </c:pt>
                <c:pt idx="140">
                  <c:v>595.78474694239264</c:v>
                </c:pt>
                <c:pt idx="141">
                  <c:v>595.78474694239264</c:v>
                </c:pt>
                <c:pt idx="142">
                  <c:v>595.78474694239264</c:v>
                </c:pt>
                <c:pt idx="143">
                  <c:v>595.78474694239264</c:v>
                </c:pt>
                <c:pt idx="144">
                  <c:v>595.78474694239264</c:v>
                </c:pt>
                <c:pt idx="145">
                  <c:v>595.78474694239264</c:v>
                </c:pt>
                <c:pt idx="146">
                  <c:v>595.78474694239264</c:v>
                </c:pt>
                <c:pt idx="147">
                  <c:v>595.78474694239264</c:v>
                </c:pt>
                <c:pt idx="148">
                  <c:v>595.78474694239264</c:v>
                </c:pt>
                <c:pt idx="149">
                  <c:v>595.78474694239264</c:v>
                </c:pt>
                <c:pt idx="150">
                  <c:v>595.78474694239264</c:v>
                </c:pt>
                <c:pt idx="151">
                  <c:v>595.78474694239264</c:v>
                </c:pt>
                <c:pt idx="152">
                  <c:v>595.78474694239264</c:v>
                </c:pt>
                <c:pt idx="153">
                  <c:v>595.78474694239264</c:v>
                </c:pt>
                <c:pt idx="154">
                  <c:v>595.78474694239264</c:v>
                </c:pt>
                <c:pt idx="155">
                  <c:v>595.78474694239264</c:v>
                </c:pt>
                <c:pt idx="156">
                  <c:v>595.78474694239264</c:v>
                </c:pt>
                <c:pt idx="157">
                  <c:v>595.78474694239264</c:v>
                </c:pt>
                <c:pt idx="158">
                  <c:v>595.78474694239264</c:v>
                </c:pt>
                <c:pt idx="159">
                  <c:v>595.78474694239264</c:v>
                </c:pt>
                <c:pt idx="160">
                  <c:v>595.78474694239264</c:v>
                </c:pt>
                <c:pt idx="161">
                  <c:v>595.78474694239264</c:v>
                </c:pt>
                <c:pt idx="162">
                  <c:v>595.78474694239264</c:v>
                </c:pt>
                <c:pt idx="163">
                  <c:v>595.78474694239264</c:v>
                </c:pt>
                <c:pt idx="164">
                  <c:v>595.78474694239264</c:v>
                </c:pt>
                <c:pt idx="165">
                  <c:v>595.78474694239264</c:v>
                </c:pt>
                <c:pt idx="166">
                  <c:v>595.78474694239264</c:v>
                </c:pt>
                <c:pt idx="167">
                  <c:v>595.78474694239264</c:v>
                </c:pt>
                <c:pt idx="168">
                  <c:v>595.78474694239264</c:v>
                </c:pt>
                <c:pt idx="169">
                  <c:v>595.78474694239264</c:v>
                </c:pt>
                <c:pt idx="170">
                  <c:v>595.78474694239264</c:v>
                </c:pt>
                <c:pt idx="171">
                  <c:v>595.78474694239264</c:v>
                </c:pt>
                <c:pt idx="172">
                  <c:v>595.78474694239264</c:v>
                </c:pt>
                <c:pt idx="173">
                  <c:v>595.78474694239264</c:v>
                </c:pt>
                <c:pt idx="174">
                  <c:v>595.78474694239264</c:v>
                </c:pt>
                <c:pt idx="175">
                  <c:v>595.78474694239264</c:v>
                </c:pt>
                <c:pt idx="176">
                  <c:v>595.78474694239264</c:v>
                </c:pt>
                <c:pt idx="177">
                  <c:v>595.78474694239264</c:v>
                </c:pt>
                <c:pt idx="178">
                  <c:v>595.78474694239264</c:v>
                </c:pt>
                <c:pt idx="179">
                  <c:v>595.78474694239264</c:v>
                </c:pt>
                <c:pt idx="180">
                  <c:v>595.78474694239264</c:v>
                </c:pt>
                <c:pt idx="181">
                  <c:v>595.78474694239264</c:v>
                </c:pt>
                <c:pt idx="182">
                  <c:v>595.78474694239264</c:v>
                </c:pt>
                <c:pt idx="183">
                  <c:v>595.78474694239264</c:v>
                </c:pt>
                <c:pt idx="184">
                  <c:v>595.78474694239264</c:v>
                </c:pt>
                <c:pt idx="185">
                  <c:v>595.78474694239264</c:v>
                </c:pt>
                <c:pt idx="186">
                  <c:v>595.78474694239264</c:v>
                </c:pt>
                <c:pt idx="187">
                  <c:v>595.78474694239264</c:v>
                </c:pt>
                <c:pt idx="188">
                  <c:v>595.78474694239264</c:v>
                </c:pt>
                <c:pt idx="189">
                  <c:v>595.78474694239264</c:v>
                </c:pt>
                <c:pt idx="190">
                  <c:v>595.78474694239264</c:v>
                </c:pt>
                <c:pt idx="191">
                  <c:v>595.78474694239264</c:v>
                </c:pt>
                <c:pt idx="192">
                  <c:v>595.78474694239264</c:v>
                </c:pt>
                <c:pt idx="193">
                  <c:v>595.78474694239264</c:v>
                </c:pt>
                <c:pt idx="194">
                  <c:v>595.78474694239264</c:v>
                </c:pt>
                <c:pt idx="195">
                  <c:v>595.78474694239264</c:v>
                </c:pt>
                <c:pt idx="196">
                  <c:v>595.78474694239264</c:v>
                </c:pt>
                <c:pt idx="197">
                  <c:v>595.78474694239264</c:v>
                </c:pt>
                <c:pt idx="198">
                  <c:v>595.78474694239264</c:v>
                </c:pt>
                <c:pt idx="199">
                  <c:v>595.78474694239264</c:v>
                </c:pt>
                <c:pt idx="200">
                  <c:v>595.78474694239264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2.1331506950396717</c:v>
                </c:pt>
                <c:pt idx="2">
                  <c:v>2.6873085043373757</c:v>
                </c:pt>
                <c:pt idx="3">
                  <c:v>3.3859956732303242</c:v>
                </c:pt>
                <c:pt idx="4">
                  <c:v>4.2670466336791462</c:v>
                </c:pt>
                <c:pt idx="5">
                  <c:v>5.3782342902694369</c:v>
                </c:pt>
                <c:pt idx="6">
                  <c:v>6.7798890692470613</c:v>
                </c:pt>
                <c:pt idx="7">
                  <c:v>8.5482101956432839</c:v>
                </c:pt>
                <c:pt idx="8">
                  <c:v>10.779452652918643</c:v>
                </c:pt>
                <c:pt idx="9">
                  <c:v>13.59522201845288</c:v>
                </c:pt>
                <c:pt idx="10">
                  <c:v>17.149171084619187</c:v>
                </c:pt>
                <c:pt idx="11">
                  <c:v>33.289354974370632</c:v>
                </c:pt>
                <c:pt idx="12">
                  <c:v>49.205665893571926</c:v>
                </c:pt>
                <c:pt idx="13">
                  <c:v>64.983393960011185</c:v>
                </c:pt>
                <c:pt idx="14">
                  <c:v>80.661435952614355</c:v>
                </c:pt>
                <c:pt idx="15">
                  <c:v>96.262045139603686</c:v>
                </c:pt>
                <c:pt idx="16">
                  <c:v>69.928557673965017</c:v>
                </c:pt>
                <c:pt idx="17">
                  <c:v>89.914543654715828</c:v>
                </c:pt>
                <c:pt idx="18">
                  <c:v>109.78863954070181</c:v>
                </c:pt>
                <c:pt idx="19">
                  <c:v>129.57406398795285</c:v>
                </c:pt>
                <c:pt idx="20">
                  <c:v>149.28630357695829</c:v>
                </c:pt>
                <c:pt idx="21">
                  <c:v>120.40812454265038</c:v>
                </c:pt>
                <c:pt idx="22">
                  <c:v>141.58075430337473</c:v>
                </c:pt>
                <c:pt idx="23">
                  <c:v>162.67735290343725</c:v>
                </c:pt>
                <c:pt idx="24">
                  <c:v>183.70918168109486</c:v>
                </c:pt>
                <c:pt idx="25">
                  <c:v>204.68470429512652</c:v>
                </c:pt>
                <c:pt idx="26">
                  <c:v>175.18997878840631</c:v>
                </c:pt>
                <c:pt idx="27">
                  <c:v>195.33725403815257</c:v>
                </c:pt>
                <c:pt idx="28">
                  <c:v>215.43623857870276</c:v>
                </c:pt>
                <c:pt idx="29">
                  <c:v>235.49207202192679</c:v>
                </c:pt>
                <c:pt idx="30">
                  <c:v>255.50894611772119</c:v>
                </c:pt>
                <c:pt idx="31">
                  <c:v>224.19805253054756</c:v>
                </c:pt>
                <c:pt idx="32">
                  <c:v>242.26251159741642</c:v>
                </c:pt>
                <c:pt idx="33">
                  <c:v>260.29633594452861</c:v>
                </c:pt>
                <c:pt idx="34">
                  <c:v>278.301946435746</c:v>
                </c:pt>
                <c:pt idx="35">
                  <c:v>296.28142501216269</c:v>
                </c:pt>
                <c:pt idx="36">
                  <c:v>263.11151589765069</c:v>
                </c:pt>
                <c:pt idx="37">
                  <c:v>279.14530320025654</c:v>
                </c:pt>
                <c:pt idx="38">
                  <c:v>295.1584377506797</c:v>
                </c:pt>
                <c:pt idx="39">
                  <c:v>311.15219769628214</c:v>
                </c:pt>
                <c:pt idx="40">
                  <c:v>327.1277190437109</c:v>
                </c:pt>
                <c:pt idx="41">
                  <c:v>291.78890217004903</c:v>
                </c:pt>
                <c:pt idx="42">
                  <c:v>305.54248465313009</c:v>
                </c:pt>
                <c:pt idx="43">
                  <c:v>319.28230720978155</c:v>
                </c:pt>
                <c:pt idx="44">
                  <c:v>333.00904545770453</c:v>
                </c:pt>
                <c:pt idx="45">
                  <c:v>346.72331475971595</c:v>
                </c:pt>
                <c:pt idx="46">
                  <c:v>325.16676002004442</c:v>
                </c:pt>
                <c:pt idx="47">
                  <c:v>337.20858844808726</c:v>
                </c:pt>
                <c:pt idx="48">
                  <c:v>349.24095205485236</c:v>
                </c:pt>
                <c:pt idx="49">
                  <c:v>361.26422296534025</c:v>
                </c:pt>
                <c:pt idx="50">
                  <c:v>373.27874650728057</c:v>
                </c:pt>
                <c:pt idx="51">
                  <c:v>357.07106927741569</c:v>
                </c:pt>
                <c:pt idx="52">
                  <c:v>367.41226056988808</c:v>
                </c:pt>
                <c:pt idx="53">
                  <c:v>377.74709948417603</c:v>
                </c:pt>
                <c:pt idx="54">
                  <c:v>388.07578438405852</c:v>
                </c:pt>
                <c:pt idx="55">
                  <c:v>398.39850220884642</c:v>
                </c:pt>
                <c:pt idx="56">
                  <c:v>384.7266032604951</c:v>
                </c:pt>
                <c:pt idx="57">
                  <c:v>393.37737346788646</c:v>
                </c:pt>
                <c:pt idx="58">
                  <c:v>402.02401961743959</c:v>
                </c:pt>
                <c:pt idx="59">
                  <c:v>410.66664296453746</c:v>
                </c:pt>
                <c:pt idx="60">
                  <c:v>419.30534015273264</c:v>
                </c:pt>
                <c:pt idx="61">
                  <c:v>407.04280051298906</c:v>
                </c:pt>
                <c:pt idx="62">
                  <c:v>414.28979501974953</c:v>
                </c:pt>
                <c:pt idx="63">
                  <c:v>421.53405540097515</c:v>
                </c:pt>
                <c:pt idx="64">
                  <c:v>428.77563530272056</c:v>
                </c:pt>
                <c:pt idx="65">
                  <c:v>436.01458640998993</c:v>
                </c:pt>
                <c:pt idx="66">
                  <c:v>424.3195927914519</c:v>
                </c:pt>
                <c:pt idx="67">
                  <c:v>430.72484017315429</c:v>
                </c:pt>
                <c:pt idx="68">
                  <c:v>437.12804107015182</c:v>
                </c:pt>
                <c:pt idx="69">
                  <c:v>443.5292297106912</c:v>
                </c:pt>
                <c:pt idx="70">
                  <c:v>449.92843925372921</c:v>
                </c:pt>
                <c:pt idx="71">
                  <c:v>437.68474556682258</c:v>
                </c:pt>
                <c:pt idx="72">
                  <c:v>443.5292297106912</c:v>
                </c:pt>
                <c:pt idx="73">
                  <c:v>449.37206399490168</c:v>
                </c:pt>
                <c:pt idx="74">
                  <c:v>455.21327291395437</c:v>
                </c:pt>
                <c:pt idx="75">
                  <c:v>461.05288028198464</c:v>
                </c:pt>
                <c:pt idx="76">
                  <c:v>449.37206399490168</c:v>
                </c:pt>
                <c:pt idx="77">
                  <c:v>454.37891309932866</c:v>
                </c:pt>
                <c:pt idx="78">
                  <c:v>459.38458309507376</c:v>
                </c:pt>
                <c:pt idx="79">
                  <c:v>464.38908865378454</c:v>
                </c:pt>
                <c:pt idx="80">
                  <c:v>469.39244410483212</c:v>
                </c:pt>
                <c:pt idx="81">
                  <c:v>454.10078588624373</c:v>
                </c:pt>
                <c:pt idx="82">
                  <c:v>454.10078588624373</c:v>
                </c:pt>
                <c:pt idx="83">
                  <c:v>454.10078588624373</c:v>
                </c:pt>
                <c:pt idx="84">
                  <c:v>454.10078588624373</c:v>
                </c:pt>
                <c:pt idx="85">
                  <c:v>454.10078588624373</c:v>
                </c:pt>
                <c:pt idx="86">
                  <c:v>454.10078588624373</c:v>
                </c:pt>
                <c:pt idx="87">
                  <c:v>454.10078588624373</c:v>
                </c:pt>
                <c:pt idx="88">
                  <c:v>454.10078588624373</c:v>
                </c:pt>
                <c:pt idx="89">
                  <c:v>454.10078588624373</c:v>
                </c:pt>
                <c:pt idx="90">
                  <c:v>454.10078588624373</c:v>
                </c:pt>
                <c:pt idx="91">
                  <c:v>454.10078588624373</c:v>
                </c:pt>
                <c:pt idx="92">
                  <c:v>454.10078588624373</c:v>
                </c:pt>
                <c:pt idx="93">
                  <c:v>454.10078588624373</c:v>
                </c:pt>
                <c:pt idx="94">
                  <c:v>454.10078588624373</c:v>
                </c:pt>
                <c:pt idx="95">
                  <c:v>454.10078588624373</c:v>
                </c:pt>
                <c:pt idx="96">
                  <c:v>454.10078588624373</c:v>
                </c:pt>
                <c:pt idx="97">
                  <c:v>454.10078588624373</c:v>
                </c:pt>
                <c:pt idx="98">
                  <c:v>454.10078588624373</c:v>
                </c:pt>
                <c:pt idx="99">
                  <c:v>454.10078588624373</c:v>
                </c:pt>
                <c:pt idx="100">
                  <c:v>454.10078588624373</c:v>
                </c:pt>
                <c:pt idx="101">
                  <c:v>454.10078588624373</c:v>
                </c:pt>
                <c:pt idx="102">
                  <c:v>454.10078588624373</c:v>
                </c:pt>
                <c:pt idx="103">
                  <c:v>454.10078588624373</c:v>
                </c:pt>
                <c:pt idx="104">
                  <c:v>454.10078588624373</c:v>
                </c:pt>
                <c:pt idx="105">
                  <c:v>454.10078588624373</c:v>
                </c:pt>
                <c:pt idx="106">
                  <c:v>454.10078588624373</c:v>
                </c:pt>
                <c:pt idx="107">
                  <c:v>454.10078588624373</c:v>
                </c:pt>
                <c:pt idx="108">
                  <c:v>454.10078588624373</c:v>
                </c:pt>
                <c:pt idx="109">
                  <c:v>454.10078588624373</c:v>
                </c:pt>
                <c:pt idx="110">
                  <c:v>454.10078588624373</c:v>
                </c:pt>
                <c:pt idx="111">
                  <c:v>454.10078588624373</c:v>
                </c:pt>
                <c:pt idx="112">
                  <c:v>454.10078588624373</c:v>
                </c:pt>
                <c:pt idx="113">
                  <c:v>454.10078588624373</c:v>
                </c:pt>
                <c:pt idx="114">
                  <c:v>454.10078588624373</c:v>
                </c:pt>
                <c:pt idx="115">
                  <c:v>454.10078588624373</c:v>
                </c:pt>
                <c:pt idx="116">
                  <c:v>454.10078588624373</c:v>
                </c:pt>
                <c:pt idx="117">
                  <c:v>454.10078588624373</c:v>
                </c:pt>
                <c:pt idx="118">
                  <c:v>454.10078588624373</c:v>
                </c:pt>
                <c:pt idx="119">
                  <c:v>454.10078588624373</c:v>
                </c:pt>
                <c:pt idx="120">
                  <c:v>454.10078588624373</c:v>
                </c:pt>
                <c:pt idx="121">
                  <c:v>454.10078588624373</c:v>
                </c:pt>
                <c:pt idx="122">
                  <c:v>454.10078588624373</c:v>
                </c:pt>
                <c:pt idx="123">
                  <c:v>454.10078588624373</c:v>
                </c:pt>
                <c:pt idx="124">
                  <c:v>454.10078588624373</c:v>
                </c:pt>
                <c:pt idx="125">
                  <c:v>454.10078588624373</c:v>
                </c:pt>
                <c:pt idx="126">
                  <c:v>454.10078588624373</c:v>
                </c:pt>
                <c:pt idx="127">
                  <c:v>454.10078588624373</c:v>
                </c:pt>
                <c:pt idx="128">
                  <c:v>454.10078588624373</c:v>
                </c:pt>
                <c:pt idx="129">
                  <c:v>454.10078588624373</c:v>
                </c:pt>
                <c:pt idx="130">
                  <c:v>454.10078588624373</c:v>
                </c:pt>
                <c:pt idx="131">
                  <c:v>454.10078588624373</c:v>
                </c:pt>
                <c:pt idx="132">
                  <c:v>454.10078588624373</c:v>
                </c:pt>
                <c:pt idx="133">
                  <c:v>454.10078588624373</c:v>
                </c:pt>
                <c:pt idx="134">
                  <c:v>454.10078588624373</c:v>
                </c:pt>
                <c:pt idx="135">
                  <c:v>454.10078588624373</c:v>
                </c:pt>
                <c:pt idx="136">
                  <c:v>454.10078588624373</c:v>
                </c:pt>
                <c:pt idx="137">
                  <c:v>454.10078588624373</c:v>
                </c:pt>
                <c:pt idx="138">
                  <c:v>454.10078588624373</c:v>
                </c:pt>
                <c:pt idx="139">
                  <c:v>454.10078588624373</c:v>
                </c:pt>
                <c:pt idx="140">
                  <c:v>454.10078588624373</c:v>
                </c:pt>
                <c:pt idx="141">
                  <c:v>454.10078588624373</c:v>
                </c:pt>
                <c:pt idx="142">
                  <c:v>454.10078588624373</c:v>
                </c:pt>
                <c:pt idx="143">
                  <c:v>454.10078588624373</c:v>
                </c:pt>
                <c:pt idx="144">
                  <c:v>454.10078588624373</c:v>
                </c:pt>
                <c:pt idx="145">
                  <c:v>454.10078588624373</c:v>
                </c:pt>
                <c:pt idx="146">
                  <c:v>454.10078588624373</c:v>
                </c:pt>
                <c:pt idx="147">
                  <c:v>454.10078588624373</c:v>
                </c:pt>
                <c:pt idx="148">
                  <c:v>454.10078588624373</c:v>
                </c:pt>
                <c:pt idx="149">
                  <c:v>454.10078588624373</c:v>
                </c:pt>
                <c:pt idx="150">
                  <c:v>454.10078588624373</c:v>
                </c:pt>
                <c:pt idx="151">
                  <c:v>454.10078588624373</c:v>
                </c:pt>
                <c:pt idx="152">
                  <c:v>454.10078588624373</c:v>
                </c:pt>
                <c:pt idx="153">
                  <c:v>454.10078588624373</c:v>
                </c:pt>
                <c:pt idx="154">
                  <c:v>454.10078588624373</c:v>
                </c:pt>
                <c:pt idx="155">
                  <c:v>454.10078588624373</c:v>
                </c:pt>
                <c:pt idx="156">
                  <c:v>454.10078588624373</c:v>
                </c:pt>
                <c:pt idx="157">
                  <c:v>454.10078588624373</c:v>
                </c:pt>
                <c:pt idx="158">
                  <c:v>454.10078588624373</c:v>
                </c:pt>
                <c:pt idx="159">
                  <c:v>454.10078588624373</c:v>
                </c:pt>
                <c:pt idx="160">
                  <c:v>454.10078588624373</c:v>
                </c:pt>
                <c:pt idx="161">
                  <c:v>454.10078588624373</c:v>
                </c:pt>
                <c:pt idx="162">
                  <c:v>454.10078588624373</c:v>
                </c:pt>
                <c:pt idx="163">
                  <c:v>454.10078588624373</c:v>
                </c:pt>
                <c:pt idx="164">
                  <c:v>454.10078588624373</c:v>
                </c:pt>
                <c:pt idx="165">
                  <c:v>454.10078588624373</c:v>
                </c:pt>
                <c:pt idx="166">
                  <c:v>454.10078588624373</c:v>
                </c:pt>
                <c:pt idx="167">
                  <c:v>454.10078588624373</c:v>
                </c:pt>
                <c:pt idx="168">
                  <c:v>454.10078588624373</c:v>
                </c:pt>
                <c:pt idx="169">
                  <c:v>454.10078588624373</c:v>
                </c:pt>
                <c:pt idx="170">
                  <c:v>454.10078588624373</c:v>
                </c:pt>
                <c:pt idx="171">
                  <c:v>454.10078588624373</c:v>
                </c:pt>
                <c:pt idx="172">
                  <c:v>454.10078588624373</c:v>
                </c:pt>
                <c:pt idx="173">
                  <c:v>454.10078588624373</c:v>
                </c:pt>
                <c:pt idx="174">
                  <c:v>454.10078588624373</c:v>
                </c:pt>
                <c:pt idx="175">
                  <c:v>454.10078588624373</c:v>
                </c:pt>
                <c:pt idx="176">
                  <c:v>454.10078588624373</c:v>
                </c:pt>
                <c:pt idx="177">
                  <c:v>454.10078588624373</c:v>
                </c:pt>
                <c:pt idx="178">
                  <c:v>454.10078588624373</c:v>
                </c:pt>
                <c:pt idx="179">
                  <c:v>454.10078588624373</c:v>
                </c:pt>
                <c:pt idx="180">
                  <c:v>454.10078588624373</c:v>
                </c:pt>
                <c:pt idx="181">
                  <c:v>454.10078588624373</c:v>
                </c:pt>
                <c:pt idx="182">
                  <c:v>454.10078588624373</c:v>
                </c:pt>
                <c:pt idx="183">
                  <c:v>454.10078588624373</c:v>
                </c:pt>
                <c:pt idx="184">
                  <c:v>454.10078588624373</c:v>
                </c:pt>
                <c:pt idx="185">
                  <c:v>454.10078588624373</c:v>
                </c:pt>
                <c:pt idx="186">
                  <c:v>454.10078588624373</c:v>
                </c:pt>
                <c:pt idx="187">
                  <c:v>454.10078588624373</c:v>
                </c:pt>
                <c:pt idx="188">
                  <c:v>454.10078588624373</c:v>
                </c:pt>
                <c:pt idx="189">
                  <c:v>454.10078588624373</c:v>
                </c:pt>
                <c:pt idx="190">
                  <c:v>454.10078588624373</c:v>
                </c:pt>
                <c:pt idx="191">
                  <c:v>454.10078588624373</c:v>
                </c:pt>
                <c:pt idx="192">
                  <c:v>454.10078588624373</c:v>
                </c:pt>
                <c:pt idx="193">
                  <c:v>454.10078588624373</c:v>
                </c:pt>
                <c:pt idx="194">
                  <c:v>454.10078588624373</c:v>
                </c:pt>
                <c:pt idx="195">
                  <c:v>454.10078588624373</c:v>
                </c:pt>
                <c:pt idx="196">
                  <c:v>454.10078588624373</c:v>
                </c:pt>
                <c:pt idx="197">
                  <c:v>454.10078588624373</c:v>
                </c:pt>
                <c:pt idx="198">
                  <c:v>454.10078588624373</c:v>
                </c:pt>
                <c:pt idx="199">
                  <c:v>454.10078588624373</c:v>
                </c:pt>
                <c:pt idx="200">
                  <c:v>454.10078588624373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3.6214657258837697</c:v>
                </c:pt>
                <c:pt idx="2">
                  <c:v>5.4096550338152793</c:v>
                </c:pt>
                <c:pt idx="3">
                  <c:v>8.0847556032873023</c:v>
                </c:pt>
                <c:pt idx="4">
                  <c:v>12.088491422917038</c:v>
                </c:pt>
                <c:pt idx="5">
                  <c:v>18.08343160618276</c:v>
                </c:pt>
                <c:pt idx="6">
                  <c:v>27.063793350470267</c:v>
                </c:pt>
                <c:pt idx="7">
                  <c:v>40.522015346074028</c:v>
                </c:pt>
                <c:pt idx="8">
                  <c:v>60.699253880088044</c:v>
                </c:pt>
                <c:pt idx="9">
                  <c:v>90.962201786753099</c:v>
                </c:pt>
                <c:pt idx="10">
                  <c:v>136.370105981189</c:v>
                </c:pt>
                <c:pt idx="11">
                  <c:v>141.76433442146256</c:v>
                </c:pt>
                <c:pt idx="12">
                  <c:v>165.77370401237695</c:v>
                </c:pt>
                <c:pt idx="13">
                  <c:v>189.70086382934844</c:v>
                </c:pt>
                <c:pt idx="14">
                  <c:v>213.55765143811331</c:v>
                </c:pt>
                <c:pt idx="15">
                  <c:v>237.35303637530376</c:v>
                </c:pt>
                <c:pt idx="16">
                  <c:v>227.51363078342158</c:v>
                </c:pt>
                <c:pt idx="17">
                  <c:v>250.45785831674149</c:v>
                </c:pt>
                <c:pt idx="18">
                  <c:v>273.35443055834753</c:v>
                </c:pt>
                <c:pt idx="19">
                  <c:v>296.20789899347506</c:v>
                </c:pt>
                <c:pt idx="20">
                  <c:v>319.02205522459639</c:v>
                </c:pt>
                <c:pt idx="21">
                  <c:v>294.98463359298836</c:v>
                </c:pt>
                <c:pt idx="22">
                  <c:v>315.76516994928437</c:v>
                </c:pt>
                <c:pt idx="23">
                  <c:v>336.51541035034944</c:v>
                </c:pt>
                <c:pt idx="24">
                  <c:v>357.2374847196931</c:v>
                </c:pt>
                <c:pt idx="25">
                  <c:v>377.93325577983614</c:v>
                </c:pt>
                <c:pt idx="26">
                  <c:v>345.86402934729466</c:v>
                </c:pt>
                <c:pt idx="27">
                  <c:v>364.54478915866019</c:v>
                </c:pt>
                <c:pt idx="28">
                  <c:v>383.20464327461076</c:v>
                </c:pt>
                <c:pt idx="29">
                  <c:v>401.84475247496613</c:v>
                </c:pt>
                <c:pt idx="30">
                  <c:v>420.46616110382962</c:v>
                </c:pt>
                <c:pt idx="31">
                  <c:v>383.20464327461076</c:v>
                </c:pt>
                <c:pt idx="32">
                  <c:v>400.62967395850904</c:v>
                </c:pt>
                <c:pt idx="33">
                  <c:v>418.03830795085975</c:v>
                </c:pt>
                <c:pt idx="34">
                  <c:v>435.4313239064254</c:v>
                </c:pt>
                <c:pt idx="35">
                  <c:v>452.80943322358263</c:v>
                </c:pt>
                <c:pt idx="36">
                  <c:v>410.34809118885079</c:v>
                </c:pt>
                <c:pt idx="37">
                  <c:v>426.53447718930789</c:v>
                </c:pt>
                <c:pt idx="38">
                  <c:v>442.70765644555894</c:v>
                </c:pt>
                <c:pt idx="39">
                  <c:v>458.86817919889137</c:v>
                </c:pt>
                <c:pt idx="40">
                  <c:v>475.01655378575651</c:v>
                </c:pt>
                <c:pt idx="41">
                  <c:v>431.79218150168418</c:v>
                </c:pt>
                <c:pt idx="42">
                  <c:v>447.15303963575883</c:v>
                </c:pt>
                <c:pt idx="43">
                  <c:v>462.50260532099202</c:v>
                </c:pt>
                <c:pt idx="44">
                  <c:v>477.84130599529544</c:v>
                </c:pt>
                <c:pt idx="45">
                  <c:v>493.16953942583137</c:v>
                </c:pt>
                <c:pt idx="46">
                  <c:v>447.55711830783866</c:v>
                </c:pt>
                <c:pt idx="47">
                  <c:v>462.50260532099202</c:v>
                </c:pt>
                <c:pt idx="48">
                  <c:v>477.43779176321931</c:v>
                </c:pt>
                <c:pt idx="49">
                  <c:v>492.36304514252515</c:v>
                </c:pt>
                <c:pt idx="50">
                  <c:v>507.27870887599397</c:v>
                </c:pt>
                <c:pt idx="51">
                  <c:v>460.48355527500365</c:v>
                </c:pt>
                <c:pt idx="52">
                  <c:v>474.20941616317072</c:v>
                </c:pt>
                <c:pt idx="53">
                  <c:v>487.92682441914297</c:v>
                </c:pt>
                <c:pt idx="54">
                  <c:v>501.63605110438453</c:v>
                </c:pt>
                <c:pt idx="55">
                  <c:v>515.33735125988119</c:v>
                </c:pt>
                <c:pt idx="56">
                  <c:v>470.1732882650436</c:v>
                </c:pt>
                <c:pt idx="57">
                  <c:v>483.48974744521865</c:v>
                </c:pt>
                <c:pt idx="58">
                  <c:v>496.79841842488554</c:v>
                </c:pt>
                <c:pt idx="59">
                  <c:v>510.09953919582284</c:v>
                </c:pt>
                <c:pt idx="60">
                  <c:v>523.39333432879198</c:v>
                </c:pt>
                <c:pt idx="61">
                  <c:v>477.84130599529561</c:v>
                </c:pt>
                <c:pt idx="62">
                  <c:v>490.74997248101118</c:v>
                </c:pt>
                <c:pt idx="63">
                  <c:v>503.65143938740715</c:v>
                </c:pt>
                <c:pt idx="64">
                  <c:v>516.54591709215583</c:v>
                </c:pt>
                <c:pt idx="65">
                  <c:v>529.43360461515215</c:v>
                </c:pt>
                <c:pt idx="66">
                  <c:v>485.10332961470596</c:v>
                </c:pt>
                <c:pt idx="67">
                  <c:v>497.20159245584955</c:v>
                </c:pt>
                <c:pt idx="68">
                  <c:v>509.29362139720405</c:v>
                </c:pt>
                <c:pt idx="69">
                  <c:v>521.3795852908753</c:v>
                </c:pt>
                <c:pt idx="70">
                  <c:v>533.45964452335909</c:v>
                </c:pt>
                <c:pt idx="71">
                  <c:v>490.74997248101135</c:v>
                </c:pt>
                <c:pt idx="72">
                  <c:v>502.44222694105224</c:v>
                </c:pt>
                <c:pt idx="73">
                  <c:v>514.12872559596747</c:v>
                </c:pt>
                <c:pt idx="74">
                  <c:v>525.80961770763827</c:v>
                </c:pt>
                <c:pt idx="75">
                  <c:v>537.48504536607982</c:v>
                </c:pt>
                <c:pt idx="76">
                  <c:v>494.37922843874412</c:v>
                </c:pt>
                <c:pt idx="77">
                  <c:v>505.66665705814108</c:v>
                </c:pt>
                <c:pt idx="78">
                  <c:v>516.94875910132259</c:v>
                </c:pt>
                <c:pt idx="79">
                  <c:v>528.22566719687291</c:v>
                </c:pt>
                <c:pt idx="80">
                  <c:v>539.49750784907303</c:v>
                </c:pt>
                <c:pt idx="81">
                  <c:v>498.00791974705572</c:v>
                </c:pt>
                <c:pt idx="82">
                  <c:v>508.89065239369819</c:v>
                </c:pt>
                <c:pt idx="83">
                  <c:v>519.76846801482918</c:v>
                </c:pt>
                <c:pt idx="84">
                  <c:v>530.64148401823638</c:v>
                </c:pt>
                <c:pt idx="85">
                  <c:v>541.50981260805463</c:v>
                </c:pt>
                <c:pt idx="86">
                  <c:v>501.63605110438453</c:v>
                </c:pt>
                <c:pt idx="87">
                  <c:v>512.11421609335616</c:v>
                </c:pt>
                <c:pt idx="88">
                  <c:v>522.58785434745243</c:v>
                </c:pt>
                <c:pt idx="89">
                  <c:v>533.05706938142646</c:v>
                </c:pt>
                <c:pt idx="90">
                  <c:v>543.52196031239725</c:v>
                </c:pt>
                <c:pt idx="91">
                  <c:v>504.86059041346783</c:v>
                </c:pt>
                <c:pt idx="92">
                  <c:v>514.53160747513596</c:v>
                </c:pt>
                <c:pt idx="93">
                  <c:v>524.19878818539223</c:v>
                </c:pt>
                <c:pt idx="94">
                  <c:v>533.86221327471117</c:v>
                </c:pt>
                <c:pt idx="95">
                  <c:v>543.52196031239737</c:v>
                </c:pt>
                <c:pt idx="96">
                  <c:v>506.87570609003546</c:v>
                </c:pt>
                <c:pt idx="97">
                  <c:v>516.54591709215595</c:v>
                </c:pt>
                <c:pt idx="98">
                  <c:v>526.21230883170017</c:v>
                </c:pt>
                <c:pt idx="99">
                  <c:v>535.8749613651147</c:v>
                </c:pt>
                <c:pt idx="100">
                  <c:v>545.533951626109</c:v>
                </c:pt>
                <c:pt idx="101">
                  <c:v>510.09953919582307</c:v>
                </c:pt>
                <c:pt idx="102">
                  <c:v>518.96286990060048</c:v>
                </c:pt>
                <c:pt idx="103">
                  <c:v>527.82300847233614</c:v>
                </c:pt>
                <c:pt idx="104">
                  <c:v>536.68001605918778</c:v>
                </c:pt>
                <c:pt idx="105">
                  <c:v>545.53395162610889</c:v>
                </c:pt>
                <c:pt idx="106">
                  <c:v>503.24837540475619</c:v>
                </c:pt>
                <c:pt idx="107">
                  <c:v>503.24837540475619</c:v>
                </c:pt>
                <c:pt idx="108">
                  <c:v>503.24837540475619</c:v>
                </c:pt>
                <c:pt idx="109">
                  <c:v>503.24837540475619</c:v>
                </c:pt>
                <c:pt idx="110">
                  <c:v>503.24837540475619</c:v>
                </c:pt>
                <c:pt idx="111">
                  <c:v>503.24837540475619</c:v>
                </c:pt>
                <c:pt idx="112">
                  <c:v>503.24837540475619</c:v>
                </c:pt>
                <c:pt idx="113">
                  <c:v>503.24837540475619</c:v>
                </c:pt>
                <c:pt idx="114">
                  <c:v>503.24837540475619</c:v>
                </c:pt>
                <c:pt idx="115">
                  <c:v>503.24837540475619</c:v>
                </c:pt>
                <c:pt idx="116">
                  <c:v>503.24837540475619</c:v>
                </c:pt>
                <c:pt idx="117">
                  <c:v>503.24837540475619</c:v>
                </c:pt>
                <c:pt idx="118">
                  <c:v>503.24837540475619</c:v>
                </c:pt>
                <c:pt idx="119">
                  <c:v>503.24837540475619</c:v>
                </c:pt>
                <c:pt idx="120">
                  <c:v>503.24837540475619</c:v>
                </c:pt>
                <c:pt idx="121">
                  <c:v>503.24837540475619</c:v>
                </c:pt>
                <c:pt idx="122">
                  <c:v>503.24837540475619</c:v>
                </c:pt>
                <c:pt idx="123">
                  <c:v>503.24837540475619</c:v>
                </c:pt>
                <c:pt idx="124">
                  <c:v>503.24837540475619</c:v>
                </c:pt>
                <c:pt idx="125">
                  <c:v>503.24837540475619</c:v>
                </c:pt>
                <c:pt idx="126">
                  <c:v>503.24837540475619</c:v>
                </c:pt>
                <c:pt idx="127">
                  <c:v>503.24837540475619</c:v>
                </c:pt>
                <c:pt idx="128">
                  <c:v>503.24837540475619</c:v>
                </c:pt>
                <c:pt idx="129">
                  <c:v>503.24837540475619</c:v>
                </c:pt>
                <c:pt idx="130">
                  <c:v>503.24837540475619</c:v>
                </c:pt>
                <c:pt idx="131">
                  <c:v>503.24837540475619</c:v>
                </c:pt>
                <c:pt idx="132">
                  <c:v>503.24837540475619</c:v>
                </c:pt>
                <c:pt idx="133">
                  <c:v>503.24837540475619</c:v>
                </c:pt>
                <c:pt idx="134">
                  <c:v>503.24837540475619</c:v>
                </c:pt>
                <c:pt idx="135">
                  <c:v>503.24837540475619</c:v>
                </c:pt>
                <c:pt idx="136">
                  <c:v>503.24837540475619</c:v>
                </c:pt>
                <c:pt idx="137">
                  <c:v>503.24837540475619</c:v>
                </c:pt>
                <c:pt idx="138">
                  <c:v>503.24837540475619</c:v>
                </c:pt>
                <c:pt idx="139">
                  <c:v>503.24837540475619</c:v>
                </c:pt>
                <c:pt idx="140">
                  <c:v>503.24837540475619</c:v>
                </c:pt>
                <c:pt idx="141">
                  <c:v>503.24837540475619</c:v>
                </c:pt>
                <c:pt idx="142">
                  <c:v>503.24837540475619</c:v>
                </c:pt>
                <c:pt idx="143">
                  <c:v>503.24837540475619</c:v>
                </c:pt>
                <c:pt idx="144">
                  <c:v>503.24837540475619</c:v>
                </c:pt>
                <c:pt idx="145">
                  <c:v>503.24837540475619</c:v>
                </c:pt>
                <c:pt idx="146">
                  <c:v>503.24837540475619</c:v>
                </c:pt>
                <c:pt idx="147">
                  <c:v>503.24837540475619</c:v>
                </c:pt>
                <c:pt idx="148">
                  <c:v>503.24837540475619</c:v>
                </c:pt>
                <c:pt idx="149">
                  <c:v>503.24837540475619</c:v>
                </c:pt>
                <c:pt idx="150">
                  <c:v>503.24837540475619</c:v>
                </c:pt>
                <c:pt idx="151">
                  <c:v>503.24837540475619</c:v>
                </c:pt>
                <c:pt idx="152">
                  <c:v>503.24837540475619</c:v>
                </c:pt>
                <c:pt idx="153">
                  <c:v>503.24837540475619</c:v>
                </c:pt>
                <c:pt idx="154">
                  <c:v>503.24837540475619</c:v>
                </c:pt>
                <c:pt idx="155">
                  <c:v>503.24837540475619</c:v>
                </c:pt>
                <c:pt idx="156">
                  <c:v>503.24837540475619</c:v>
                </c:pt>
                <c:pt idx="157">
                  <c:v>503.24837540475619</c:v>
                </c:pt>
                <c:pt idx="158">
                  <c:v>503.24837540475619</c:v>
                </c:pt>
                <c:pt idx="159">
                  <c:v>503.24837540475619</c:v>
                </c:pt>
                <c:pt idx="160">
                  <c:v>503.24837540475619</c:v>
                </c:pt>
                <c:pt idx="161">
                  <c:v>503.24837540475619</c:v>
                </c:pt>
                <c:pt idx="162">
                  <c:v>503.24837540475619</c:v>
                </c:pt>
                <c:pt idx="163">
                  <c:v>503.24837540475619</c:v>
                </c:pt>
                <c:pt idx="164">
                  <c:v>503.24837540475619</c:v>
                </c:pt>
                <c:pt idx="165">
                  <c:v>503.24837540475619</c:v>
                </c:pt>
                <c:pt idx="166">
                  <c:v>503.24837540475619</c:v>
                </c:pt>
                <c:pt idx="167">
                  <c:v>503.24837540475619</c:v>
                </c:pt>
                <c:pt idx="168">
                  <c:v>503.24837540475619</c:v>
                </c:pt>
                <c:pt idx="169">
                  <c:v>503.24837540475619</c:v>
                </c:pt>
                <c:pt idx="170">
                  <c:v>503.24837540475619</c:v>
                </c:pt>
                <c:pt idx="171">
                  <c:v>503.24837540475619</c:v>
                </c:pt>
                <c:pt idx="172">
                  <c:v>503.24837540475619</c:v>
                </c:pt>
                <c:pt idx="173">
                  <c:v>503.24837540475619</c:v>
                </c:pt>
                <c:pt idx="174">
                  <c:v>503.24837540475619</c:v>
                </c:pt>
                <c:pt idx="175">
                  <c:v>503.24837540475619</c:v>
                </c:pt>
                <c:pt idx="176">
                  <c:v>503.24837540475619</c:v>
                </c:pt>
                <c:pt idx="177">
                  <c:v>503.24837540475619</c:v>
                </c:pt>
                <c:pt idx="178">
                  <c:v>503.24837540475619</c:v>
                </c:pt>
                <c:pt idx="179">
                  <c:v>503.24837540475619</c:v>
                </c:pt>
                <c:pt idx="180">
                  <c:v>503.24837540475619</c:v>
                </c:pt>
                <c:pt idx="181">
                  <c:v>503.24837540475619</c:v>
                </c:pt>
                <c:pt idx="182">
                  <c:v>503.24837540475619</c:v>
                </c:pt>
                <c:pt idx="183">
                  <c:v>503.24837540475619</c:v>
                </c:pt>
                <c:pt idx="184">
                  <c:v>503.24837540475619</c:v>
                </c:pt>
                <c:pt idx="185">
                  <c:v>503.24837540475619</c:v>
                </c:pt>
                <c:pt idx="186">
                  <c:v>503.24837540475619</c:v>
                </c:pt>
                <c:pt idx="187">
                  <c:v>503.24837540475619</c:v>
                </c:pt>
                <c:pt idx="188">
                  <c:v>503.24837540475619</c:v>
                </c:pt>
                <c:pt idx="189">
                  <c:v>503.24837540475619</c:v>
                </c:pt>
                <c:pt idx="190">
                  <c:v>503.24837540475619</c:v>
                </c:pt>
                <c:pt idx="191">
                  <c:v>503.24837540475619</c:v>
                </c:pt>
                <c:pt idx="192">
                  <c:v>503.24837540475619</c:v>
                </c:pt>
                <c:pt idx="193">
                  <c:v>503.24837540475619</c:v>
                </c:pt>
                <c:pt idx="194">
                  <c:v>503.24837540475619</c:v>
                </c:pt>
                <c:pt idx="195">
                  <c:v>503.24837540475619</c:v>
                </c:pt>
                <c:pt idx="196">
                  <c:v>503.24837540475619</c:v>
                </c:pt>
                <c:pt idx="197">
                  <c:v>503.24837540475619</c:v>
                </c:pt>
                <c:pt idx="198">
                  <c:v>503.24837540475619</c:v>
                </c:pt>
                <c:pt idx="199">
                  <c:v>503.24837540475619</c:v>
                </c:pt>
                <c:pt idx="200">
                  <c:v>503.24837540475619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2.7663252338256172</c:v>
                </c:pt>
                <c:pt idx="2">
                  <c:v>3.3122877098209038</c:v>
                </c:pt>
                <c:pt idx="3">
                  <c:v>3.966401906447405</c:v>
                </c:pt>
                <c:pt idx="4">
                  <c:v>4.7501668593059909</c:v>
                </c:pt>
                <c:pt idx="5">
                  <c:v>5.6893692517736758</c:v>
                </c:pt>
                <c:pt idx="6">
                  <c:v>6.8149411073641248</c:v>
                </c:pt>
                <c:pt idx="7">
                  <c:v>8.1639895318585136</c:v>
                </c:pt>
                <c:pt idx="8">
                  <c:v>9.7810331060211926</c:v>
                </c:pt>
                <c:pt idx="9">
                  <c:v>11.719486504501022</c:v>
                </c:pt>
                <c:pt idx="10">
                  <c:v>14.043443300253207</c:v>
                </c:pt>
                <c:pt idx="11">
                  <c:v>16.829816991658799</c:v>
                </c:pt>
                <c:pt idx="12">
                  <c:v>20.170912404444739</c:v>
                </c:pt>
                <c:pt idx="13">
                  <c:v>24.177514185044988</c:v>
                </c:pt>
                <c:pt idx="14">
                  <c:v>28.982596612402116</c:v>
                </c:pt>
                <c:pt idx="15">
                  <c:v>34.745780008276633</c:v>
                </c:pt>
                <c:pt idx="16">
                  <c:v>41.658684339935689</c:v>
                </c:pt>
                <c:pt idx="17">
                  <c:v>49.951361047417038</c:v>
                </c:pt>
                <c:pt idx="18">
                  <c:v>59.900020729580547</c:v>
                </c:pt>
                <c:pt idx="19">
                  <c:v>71.836318339091292</c:v>
                </c:pt>
                <c:pt idx="20">
                  <c:v>86.158510470515978</c:v>
                </c:pt>
                <c:pt idx="21">
                  <c:v>97.318927922969635</c:v>
                </c:pt>
                <c:pt idx="22">
                  <c:v>108.4475019129206</c:v>
                </c:pt>
                <c:pt idx="23">
                  <c:v>119.54796628555846</c:v>
                </c:pt>
                <c:pt idx="24">
                  <c:v>130.62330272297189</c:v>
                </c:pt>
                <c:pt idx="25">
                  <c:v>141.67594470663133</c:v>
                </c:pt>
                <c:pt idx="26">
                  <c:v>139.70382844505221</c:v>
                </c:pt>
                <c:pt idx="27">
                  <c:v>153.49516770691636</c:v>
                </c:pt>
                <c:pt idx="28">
                  <c:v>167.25702755094335</c:v>
                </c:pt>
                <c:pt idx="29">
                  <c:v>180.99217685858619</c:v>
                </c:pt>
                <c:pt idx="30">
                  <c:v>194.7029293179402</c:v>
                </c:pt>
                <c:pt idx="31">
                  <c:v>169.22076873606747</c:v>
                </c:pt>
                <c:pt idx="32">
                  <c:v>184.91193253803269</c:v>
                </c:pt>
                <c:pt idx="33">
                  <c:v>200.57199414028256</c:v>
                </c:pt>
                <c:pt idx="34">
                  <c:v>216.20372460175972</c:v>
                </c:pt>
                <c:pt idx="35">
                  <c:v>231.8094611658297</c:v>
                </c:pt>
                <c:pt idx="36">
                  <c:v>207.21879690654114</c:v>
                </c:pt>
                <c:pt idx="37">
                  <c:v>223.61956111075639</c:v>
                </c:pt>
                <c:pt idx="38">
                  <c:v>239.99275146392395</c:v>
                </c:pt>
                <c:pt idx="39">
                  <c:v>256.34051411178774</c:v>
                </c:pt>
                <c:pt idx="40">
                  <c:v>272.6646989766358</c:v>
                </c:pt>
                <c:pt idx="41">
                  <c:v>248.16968942779496</c:v>
                </c:pt>
                <c:pt idx="42">
                  <c:v>264.50544806917623</c:v>
                </c:pt>
                <c:pt idx="43">
                  <c:v>280.81846105391611</c:v>
                </c:pt>
                <c:pt idx="44">
                  <c:v>297.11023564036327</c:v>
                </c:pt>
                <c:pt idx="45">
                  <c:v>313.38210026249641</c:v>
                </c:pt>
                <c:pt idx="46">
                  <c:v>288.57901240448905</c:v>
                </c:pt>
                <c:pt idx="47">
                  <c:v>304.47370954373423</c:v>
                </c:pt>
                <c:pt idx="48">
                  <c:v>320.34995854628937</c:v>
                </c:pt>
                <c:pt idx="49">
                  <c:v>336.20880231759617</c:v>
                </c:pt>
                <c:pt idx="50">
                  <c:v>352.05117734371055</c:v>
                </c:pt>
                <c:pt idx="51">
                  <c:v>326.9276331083118</c:v>
                </c:pt>
                <c:pt idx="52">
                  <c:v>342.393103483792</c:v>
                </c:pt>
                <c:pt idx="53">
                  <c:v>357.84322260194625</c:v>
                </c:pt>
                <c:pt idx="54">
                  <c:v>373.27874650728046</c:v>
                </c:pt>
                <c:pt idx="55">
                  <c:v>388.70036362009404</c:v>
                </c:pt>
                <c:pt idx="56">
                  <c:v>362.8613341480654</c:v>
                </c:pt>
                <c:pt idx="57">
                  <c:v>377.52104986809326</c:v>
                </c:pt>
                <c:pt idx="58">
                  <c:v>392.16837634017293</c:v>
                </c:pt>
                <c:pt idx="59">
                  <c:v>406.80384141548689</c:v>
                </c:pt>
                <c:pt idx="60">
                  <c:v>421.42793186976087</c:v>
                </c:pt>
                <c:pt idx="61">
                  <c:v>394.86525935006392</c:v>
                </c:pt>
                <c:pt idx="62">
                  <c:v>408.72870365690932</c:v>
                </c:pt>
                <c:pt idx="63">
                  <c:v>422.5819944009279</c:v>
                </c:pt>
                <c:pt idx="64">
                  <c:v>436.42551129808606</c:v>
                </c:pt>
                <c:pt idx="65">
                  <c:v>450.25960801246725</c:v>
                </c:pt>
                <c:pt idx="66">
                  <c:v>422.96666682108594</c:v>
                </c:pt>
                <c:pt idx="67">
                  <c:v>436.04109794385857</c:v>
                </c:pt>
                <c:pt idx="68">
                  <c:v>449.10711821530072</c:v>
                </c:pt>
                <c:pt idx="69">
                  <c:v>462.16500679362099</c:v>
                </c:pt>
                <c:pt idx="70">
                  <c:v>475.21502577729035</c:v>
                </c:pt>
                <c:pt idx="71">
                  <c:v>446.80194854061978</c:v>
                </c:pt>
                <c:pt idx="72">
                  <c:v>458.70928319621316</c:v>
                </c:pt>
                <c:pt idx="73">
                  <c:v>470.61001955868886</c:v>
                </c:pt>
                <c:pt idx="74">
                  <c:v>482.50434799892832</c:v>
                </c:pt>
                <c:pt idx="75">
                  <c:v>494.3924487367961</c:v>
                </c:pt>
                <c:pt idx="76">
                  <c:v>465.62017905920658</c:v>
                </c:pt>
                <c:pt idx="77">
                  <c:v>477.13349754486745</c:v>
                </c:pt>
                <c:pt idx="78">
                  <c:v>488.64090858857691</c:v>
                </c:pt>
                <c:pt idx="79">
                  <c:v>500.14257091604264</c:v>
                </c:pt>
                <c:pt idx="80">
                  <c:v>511.63863535742689</c:v>
                </c:pt>
                <c:pt idx="81">
                  <c:v>482.50434799892832</c:v>
                </c:pt>
                <c:pt idx="82">
                  <c:v>493.62565905582659</c:v>
                </c:pt>
                <c:pt idx="83">
                  <c:v>504.74166024448397</c:v>
                </c:pt>
                <c:pt idx="84">
                  <c:v>515.85248498703129</c:v>
                </c:pt>
                <c:pt idx="85">
                  <c:v>526.95826048952051</c:v>
                </c:pt>
                <c:pt idx="86">
                  <c:v>497.07601440225949</c:v>
                </c:pt>
                <c:pt idx="87">
                  <c:v>507.42405248193222</c:v>
                </c:pt>
                <c:pt idx="88">
                  <c:v>517.76763064124964</c:v>
                </c:pt>
                <c:pt idx="89">
                  <c:v>528.10685054075043</c:v>
                </c:pt>
                <c:pt idx="90">
                  <c:v>538.44180953565808</c:v>
                </c:pt>
                <c:pt idx="91">
                  <c:v>507.80722686130588</c:v>
                </c:pt>
                <c:pt idx="92">
                  <c:v>517.38461348648946</c:v>
                </c:pt>
                <c:pt idx="93">
                  <c:v>526.95826048952051</c:v>
                </c:pt>
                <c:pt idx="94">
                  <c:v>536.52824539615096</c:v>
                </c:pt>
                <c:pt idx="95">
                  <c:v>546.09464274073537</c:v>
                </c:pt>
                <c:pt idx="96">
                  <c:v>515.08638473795281</c:v>
                </c:pt>
                <c:pt idx="97">
                  <c:v>524.27801174542856</c:v>
                </c:pt>
                <c:pt idx="98">
                  <c:v>533.46624406259423</c:v>
                </c:pt>
                <c:pt idx="99">
                  <c:v>542.65114840915578</c:v>
                </c:pt>
                <c:pt idx="100">
                  <c:v>551.83278906179692</c:v>
                </c:pt>
                <c:pt idx="101">
                  <c:v>520.44858362500713</c:v>
                </c:pt>
                <c:pt idx="102">
                  <c:v>529.25538799232447</c:v>
                </c:pt>
                <c:pt idx="103">
                  <c:v>538.05910815921254</c:v>
                </c:pt>
                <c:pt idx="104">
                  <c:v>546.8598017122614</c:v>
                </c:pt>
                <c:pt idx="105">
                  <c:v>555.65752423315951</c:v>
                </c:pt>
                <c:pt idx="106">
                  <c:v>525.42672503969118</c:v>
                </c:pt>
                <c:pt idx="107">
                  <c:v>533.46624406259446</c:v>
                </c:pt>
                <c:pt idx="108">
                  <c:v>541.50321514452014</c:v>
                </c:pt>
                <c:pt idx="109">
                  <c:v>549.53768144295748</c:v>
                </c:pt>
                <c:pt idx="110">
                  <c:v>557.56968475025781</c:v>
                </c:pt>
                <c:pt idx="111">
                  <c:v>528.48970219589683</c:v>
                </c:pt>
                <c:pt idx="112">
                  <c:v>535.76277959494894</c:v>
                </c:pt>
                <c:pt idx="113">
                  <c:v>543.03378149300659</c:v>
                </c:pt>
                <c:pt idx="114">
                  <c:v>550.30273960772308</c:v>
                </c:pt>
                <c:pt idx="115">
                  <c:v>557.56968475025803</c:v>
                </c:pt>
                <c:pt idx="116">
                  <c:v>523.12924541243819</c:v>
                </c:pt>
                <c:pt idx="117">
                  <c:v>523.12924541243819</c:v>
                </c:pt>
                <c:pt idx="118">
                  <c:v>523.12924541243819</c:v>
                </c:pt>
                <c:pt idx="119">
                  <c:v>523.12924541243819</c:v>
                </c:pt>
                <c:pt idx="120">
                  <c:v>523.12924541243819</c:v>
                </c:pt>
                <c:pt idx="121">
                  <c:v>523.12924541243819</c:v>
                </c:pt>
                <c:pt idx="122">
                  <c:v>523.12924541243819</c:v>
                </c:pt>
                <c:pt idx="123">
                  <c:v>523.12924541243819</c:v>
                </c:pt>
                <c:pt idx="124">
                  <c:v>523.12924541243819</c:v>
                </c:pt>
                <c:pt idx="125">
                  <c:v>523.12924541243819</c:v>
                </c:pt>
                <c:pt idx="126">
                  <c:v>523.12924541243819</c:v>
                </c:pt>
                <c:pt idx="127">
                  <c:v>523.12924541243819</c:v>
                </c:pt>
                <c:pt idx="128">
                  <c:v>523.12924541243819</c:v>
                </c:pt>
                <c:pt idx="129">
                  <c:v>523.12924541243819</c:v>
                </c:pt>
                <c:pt idx="130">
                  <c:v>523.12924541243819</c:v>
                </c:pt>
                <c:pt idx="131">
                  <c:v>523.12924541243819</c:v>
                </c:pt>
                <c:pt idx="132">
                  <c:v>523.12924541243819</c:v>
                </c:pt>
                <c:pt idx="133">
                  <c:v>523.12924541243819</c:v>
                </c:pt>
                <c:pt idx="134">
                  <c:v>523.12924541243819</c:v>
                </c:pt>
                <c:pt idx="135">
                  <c:v>523.12924541243819</c:v>
                </c:pt>
                <c:pt idx="136">
                  <c:v>523.12924541243819</c:v>
                </c:pt>
                <c:pt idx="137">
                  <c:v>523.12924541243819</c:v>
                </c:pt>
                <c:pt idx="138">
                  <c:v>523.12924541243819</c:v>
                </c:pt>
                <c:pt idx="139">
                  <c:v>523.12924541243819</c:v>
                </c:pt>
                <c:pt idx="140">
                  <c:v>523.12924541243819</c:v>
                </c:pt>
                <c:pt idx="141">
                  <c:v>523.12924541243819</c:v>
                </c:pt>
                <c:pt idx="142">
                  <c:v>523.12924541243819</c:v>
                </c:pt>
                <c:pt idx="143">
                  <c:v>523.12924541243819</c:v>
                </c:pt>
                <c:pt idx="144">
                  <c:v>523.12924541243819</c:v>
                </c:pt>
                <c:pt idx="145">
                  <c:v>523.12924541243819</c:v>
                </c:pt>
                <c:pt idx="146">
                  <c:v>523.12924541243819</c:v>
                </c:pt>
                <c:pt idx="147">
                  <c:v>523.12924541243819</c:v>
                </c:pt>
                <c:pt idx="148">
                  <c:v>523.12924541243819</c:v>
                </c:pt>
                <c:pt idx="149">
                  <c:v>523.12924541243819</c:v>
                </c:pt>
                <c:pt idx="150">
                  <c:v>523.12924541243819</c:v>
                </c:pt>
                <c:pt idx="151">
                  <c:v>523.12924541243819</c:v>
                </c:pt>
                <c:pt idx="152">
                  <c:v>523.12924541243819</c:v>
                </c:pt>
                <c:pt idx="153">
                  <c:v>523.12924541243819</c:v>
                </c:pt>
                <c:pt idx="154">
                  <c:v>523.12924541243819</c:v>
                </c:pt>
                <c:pt idx="155">
                  <c:v>523.12924541243819</c:v>
                </c:pt>
                <c:pt idx="156">
                  <c:v>523.12924541243819</c:v>
                </c:pt>
                <c:pt idx="157">
                  <c:v>523.12924541243819</c:v>
                </c:pt>
                <c:pt idx="158">
                  <c:v>523.12924541243819</c:v>
                </c:pt>
                <c:pt idx="159">
                  <c:v>523.12924541243819</c:v>
                </c:pt>
                <c:pt idx="160">
                  <c:v>523.12924541243819</c:v>
                </c:pt>
                <c:pt idx="161">
                  <c:v>523.12924541243819</c:v>
                </c:pt>
                <c:pt idx="162">
                  <c:v>523.12924541243819</c:v>
                </c:pt>
                <c:pt idx="163">
                  <c:v>523.12924541243819</c:v>
                </c:pt>
                <c:pt idx="164">
                  <c:v>523.12924541243819</c:v>
                </c:pt>
                <c:pt idx="165">
                  <c:v>523.12924541243819</c:v>
                </c:pt>
                <c:pt idx="166">
                  <c:v>523.12924541243819</c:v>
                </c:pt>
                <c:pt idx="167">
                  <c:v>523.12924541243819</c:v>
                </c:pt>
                <c:pt idx="168">
                  <c:v>523.12924541243819</c:v>
                </c:pt>
                <c:pt idx="169">
                  <c:v>523.12924541243819</c:v>
                </c:pt>
                <c:pt idx="170">
                  <c:v>523.12924541243819</c:v>
                </c:pt>
                <c:pt idx="171">
                  <c:v>523.12924541243819</c:v>
                </c:pt>
                <c:pt idx="172">
                  <c:v>523.12924541243819</c:v>
                </c:pt>
                <c:pt idx="173">
                  <c:v>523.12924541243819</c:v>
                </c:pt>
                <c:pt idx="174">
                  <c:v>523.12924541243819</c:v>
                </c:pt>
                <c:pt idx="175">
                  <c:v>523.12924541243819</c:v>
                </c:pt>
                <c:pt idx="176">
                  <c:v>523.12924541243819</c:v>
                </c:pt>
                <c:pt idx="177">
                  <c:v>523.12924541243819</c:v>
                </c:pt>
                <c:pt idx="178">
                  <c:v>523.12924541243819</c:v>
                </c:pt>
                <c:pt idx="179">
                  <c:v>523.12924541243819</c:v>
                </c:pt>
                <c:pt idx="180">
                  <c:v>523.12924541243819</c:v>
                </c:pt>
                <c:pt idx="181">
                  <c:v>523.12924541243819</c:v>
                </c:pt>
                <c:pt idx="182">
                  <c:v>523.12924541243819</c:v>
                </c:pt>
                <c:pt idx="183">
                  <c:v>523.12924541243819</c:v>
                </c:pt>
                <c:pt idx="184">
                  <c:v>523.12924541243819</c:v>
                </c:pt>
                <c:pt idx="185">
                  <c:v>523.12924541243819</c:v>
                </c:pt>
                <c:pt idx="186">
                  <c:v>523.12924541243819</c:v>
                </c:pt>
                <c:pt idx="187">
                  <c:v>523.12924541243819</c:v>
                </c:pt>
                <c:pt idx="188">
                  <c:v>523.12924541243819</c:v>
                </c:pt>
                <c:pt idx="189">
                  <c:v>523.12924541243819</c:v>
                </c:pt>
                <c:pt idx="190">
                  <c:v>523.12924541243819</c:v>
                </c:pt>
                <c:pt idx="191">
                  <c:v>523.12924541243819</c:v>
                </c:pt>
                <c:pt idx="192">
                  <c:v>523.12924541243819</c:v>
                </c:pt>
                <c:pt idx="193">
                  <c:v>523.12924541243819</c:v>
                </c:pt>
                <c:pt idx="194">
                  <c:v>523.12924541243819</c:v>
                </c:pt>
                <c:pt idx="195">
                  <c:v>523.12924541243819</c:v>
                </c:pt>
                <c:pt idx="196">
                  <c:v>523.12924541243819</c:v>
                </c:pt>
                <c:pt idx="197">
                  <c:v>523.12924541243819</c:v>
                </c:pt>
                <c:pt idx="198">
                  <c:v>523.12924541243819</c:v>
                </c:pt>
                <c:pt idx="199">
                  <c:v>523.12924541243819</c:v>
                </c:pt>
                <c:pt idx="200">
                  <c:v>523.12924541243819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topLeftCell="A53" zoomScale="115" zoomScaleNormal="115" workbookViewId="0">
      <selection activeCell="H6" sqref="H6"/>
    </sheetView>
  </sheetViews>
  <sheetFormatPr baseColWidth="10" defaultColWidth="11.44140625" defaultRowHeight="14.4" x14ac:dyDescent="0.3"/>
  <cols>
    <col min="1" max="1" width="6.77734375" customWidth="1"/>
    <col min="2" max="13" width="15.77734375" customWidth="1"/>
  </cols>
  <sheetData>
    <row r="12" spans="2:13" ht="15" customHeight="1" x14ac:dyDescent="0.3">
      <c r="B12" s="257" t="s">
        <v>0</v>
      </c>
      <c r="C12" s="257"/>
      <c r="D12" s="257"/>
      <c r="E12" s="257"/>
      <c r="F12" s="257"/>
      <c r="G12" s="257"/>
      <c r="H12" s="257"/>
      <c r="I12" s="257"/>
      <c r="J12" s="257"/>
      <c r="K12" s="257"/>
      <c r="L12" s="257"/>
      <c r="M12" s="257"/>
    </row>
    <row r="13" spans="2:13" ht="15" customHeight="1" x14ac:dyDescent="0.3">
      <c r="B13" s="257"/>
      <c r="C13" s="257"/>
      <c r="D13" s="257"/>
      <c r="E13" s="257"/>
      <c r="F13" s="257"/>
      <c r="G13" s="257"/>
      <c r="H13" s="257"/>
      <c r="I13" s="257"/>
      <c r="J13" s="257"/>
      <c r="K13" s="257"/>
      <c r="L13" s="257"/>
      <c r="M13" s="257"/>
    </row>
    <row r="14" spans="2:13" ht="15" customHeight="1" x14ac:dyDescent="0.3">
      <c r="B14" s="257"/>
      <c r="C14" s="257"/>
      <c r="D14" s="257"/>
      <c r="E14" s="257"/>
      <c r="F14" s="257"/>
      <c r="G14" s="257"/>
      <c r="H14" s="257"/>
      <c r="I14" s="257"/>
      <c r="J14" s="257"/>
      <c r="K14" s="257"/>
      <c r="L14" s="257"/>
      <c r="M14" s="257"/>
    </row>
    <row r="15" spans="2:13" ht="18.75" customHeight="1" x14ac:dyDescent="0.3">
      <c r="B15" s="257"/>
      <c r="C15" s="257"/>
      <c r="D15" s="257"/>
      <c r="E15" s="257"/>
      <c r="F15" s="257"/>
      <c r="G15" s="257"/>
      <c r="H15" s="257"/>
      <c r="I15" s="257"/>
      <c r="J15" s="257"/>
      <c r="K15" s="257"/>
      <c r="L15" s="257"/>
      <c r="M15" s="257"/>
    </row>
    <row r="16" spans="2:13" ht="18.75" customHeight="1" x14ac:dyDescent="0.3">
      <c r="B16" s="257"/>
      <c r="C16" s="257"/>
      <c r="D16" s="257"/>
      <c r="E16" s="257"/>
      <c r="F16" s="257"/>
      <c r="G16" s="257"/>
      <c r="H16" s="257"/>
      <c r="I16" s="257"/>
      <c r="J16" s="257"/>
      <c r="K16" s="257"/>
      <c r="L16" s="257"/>
      <c r="M16" s="257"/>
    </row>
    <row r="18" spans="2:13" ht="12" customHeight="1" x14ac:dyDescent="0.3">
      <c r="B18" s="257" t="s">
        <v>1</v>
      </c>
      <c r="C18" s="257"/>
      <c r="D18" s="257"/>
      <c r="E18" s="257"/>
      <c r="F18" s="257"/>
      <c r="G18" s="257"/>
      <c r="H18" s="257"/>
      <c r="I18" s="257"/>
      <c r="J18" s="257"/>
      <c r="K18" s="257"/>
      <c r="L18" s="257"/>
      <c r="M18" s="257"/>
    </row>
    <row r="19" spans="2:13" ht="12" customHeight="1" x14ac:dyDescent="0.3">
      <c r="B19" s="257"/>
      <c r="C19" s="257"/>
      <c r="D19" s="257"/>
      <c r="E19" s="257"/>
      <c r="F19" s="257"/>
      <c r="G19" s="257"/>
      <c r="H19" s="257"/>
      <c r="I19" s="257"/>
      <c r="J19" s="257"/>
      <c r="K19" s="257"/>
      <c r="L19" s="257"/>
      <c r="M19" s="257"/>
    </row>
    <row r="20" spans="2:13" ht="12" customHeight="1" x14ac:dyDescent="0.3">
      <c r="B20" s="257"/>
      <c r="C20" s="257"/>
      <c r="D20" s="257"/>
      <c r="E20" s="257"/>
      <c r="F20" s="257"/>
      <c r="G20" s="257"/>
      <c r="H20" s="257"/>
      <c r="I20" s="257"/>
      <c r="J20" s="257"/>
      <c r="K20" s="257"/>
      <c r="L20" s="257"/>
      <c r="M20" s="257"/>
    </row>
    <row r="21" spans="2:13" ht="12" customHeight="1" x14ac:dyDescent="0.3">
      <c r="B21" s="257"/>
      <c r="C21" s="257"/>
      <c r="D21" s="257"/>
      <c r="E21" s="257"/>
      <c r="F21" s="257"/>
      <c r="G21" s="257"/>
      <c r="H21" s="257"/>
      <c r="I21" s="257"/>
      <c r="J21" s="257"/>
      <c r="K21" s="257"/>
      <c r="L21" s="257"/>
      <c r="M21" s="257"/>
    </row>
    <row r="22" spans="2:13" ht="12" customHeight="1" x14ac:dyDescent="0.3">
      <c r="B22" s="257"/>
      <c r="C22" s="257"/>
      <c r="D22" s="257"/>
      <c r="E22" s="257"/>
      <c r="F22" s="257"/>
      <c r="G22" s="257"/>
      <c r="H22" s="257"/>
      <c r="I22" s="257"/>
      <c r="J22" s="257"/>
      <c r="K22" s="257"/>
      <c r="L22" s="257"/>
      <c r="M22" s="257"/>
    </row>
    <row r="23" spans="2:13" ht="12" customHeight="1" x14ac:dyDescent="0.3">
      <c r="B23" s="257"/>
      <c r="C23" s="257"/>
      <c r="D23" s="257"/>
      <c r="E23" s="257"/>
      <c r="F23" s="257"/>
      <c r="G23" s="257"/>
      <c r="H23" s="257"/>
      <c r="I23" s="257"/>
      <c r="J23" s="257"/>
      <c r="K23" s="257"/>
      <c r="L23" s="257"/>
      <c r="M23" s="257"/>
    </row>
    <row r="24" spans="2:13" ht="12" customHeight="1" x14ac:dyDescent="0.3">
      <c r="B24" s="257"/>
      <c r="C24" s="257"/>
      <c r="D24" s="257"/>
      <c r="E24" s="257"/>
      <c r="F24" s="257"/>
      <c r="G24" s="257"/>
      <c r="H24" s="257"/>
      <c r="I24" s="257"/>
      <c r="J24" s="257"/>
      <c r="K24" s="257"/>
      <c r="L24" s="257"/>
      <c r="M24" s="257"/>
    </row>
    <row r="25" spans="2:13" ht="12" customHeight="1" x14ac:dyDescent="0.3">
      <c r="B25" s="257"/>
      <c r="C25" s="257"/>
      <c r="D25" s="257"/>
      <c r="E25" s="257"/>
      <c r="F25" s="257"/>
      <c r="G25" s="257"/>
      <c r="H25" s="257"/>
      <c r="I25" s="257"/>
      <c r="J25" s="257"/>
      <c r="K25" s="257"/>
      <c r="L25" s="257"/>
      <c r="M25" s="257"/>
    </row>
    <row r="26" spans="2:13" ht="12" customHeight="1" x14ac:dyDescent="0.3">
      <c r="B26" s="257"/>
      <c r="C26" s="257"/>
      <c r="D26" s="257"/>
      <c r="E26" s="257"/>
      <c r="F26" s="257"/>
      <c r="G26" s="257"/>
      <c r="H26" s="257"/>
      <c r="I26" s="257"/>
      <c r="J26" s="257"/>
      <c r="K26" s="257"/>
      <c r="L26" s="257"/>
      <c r="M26" s="257"/>
    </row>
    <row r="27" spans="2:13" ht="12" customHeight="1" x14ac:dyDescent="0.3">
      <c r="B27" s="257"/>
      <c r="C27" s="257"/>
      <c r="D27" s="257"/>
      <c r="E27" s="257"/>
      <c r="F27" s="257"/>
      <c r="G27" s="257"/>
      <c r="H27" s="257"/>
      <c r="I27" s="257"/>
      <c r="J27" s="257"/>
      <c r="K27" s="257"/>
      <c r="L27" s="257"/>
      <c r="M27" s="257"/>
    </row>
    <row r="28" spans="2:13" ht="12" customHeight="1" x14ac:dyDescent="0.3">
      <c r="B28" s="257"/>
      <c r="C28" s="257"/>
      <c r="D28" s="257"/>
      <c r="E28" s="257"/>
      <c r="F28" s="257"/>
      <c r="G28" s="257"/>
      <c r="H28" s="257"/>
      <c r="I28" s="257"/>
      <c r="J28" s="257"/>
      <c r="K28" s="257"/>
      <c r="L28" s="257"/>
      <c r="M28" s="257"/>
    </row>
    <row r="29" spans="2:13" ht="12" customHeight="1" x14ac:dyDescent="0.3">
      <c r="B29" s="257"/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</row>
    <row r="30" spans="2:13" ht="12" customHeight="1" x14ac:dyDescent="0.3">
      <c r="B30" s="257"/>
      <c r="C30" s="257"/>
      <c r="D30" s="257"/>
      <c r="E30" s="257"/>
      <c r="F30" s="257"/>
      <c r="G30" s="257"/>
      <c r="H30" s="257"/>
      <c r="I30" s="257"/>
      <c r="J30" s="257"/>
      <c r="K30" s="257"/>
      <c r="L30" s="257"/>
      <c r="M30" s="257"/>
    </row>
    <row r="31" spans="2:13" ht="12" customHeight="1" x14ac:dyDescent="0.3">
      <c r="B31" s="257"/>
      <c r="C31" s="257"/>
      <c r="D31" s="257"/>
      <c r="E31" s="257"/>
      <c r="F31" s="257"/>
      <c r="G31" s="257"/>
      <c r="H31" s="257"/>
      <c r="I31" s="257"/>
      <c r="J31" s="257"/>
      <c r="K31" s="257"/>
      <c r="L31" s="257"/>
      <c r="M31" s="257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82" zoomScale="82" zoomScaleNormal="82" workbookViewId="0">
      <selection activeCell="F74" sqref="F74"/>
    </sheetView>
  </sheetViews>
  <sheetFormatPr baseColWidth="10" defaultColWidth="11.44140625" defaultRowHeight="14.4" x14ac:dyDescent="0.3"/>
  <cols>
    <col min="1" max="1" width="13.77734375" style="23" customWidth="1"/>
    <col min="2" max="2" width="36.21875" style="23" customWidth="1"/>
    <col min="3" max="3" width="14.77734375" style="23" bestFit="1" customWidth="1"/>
    <col min="4" max="4" width="16.44140625" style="23" customWidth="1"/>
    <col min="5" max="5" width="23.21875" style="23" customWidth="1"/>
    <col min="6" max="6" width="28.77734375" style="23" bestFit="1" customWidth="1"/>
    <col min="7" max="8" width="14.77734375" style="23" customWidth="1"/>
    <col min="9" max="9" width="17" style="23" customWidth="1"/>
    <col min="10" max="10" width="13.77734375" style="23" customWidth="1"/>
    <col min="11" max="16384" width="11.44140625" style="23"/>
  </cols>
  <sheetData>
    <row r="1" spans="1:38" x14ac:dyDescent="0.3">
      <c r="A1" s="4"/>
      <c r="B1" s="4"/>
      <c r="C1" s="258" t="s">
        <v>2</v>
      </c>
      <c r="D1" s="258"/>
      <c r="E1" s="258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35">
      <c r="A2" s="4"/>
      <c r="B2" s="4"/>
      <c r="C2" s="4"/>
      <c r="D2" s="4"/>
      <c r="E2" s="4"/>
      <c r="F2" s="4"/>
      <c r="G2" s="4"/>
      <c r="H2" s="4"/>
      <c r="I2" s="211" t="s">
        <v>3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4" thickBot="1" x14ac:dyDescent="0.35">
      <c r="A3" s="4"/>
      <c r="B3" s="263" t="s">
        <v>4</v>
      </c>
      <c r="C3" s="264"/>
      <c r="D3" s="264"/>
      <c r="E3" s="264"/>
      <c r="F3" s="265"/>
      <c r="G3" s="89"/>
      <c r="I3" s="211" t="s">
        <v>5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5.8" x14ac:dyDescent="0.3">
      <c r="A4" s="90"/>
      <c r="B4" s="90"/>
      <c r="C4" s="90"/>
      <c r="D4" s="90"/>
      <c r="E4" s="90"/>
      <c r="F4" s="90"/>
      <c r="G4" s="218"/>
      <c r="I4" s="211" t="s">
        <v>6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5.8" x14ac:dyDescent="0.3">
      <c r="A5" s="268" t="s">
        <v>7</v>
      </c>
      <c r="B5" s="268"/>
      <c r="C5" s="24">
        <v>1.2346999999999999</v>
      </c>
      <c r="D5" s="269" t="s">
        <v>8</v>
      </c>
      <c r="E5" s="270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5.8" x14ac:dyDescent="0.3">
      <c r="A7" s="267" t="s">
        <v>9</v>
      </c>
      <c r="B7" s="267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">
      <c r="A8" s="4"/>
      <c r="B8" s="25" t="s">
        <v>10</v>
      </c>
      <c r="C8" s="26" t="s">
        <v>11</v>
      </c>
      <c r="D8" s="27" t="s">
        <v>12</v>
      </c>
      <c r="E8" s="28" t="s">
        <v>13</v>
      </c>
      <c r="F8" s="29" t="s">
        <v>14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">
      <c r="A9" s="30" t="s">
        <v>15</v>
      </c>
      <c r="B9" s="31" t="s">
        <v>16</v>
      </c>
      <c r="C9" s="32">
        <v>0.4168623957</v>
      </c>
      <c r="D9" s="33">
        <f t="shared" ref="D9:D18" si="0">C9*$C$5</f>
        <v>0.51469999997078997</v>
      </c>
      <c r="E9" s="34">
        <v>45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17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">
      <c r="A10" s="30" t="s">
        <v>18</v>
      </c>
      <c r="B10" s="31" t="s">
        <v>21</v>
      </c>
      <c r="C10" s="32">
        <v>0.1214870009</v>
      </c>
      <c r="D10" s="33">
        <f>C10*$C$5</f>
        <v>0.15000000001122998</v>
      </c>
      <c r="E10" s="34">
        <v>80</v>
      </c>
      <c r="F10" s="35" t="str">
        <f t="array" ref="F10">IF(E10="","",IF(INDEX(A:A,MAX(IF(ISNUMBER($A$62:$A$81),ROW($A$62:$A$81),"")))&lt;&gt;E10,"Corrigez : révolution incorrecte","OK"))</f>
        <v>OK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">
      <c r="A11" s="30" t="s">
        <v>20</v>
      </c>
      <c r="B11" s="31" t="s">
        <v>23</v>
      </c>
      <c r="C11" s="32">
        <v>0.1151608211</v>
      </c>
      <c r="D11" s="33">
        <f>C11*$C$5</f>
        <v>0.14218906581217</v>
      </c>
      <c r="E11" s="34">
        <v>105</v>
      </c>
      <c r="F11" s="35" t="str">
        <f t="array" ref="F11">IF(E11="","",IF(INDEX(A:A,MAX(IF(ISNUMBER($A$88:$A$107),ROW($A$88:$A$107),"")))&lt;&gt;E11,"Corrigez : révolution incorrecte","OK"))</f>
        <v>OK</v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">
      <c r="A12" s="30" t="s">
        <v>22</v>
      </c>
      <c r="B12" s="31" t="s">
        <v>25</v>
      </c>
      <c r="C12" s="32">
        <v>0.3462379525</v>
      </c>
      <c r="D12" s="33">
        <f>C12*$C$5</f>
        <v>0.42749999995174998</v>
      </c>
      <c r="E12" s="34">
        <v>115</v>
      </c>
      <c r="F12" s="35" t="str">
        <f t="array" ref="F12">IF(E12="","",IF(INDEX(A:A,MAX(IF(ISNUMBER($A$114:$A$133),ROW($A$114:$A$133),"")))&lt;&gt;E12,"Corrigez : révolution incorrecte","OK"))</f>
        <v>OK</v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">
      <c r="A13" s="30" t="s">
        <v>24</v>
      </c>
      <c r="B13" s="31"/>
      <c r="C13" s="32"/>
      <c r="D13" s="33">
        <f>C13*$C$5</f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">
      <c r="A14" s="30" t="s">
        <v>26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">
      <c r="A15" s="30" t="s">
        <v>27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">
      <c r="A16" s="30" t="s">
        <v>28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">
      <c r="A17" s="30" t="s">
        <v>29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">
      <c r="A18" s="30" t="s">
        <v>30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G18" s="205"/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">
      <c r="A19" s="78"/>
      <c r="B19" s="36" t="s">
        <v>31</v>
      </c>
      <c r="C19" s="37">
        <f>SUM(C9:C18)</f>
        <v>0.99974817020000006</v>
      </c>
      <c r="D19" s="38">
        <f>SUM(D9:D18)</f>
        <v>1.23438906574594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">
      <c r="A20" s="78"/>
      <c r="B20" s="39" t="s">
        <v>14</v>
      </c>
      <c r="C20" s="40" t="str">
        <f>IF(C19&gt;100%,"Erreur : corrigez","OK")</f>
        <v>OK</v>
      </c>
      <c r="D20" s="222"/>
      <c r="F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4">
      <c r="A22" s="266" t="s">
        <v>32</v>
      </c>
      <c r="B22" s="266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">
      <c r="A24" s="41" t="s">
        <v>33</v>
      </c>
      <c r="B24" s="42" t="s">
        <v>34</v>
      </c>
      <c r="C24" s="43">
        <v>0</v>
      </c>
      <c r="D24" s="44" t="s">
        <v>35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">
      <c r="A25" s="41" t="s">
        <v>36</v>
      </c>
      <c r="B25" s="42" t="s">
        <v>37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">
      <c r="A26" s="41" t="s">
        <v>38</v>
      </c>
      <c r="B26" s="42" t="s">
        <v>39</v>
      </c>
      <c r="C26" s="43">
        <v>0.15</v>
      </c>
      <c r="D26" s="44" t="s">
        <v>40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">
      <c r="A27" s="41" t="s">
        <v>41</v>
      </c>
      <c r="B27" s="42" t="s">
        <v>42</v>
      </c>
      <c r="C27" s="43">
        <v>0</v>
      </c>
      <c r="D27" s="44" t="s">
        <v>43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">
      <c r="A30" s="267" t="s">
        <v>44</v>
      </c>
      <c r="B30" s="267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">
      <c r="A32" s="46" t="s">
        <v>15</v>
      </c>
      <c r="B32" s="47" t="str">
        <f>IF(B9="","",B9)</f>
        <v>Robinier faux-acacia</v>
      </c>
      <c r="D32" s="229" t="s">
        <v>45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">
      <c r="A34" s="4"/>
      <c r="B34" s="85" t="s">
        <v>46</v>
      </c>
      <c r="C34" s="259" t="s">
        <v>47</v>
      </c>
      <c r="D34" s="259"/>
      <c r="E34" s="260" t="s">
        <v>48</v>
      </c>
      <c r="F34" s="261"/>
      <c r="G34" s="261"/>
      <c r="H34" s="262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2" x14ac:dyDescent="0.3">
      <c r="A35" s="36" t="s">
        <v>49</v>
      </c>
      <c r="B35" s="36" t="s">
        <v>50</v>
      </c>
      <c r="C35" s="48" t="s">
        <v>51</v>
      </c>
      <c r="D35" s="48" t="s">
        <v>52</v>
      </c>
      <c r="E35" s="36" t="s">
        <v>53</v>
      </c>
      <c r="F35" s="36" t="s">
        <v>54</v>
      </c>
      <c r="G35" s="36" t="s">
        <v>55</v>
      </c>
      <c r="H35" s="36" t="s">
        <v>56</v>
      </c>
      <c r="I35" s="48" t="s">
        <v>57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">
      <c r="A36" s="50">
        <v>5</v>
      </c>
      <c r="B36" s="60">
        <v>34</v>
      </c>
      <c r="C36" s="60">
        <v>1</v>
      </c>
      <c r="D36" s="60">
        <v>6</v>
      </c>
      <c r="E36" s="51"/>
      <c r="F36" s="51"/>
      <c r="G36" s="51"/>
      <c r="H36" s="51">
        <v>1</v>
      </c>
      <c r="I36" s="49">
        <f>IFERROR(B36/A36,"")</f>
        <v>6.8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">
      <c r="A37" s="50">
        <v>10</v>
      </c>
      <c r="B37" s="60">
        <v>99</v>
      </c>
      <c r="C37" s="60">
        <v>2</v>
      </c>
      <c r="D37" s="60">
        <v>28</v>
      </c>
      <c r="E37" s="51"/>
      <c r="F37" s="51"/>
      <c r="G37" s="51"/>
      <c r="H37" s="51">
        <v>1</v>
      </c>
      <c r="I37" s="53">
        <f t="shared" ref="I37:I55" si="1">IF(A37&lt;&gt;0,(B37-(B36-D36))/(A37-A36),"")</f>
        <v>14.2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">
      <c r="A38" s="50">
        <v>15</v>
      </c>
      <c r="B38" s="60">
        <v>140</v>
      </c>
      <c r="C38" s="60">
        <v>3</v>
      </c>
      <c r="D38" s="60">
        <v>23</v>
      </c>
      <c r="E38" s="51"/>
      <c r="F38" s="51"/>
      <c r="G38" s="51"/>
      <c r="H38" s="51">
        <v>1</v>
      </c>
      <c r="I38" s="53">
        <f t="shared" si="1"/>
        <v>13.8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">
      <c r="A39" s="50">
        <v>20</v>
      </c>
      <c r="B39" s="60">
        <v>180</v>
      </c>
      <c r="C39" s="60">
        <v>4</v>
      </c>
      <c r="D39" s="60">
        <v>19</v>
      </c>
      <c r="E39" s="51"/>
      <c r="F39" s="51"/>
      <c r="G39" s="51"/>
      <c r="H39" s="51">
        <v>1</v>
      </c>
      <c r="I39" s="49">
        <f t="shared" si="1"/>
        <v>12.6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">
      <c r="A40" s="50">
        <v>25</v>
      </c>
      <c r="B40" s="60">
        <v>214</v>
      </c>
      <c r="C40" s="60">
        <v>5</v>
      </c>
      <c r="D40" s="60">
        <v>14</v>
      </c>
      <c r="E40" s="51"/>
      <c r="F40" s="51"/>
      <c r="G40" s="51"/>
      <c r="H40" s="51">
        <v>1</v>
      </c>
      <c r="I40" s="49">
        <f t="shared" si="1"/>
        <v>10.6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">
      <c r="A41" s="50">
        <v>30</v>
      </c>
      <c r="B41" s="60">
        <v>243</v>
      </c>
      <c r="C41" s="60">
        <v>6</v>
      </c>
      <c r="D41" s="60">
        <v>11</v>
      </c>
      <c r="E41" s="51"/>
      <c r="F41" s="51"/>
      <c r="G41" s="51"/>
      <c r="H41" s="51">
        <v>1</v>
      </c>
      <c r="I41" s="53">
        <f t="shared" si="1"/>
        <v>8.6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">
      <c r="A42" s="50">
        <v>35</v>
      </c>
      <c r="B42" s="60">
        <v>267</v>
      </c>
      <c r="C42" s="60">
        <v>7</v>
      </c>
      <c r="D42" s="60">
        <v>9</v>
      </c>
      <c r="E42" s="51">
        <v>1</v>
      </c>
      <c r="F42" s="51"/>
      <c r="G42" s="51"/>
      <c r="H42" s="51"/>
      <c r="I42" s="53">
        <f t="shared" si="1"/>
        <v>7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">
      <c r="A43" s="50">
        <v>40</v>
      </c>
      <c r="B43" s="60">
        <v>289</v>
      </c>
      <c r="C43" s="60">
        <v>8</v>
      </c>
      <c r="D43" s="60">
        <v>7</v>
      </c>
      <c r="E43" s="51">
        <v>1</v>
      </c>
      <c r="F43" s="51"/>
      <c r="G43" s="51"/>
      <c r="H43" s="51"/>
      <c r="I43" s="49">
        <f t="shared" si="1"/>
        <v>6.2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">
      <c r="A44" s="50">
        <v>45</v>
      </c>
      <c r="B44" s="60">
        <v>312</v>
      </c>
      <c r="C44" s="60">
        <v>9</v>
      </c>
      <c r="D44" s="60">
        <v>7</v>
      </c>
      <c r="E44" s="51">
        <v>1</v>
      </c>
      <c r="F44" s="51"/>
      <c r="G44" s="51"/>
      <c r="H44" s="51"/>
      <c r="I44" s="49">
        <f t="shared" si="1"/>
        <v>6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">
      <c r="A45" s="50"/>
      <c r="B45" s="60"/>
      <c r="C45" s="60"/>
      <c r="D45" s="60"/>
      <c r="E45" s="51"/>
      <c r="F45" s="51"/>
      <c r="G45" s="51"/>
      <c r="H45" s="51"/>
      <c r="I45" s="49" t="str">
        <f t="shared" si="1"/>
        <v/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">
      <c r="A46" s="50"/>
      <c r="B46" s="60"/>
      <c r="C46" s="60"/>
      <c r="D46" s="60"/>
      <c r="E46" s="51"/>
      <c r="F46" s="51"/>
      <c r="G46" s="51"/>
      <c r="H46" s="51"/>
      <c r="I46" s="49" t="str">
        <f t="shared" si="1"/>
        <v/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">
      <c r="A47" s="50"/>
      <c r="B47" s="60"/>
      <c r="C47" s="60"/>
      <c r="D47" s="60"/>
      <c r="E47" s="51"/>
      <c r="F47" s="51"/>
      <c r="G47" s="51"/>
      <c r="H47" s="51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">
      <c r="A48" s="50"/>
      <c r="B48" s="60"/>
      <c r="C48" s="60"/>
      <c r="D48" s="60"/>
      <c r="E48" s="51"/>
      <c r="F48" s="51"/>
      <c r="G48" s="51"/>
      <c r="H48" s="51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">
      <c r="A49" s="50"/>
      <c r="B49" s="60"/>
      <c r="C49" s="60"/>
      <c r="D49" s="60"/>
      <c r="E49" s="51"/>
      <c r="F49" s="51"/>
      <c r="G49" s="51"/>
      <c r="H49" s="51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">
      <c r="A50" s="50"/>
      <c r="B50" s="50"/>
      <c r="C50" s="50"/>
      <c r="D50" s="50"/>
      <c r="E50" s="51"/>
      <c r="F50" s="51"/>
      <c r="G50" s="51"/>
      <c r="H50" s="51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">
      <c r="A58" s="46" t="s">
        <v>18</v>
      </c>
      <c r="B58" s="52" t="str">
        <f>IF(B10="","",B10)</f>
        <v>Aulne glutineux</v>
      </c>
      <c r="D58" s="229" t="s">
        <v>45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">
      <c r="A60" s="4"/>
      <c r="B60" s="85" t="s">
        <v>46</v>
      </c>
      <c r="C60" s="259" t="s">
        <v>47</v>
      </c>
      <c r="D60" s="259"/>
      <c r="E60" s="260" t="s">
        <v>48</v>
      </c>
      <c r="F60" s="261"/>
      <c r="G60" s="261"/>
      <c r="H60" s="262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2" x14ac:dyDescent="0.3">
      <c r="A61" s="36" t="s">
        <v>49</v>
      </c>
      <c r="B61" s="36" t="s">
        <v>50</v>
      </c>
      <c r="C61" s="48" t="s">
        <v>51</v>
      </c>
      <c r="D61" s="48" t="s">
        <v>52</v>
      </c>
      <c r="E61" s="36" t="s">
        <v>53</v>
      </c>
      <c r="F61" s="36" t="s">
        <v>54</v>
      </c>
      <c r="G61" s="36" t="s">
        <v>55</v>
      </c>
      <c r="H61" s="36" t="s">
        <v>56</v>
      </c>
      <c r="I61" s="48" t="s">
        <v>57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">
      <c r="A62" s="50">
        <v>10</v>
      </c>
      <c r="B62" s="60">
        <v>11</v>
      </c>
      <c r="C62" s="60"/>
      <c r="D62" s="60">
        <v>0</v>
      </c>
      <c r="E62" s="51"/>
      <c r="F62" s="51"/>
      <c r="G62" s="51"/>
      <c r="H62" s="51"/>
      <c r="I62" s="53">
        <f>IFERROR(B62/A62,"")</f>
        <v>1.1000000000000001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">
      <c r="A63" s="50">
        <v>15</v>
      </c>
      <c r="B63" s="60">
        <v>65</v>
      </c>
      <c r="C63" s="60">
        <v>1</v>
      </c>
      <c r="D63" s="60">
        <v>32</v>
      </c>
      <c r="E63" s="51"/>
      <c r="F63" s="51"/>
      <c r="G63" s="51"/>
      <c r="H63" s="51">
        <v>1</v>
      </c>
      <c r="I63" s="49">
        <f>IF(A63&lt;&gt;0,(B63-(B62-D62))/(A63-A62),"")</f>
        <v>10.8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">
      <c r="A64" s="50">
        <v>20</v>
      </c>
      <c r="B64" s="60">
        <v>102</v>
      </c>
      <c r="C64" s="60">
        <v>2</v>
      </c>
      <c r="D64" s="60">
        <v>35</v>
      </c>
      <c r="E64" s="51"/>
      <c r="F64" s="51"/>
      <c r="G64" s="51"/>
      <c r="H64" s="51">
        <v>1</v>
      </c>
      <c r="I64" s="49">
        <f>IF(A64&lt;&gt;0,(B64-(B63-D63))/(A64-A63),"")</f>
        <v>13.8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">
      <c r="A65" s="50">
        <v>25</v>
      </c>
      <c r="B65" s="60">
        <v>141</v>
      </c>
      <c r="C65" s="60">
        <v>3</v>
      </c>
      <c r="D65" s="60">
        <v>35</v>
      </c>
      <c r="E65" s="51"/>
      <c r="F65" s="51"/>
      <c r="G65" s="51"/>
      <c r="H65" s="51">
        <v>1</v>
      </c>
      <c r="I65" s="49">
        <f>IF(A65&lt;&gt;0,(B65-(B64-D64))/(A65-A64),"")</f>
        <v>14.8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">
      <c r="A66" s="50">
        <v>30</v>
      </c>
      <c r="B66" s="60">
        <v>177</v>
      </c>
      <c r="C66" s="60">
        <v>4</v>
      </c>
      <c r="D66" s="60">
        <v>35</v>
      </c>
      <c r="E66" s="51"/>
      <c r="F66" s="51"/>
      <c r="G66" s="51"/>
      <c r="H66" s="51">
        <v>1</v>
      </c>
      <c r="I66" s="49">
        <f t="shared" ref="I66:I81" si="2">IF(A66&lt;&gt;0,(B66-(B65-D65))/(A66-A65),"")</f>
        <v>14.2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">
      <c r="A67" s="50">
        <v>35</v>
      </c>
      <c r="B67" s="60">
        <v>206</v>
      </c>
      <c r="C67" s="60">
        <v>5</v>
      </c>
      <c r="D67" s="60">
        <v>35</v>
      </c>
      <c r="E67" s="51">
        <v>1</v>
      </c>
      <c r="F67" s="51"/>
      <c r="G67" s="51"/>
      <c r="H67" s="51"/>
      <c r="I67" s="49">
        <f t="shared" si="2"/>
        <v>12.8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">
      <c r="A68" s="50">
        <v>40</v>
      </c>
      <c r="B68" s="60">
        <v>228</v>
      </c>
      <c r="C68" s="60">
        <v>6</v>
      </c>
      <c r="D68" s="60">
        <v>35</v>
      </c>
      <c r="E68" s="51">
        <v>1</v>
      </c>
      <c r="F68" s="51"/>
      <c r="G68" s="51"/>
      <c r="H68" s="51"/>
      <c r="I68" s="49">
        <f t="shared" si="2"/>
        <v>11.4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">
      <c r="A69" s="50">
        <v>45</v>
      </c>
      <c r="B69" s="50">
        <v>242</v>
      </c>
      <c r="C69" s="50">
        <v>7</v>
      </c>
      <c r="D69" s="50">
        <v>24</v>
      </c>
      <c r="E69" s="51">
        <v>1</v>
      </c>
      <c r="F69" s="51"/>
      <c r="G69" s="51"/>
      <c r="H69" s="51"/>
      <c r="I69" s="49">
        <f t="shared" si="2"/>
        <v>9.8000000000000007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">
      <c r="A70" s="50">
        <v>50</v>
      </c>
      <c r="B70" s="50">
        <v>261</v>
      </c>
      <c r="C70" s="50">
        <v>8</v>
      </c>
      <c r="D70" s="50">
        <v>19</v>
      </c>
      <c r="E70" s="51">
        <v>1</v>
      </c>
      <c r="F70" s="51"/>
      <c r="G70" s="51"/>
      <c r="H70" s="51"/>
      <c r="I70" s="49">
        <f t="shared" si="2"/>
        <v>8.6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">
      <c r="A71" s="50">
        <v>55</v>
      </c>
      <c r="B71" s="50">
        <v>279</v>
      </c>
      <c r="C71" s="50">
        <v>9</v>
      </c>
      <c r="D71" s="50">
        <v>16</v>
      </c>
      <c r="E71" s="51">
        <v>1</v>
      </c>
      <c r="F71" s="51"/>
      <c r="G71" s="51"/>
      <c r="H71" s="51"/>
      <c r="I71" s="49">
        <f t="shared" si="2"/>
        <v>7.4</v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">
      <c r="A72" s="50">
        <v>60</v>
      </c>
      <c r="B72" s="50">
        <v>294</v>
      </c>
      <c r="C72" s="50">
        <v>10</v>
      </c>
      <c r="D72" s="50">
        <v>14</v>
      </c>
      <c r="E72" s="51">
        <v>1</v>
      </c>
      <c r="F72" s="51"/>
      <c r="G72" s="51"/>
      <c r="H72" s="51"/>
      <c r="I72" s="49">
        <f t="shared" si="2"/>
        <v>6.2</v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">
      <c r="A73" s="50">
        <v>65</v>
      </c>
      <c r="B73" s="50">
        <v>306</v>
      </c>
      <c r="C73" s="50">
        <v>11</v>
      </c>
      <c r="D73" s="50">
        <v>13</v>
      </c>
      <c r="E73" s="51">
        <v>1</v>
      </c>
      <c r="F73" s="51"/>
      <c r="G73" s="51"/>
      <c r="H73" s="51"/>
      <c r="I73" s="49">
        <f t="shared" si="2"/>
        <v>5.2</v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">
      <c r="A74" s="50">
        <v>70</v>
      </c>
      <c r="B74" s="50">
        <v>316</v>
      </c>
      <c r="C74" s="50">
        <v>12</v>
      </c>
      <c r="D74" s="50">
        <v>13</v>
      </c>
      <c r="E74" s="51">
        <v>1</v>
      </c>
      <c r="F74" s="51"/>
      <c r="G74" s="51"/>
      <c r="H74" s="51"/>
      <c r="I74" s="49">
        <f t="shared" si="2"/>
        <v>4.5999999999999996</v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">
      <c r="A75" s="50">
        <v>75</v>
      </c>
      <c r="B75" s="50">
        <v>324</v>
      </c>
      <c r="C75" s="50">
        <v>13</v>
      </c>
      <c r="D75" s="50">
        <v>12</v>
      </c>
      <c r="E75" s="51">
        <v>1</v>
      </c>
      <c r="F75" s="51"/>
      <c r="G75" s="51"/>
      <c r="H75" s="51"/>
      <c r="I75" s="49">
        <f t="shared" si="2"/>
        <v>4.2</v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">
      <c r="A76" s="50">
        <v>80</v>
      </c>
      <c r="B76" s="50">
        <v>330</v>
      </c>
      <c r="C76" s="50">
        <v>14</v>
      </c>
      <c r="D76" s="50">
        <v>11</v>
      </c>
      <c r="E76" s="51">
        <v>1</v>
      </c>
      <c r="F76" s="51"/>
      <c r="G76" s="51"/>
      <c r="H76" s="51"/>
      <c r="I76" s="49">
        <f t="shared" si="2"/>
        <v>3.6</v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">
      <c r="A84" s="46" t="s">
        <v>20</v>
      </c>
      <c r="B84" s="52" t="str">
        <f>IF(B11="","",B11)</f>
        <v>Charme</v>
      </c>
      <c r="D84" s="229" t="s">
        <v>45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">
      <c r="A86" s="4"/>
      <c r="B86" s="85" t="s">
        <v>46</v>
      </c>
      <c r="C86" s="259" t="s">
        <v>47</v>
      </c>
      <c r="D86" s="259"/>
      <c r="E86" s="260" t="s">
        <v>48</v>
      </c>
      <c r="F86" s="261"/>
      <c r="G86" s="261"/>
      <c r="H86" s="262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2" x14ac:dyDescent="0.3">
      <c r="A87" s="36" t="s">
        <v>49</v>
      </c>
      <c r="B87" s="36" t="s">
        <v>50</v>
      </c>
      <c r="C87" s="48" t="s">
        <v>51</v>
      </c>
      <c r="D87" s="48" t="s">
        <v>52</v>
      </c>
      <c r="E87" s="36" t="s">
        <v>53</v>
      </c>
      <c r="F87" s="36" t="s">
        <v>54</v>
      </c>
      <c r="G87" s="36" t="s">
        <v>55</v>
      </c>
      <c r="H87" s="36" t="s">
        <v>56</v>
      </c>
      <c r="I87" s="48" t="s">
        <v>57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">
      <c r="A88" s="50">
        <v>10</v>
      </c>
      <c r="B88" s="60">
        <v>64</v>
      </c>
      <c r="C88" s="60">
        <v>1</v>
      </c>
      <c r="D88" s="60">
        <v>9</v>
      </c>
      <c r="E88" s="51"/>
      <c r="F88" s="51"/>
      <c r="G88" s="51"/>
      <c r="H88" s="87">
        <v>1</v>
      </c>
      <c r="I88" s="53">
        <f>IFERROR(B88/A88,"")</f>
        <v>6.4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">
      <c r="A89" s="50">
        <v>15</v>
      </c>
      <c r="B89" s="60">
        <v>113</v>
      </c>
      <c r="C89" s="60">
        <v>2</v>
      </c>
      <c r="D89" s="60">
        <v>16</v>
      </c>
      <c r="E89" s="51"/>
      <c r="F89" s="51"/>
      <c r="G89" s="51"/>
      <c r="H89" s="87">
        <v>1</v>
      </c>
      <c r="I89" s="53">
        <f t="shared" ref="I89:I107" si="3">IF(A89&lt;&gt;0,(B89-(B88-D88))/(A89-A88),"")</f>
        <v>11.6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">
      <c r="A90" s="50">
        <v>20</v>
      </c>
      <c r="B90" s="60">
        <v>153</v>
      </c>
      <c r="C90" s="60">
        <v>3</v>
      </c>
      <c r="D90" s="60">
        <v>22</v>
      </c>
      <c r="E90" s="87"/>
      <c r="F90" s="87"/>
      <c r="G90" s="87"/>
      <c r="H90" s="87">
        <v>1</v>
      </c>
      <c r="I90" s="53">
        <f t="shared" si="3"/>
        <v>11.2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">
      <c r="A91" s="50">
        <v>25</v>
      </c>
      <c r="B91" s="60">
        <v>182</v>
      </c>
      <c r="C91" s="60">
        <v>4</v>
      </c>
      <c r="D91" s="60">
        <v>25</v>
      </c>
      <c r="E91" s="87"/>
      <c r="F91" s="87"/>
      <c r="G91" s="87"/>
      <c r="H91" s="87">
        <v>1</v>
      </c>
      <c r="I91" s="53">
        <f t="shared" si="3"/>
        <v>10.199999999999999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">
      <c r="A92" s="50">
        <v>30</v>
      </c>
      <c r="B92" s="60">
        <v>203</v>
      </c>
      <c r="C92" s="60">
        <v>5</v>
      </c>
      <c r="D92" s="60">
        <v>27</v>
      </c>
      <c r="E92" s="87"/>
      <c r="F92" s="87"/>
      <c r="G92" s="87"/>
      <c r="H92" s="87">
        <v>1</v>
      </c>
      <c r="I92" s="53">
        <f t="shared" si="3"/>
        <v>9.1999999999999993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">
      <c r="A93" s="50">
        <v>35</v>
      </c>
      <c r="B93" s="60">
        <v>219</v>
      </c>
      <c r="C93" s="60">
        <v>6</v>
      </c>
      <c r="D93" s="60">
        <v>29</v>
      </c>
      <c r="E93" s="87">
        <v>1</v>
      </c>
      <c r="F93" s="87"/>
      <c r="G93" s="87"/>
      <c r="H93" s="87"/>
      <c r="I93" s="53">
        <f t="shared" si="3"/>
        <v>8.6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">
      <c r="A94" s="50">
        <v>40</v>
      </c>
      <c r="B94" s="60">
        <v>230</v>
      </c>
      <c r="C94" s="60">
        <v>7</v>
      </c>
      <c r="D94" s="60">
        <v>29</v>
      </c>
      <c r="E94" s="87">
        <v>1</v>
      </c>
      <c r="F94" s="87"/>
      <c r="G94" s="87"/>
      <c r="H94" s="87"/>
      <c r="I94" s="53">
        <f t="shared" si="3"/>
        <v>8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">
      <c r="A95" s="60">
        <v>45</v>
      </c>
      <c r="B95" s="60">
        <v>239</v>
      </c>
      <c r="C95" s="60">
        <v>8</v>
      </c>
      <c r="D95" s="60">
        <v>30</v>
      </c>
      <c r="E95" s="87">
        <v>1</v>
      </c>
      <c r="F95" s="87"/>
      <c r="G95" s="87"/>
      <c r="H95" s="87"/>
      <c r="I95" s="53">
        <f t="shared" si="3"/>
        <v>7.6</v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">
      <c r="A96" s="60">
        <v>50</v>
      </c>
      <c r="B96" s="60">
        <v>246</v>
      </c>
      <c r="C96" s="60">
        <v>9</v>
      </c>
      <c r="D96" s="60">
        <v>30</v>
      </c>
      <c r="E96" s="87">
        <v>1</v>
      </c>
      <c r="F96" s="87"/>
      <c r="G96" s="87"/>
      <c r="H96" s="87"/>
      <c r="I96" s="53">
        <f t="shared" si="3"/>
        <v>7.4</v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">
      <c r="A97" s="60">
        <v>55</v>
      </c>
      <c r="B97" s="60">
        <v>250</v>
      </c>
      <c r="C97" s="60">
        <v>10</v>
      </c>
      <c r="D97" s="60">
        <v>29</v>
      </c>
      <c r="E97" s="87">
        <v>1</v>
      </c>
      <c r="F97" s="87"/>
      <c r="G97" s="87"/>
      <c r="H97" s="87"/>
      <c r="I97" s="53">
        <f t="shared" si="3"/>
        <v>6.8</v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">
      <c r="A98" s="60">
        <v>60</v>
      </c>
      <c r="B98" s="60">
        <v>254</v>
      </c>
      <c r="C98" s="60">
        <v>11</v>
      </c>
      <c r="D98" s="60">
        <v>29</v>
      </c>
      <c r="E98" s="87">
        <v>1</v>
      </c>
      <c r="F98" s="87"/>
      <c r="G98" s="87"/>
      <c r="H98" s="87"/>
      <c r="I98" s="53">
        <f t="shared" si="3"/>
        <v>6.6</v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">
      <c r="A99" s="60">
        <v>65</v>
      </c>
      <c r="B99" s="60">
        <v>257</v>
      </c>
      <c r="C99" s="60">
        <v>12</v>
      </c>
      <c r="D99" s="60">
        <v>28</v>
      </c>
      <c r="E99" s="87">
        <v>1</v>
      </c>
      <c r="F99" s="87"/>
      <c r="G99" s="87"/>
      <c r="H99" s="87"/>
      <c r="I99" s="53">
        <f t="shared" si="3"/>
        <v>6.4</v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">
      <c r="A100" s="60">
        <v>70</v>
      </c>
      <c r="B100" s="60">
        <v>259</v>
      </c>
      <c r="C100" s="60">
        <v>13</v>
      </c>
      <c r="D100" s="60">
        <v>27</v>
      </c>
      <c r="E100" s="65">
        <v>1</v>
      </c>
      <c r="F100" s="65"/>
      <c r="G100" s="65"/>
      <c r="H100" s="65"/>
      <c r="I100" s="53">
        <f t="shared" si="3"/>
        <v>6</v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">
      <c r="A101" s="60">
        <v>75</v>
      </c>
      <c r="B101" s="60">
        <v>261</v>
      </c>
      <c r="C101" s="60">
        <v>14</v>
      </c>
      <c r="D101" s="60">
        <v>27</v>
      </c>
      <c r="E101" s="65">
        <v>1</v>
      </c>
      <c r="F101" s="65"/>
      <c r="G101" s="65"/>
      <c r="H101" s="65"/>
      <c r="I101" s="53">
        <f t="shared" si="3"/>
        <v>5.8</v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">
      <c r="A102" s="60">
        <v>80</v>
      </c>
      <c r="B102" s="50">
        <v>262</v>
      </c>
      <c r="C102" s="60">
        <v>15</v>
      </c>
      <c r="D102" s="50">
        <v>26</v>
      </c>
      <c r="E102" s="54">
        <v>1</v>
      </c>
      <c r="F102" s="54"/>
      <c r="G102" s="54"/>
      <c r="H102" s="54"/>
      <c r="I102" s="53">
        <f t="shared" si="3"/>
        <v>5.6</v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">
      <c r="A103" s="60">
        <v>85</v>
      </c>
      <c r="B103" s="50">
        <v>263</v>
      </c>
      <c r="C103" s="60">
        <v>16</v>
      </c>
      <c r="D103" s="50">
        <v>25</v>
      </c>
      <c r="E103" s="54">
        <v>1</v>
      </c>
      <c r="F103" s="54"/>
      <c r="G103" s="54"/>
      <c r="H103" s="54"/>
      <c r="I103" s="53">
        <f t="shared" si="3"/>
        <v>5.4</v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">
      <c r="A104" s="60">
        <v>90</v>
      </c>
      <c r="B104" s="50">
        <v>264</v>
      </c>
      <c r="C104" s="60">
        <v>17</v>
      </c>
      <c r="D104" s="50">
        <v>24</v>
      </c>
      <c r="E104" s="54">
        <v>1</v>
      </c>
      <c r="F104" s="54"/>
      <c r="G104" s="54"/>
      <c r="H104" s="54"/>
      <c r="I104" s="53">
        <f t="shared" si="3"/>
        <v>5.2</v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">
      <c r="A105" s="50">
        <v>95</v>
      </c>
      <c r="B105" s="50">
        <v>264</v>
      </c>
      <c r="C105" s="50">
        <v>18</v>
      </c>
      <c r="D105" s="50">
        <v>23</v>
      </c>
      <c r="E105" s="54">
        <v>1</v>
      </c>
      <c r="F105" s="54"/>
      <c r="G105" s="54"/>
      <c r="H105" s="54"/>
      <c r="I105" s="53">
        <f t="shared" si="3"/>
        <v>4.8</v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">
      <c r="A106" s="50">
        <v>100</v>
      </c>
      <c r="B106" s="50">
        <v>265</v>
      </c>
      <c r="C106" s="50">
        <v>19</v>
      </c>
      <c r="D106" s="50">
        <v>22</v>
      </c>
      <c r="E106" s="54">
        <v>1</v>
      </c>
      <c r="F106" s="54"/>
      <c r="G106" s="54"/>
      <c r="H106" s="54"/>
      <c r="I106" s="53">
        <f t="shared" si="3"/>
        <v>4.8</v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">
      <c r="A107" s="50">
        <v>105</v>
      </c>
      <c r="B107" s="50">
        <v>265</v>
      </c>
      <c r="C107" s="50">
        <v>20</v>
      </c>
      <c r="D107" s="50">
        <v>21</v>
      </c>
      <c r="E107" s="54">
        <v>1</v>
      </c>
      <c r="F107" s="54"/>
      <c r="G107" s="54"/>
      <c r="H107" s="54"/>
      <c r="I107" s="53">
        <f t="shared" si="3"/>
        <v>4.4000000000000004</v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">
      <c r="A110" s="46" t="s">
        <v>22</v>
      </c>
      <c r="B110" s="52" t="str">
        <f>IF(B12="","",B12)</f>
        <v>Chêne sessile</v>
      </c>
      <c r="D110" s="229" t="s">
        <v>45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">
      <c r="A112" s="4"/>
      <c r="B112" s="85" t="s">
        <v>46</v>
      </c>
      <c r="C112" s="259" t="s">
        <v>47</v>
      </c>
      <c r="D112" s="259"/>
      <c r="E112" s="260" t="s">
        <v>48</v>
      </c>
      <c r="F112" s="261"/>
      <c r="G112" s="261"/>
      <c r="H112" s="262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2" x14ac:dyDescent="0.3">
      <c r="A113" s="36" t="s">
        <v>49</v>
      </c>
      <c r="B113" s="36" t="s">
        <v>50</v>
      </c>
      <c r="C113" s="48" t="s">
        <v>51</v>
      </c>
      <c r="D113" s="48" t="s">
        <v>52</v>
      </c>
      <c r="E113" s="36" t="s">
        <v>53</v>
      </c>
      <c r="F113" s="36" t="s">
        <v>54</v>
      </c>
      <c r="G113" s="36" t="s">
        <v>55</v>
      </c>
      <c r="H113" s="36" t="s">
        <v>56</v>
      </c>
      <c r="I113" s="48" t="s">
        <v>57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">
      <c r="A114" s="50">
        <v>20</v>
      </c>
      <c r="B114" s="60">
        <v>42</v>
      </c>
      <c r="C114" s="50"/>
      <c r="D114" s="60">
        <v>0</v>
      </c>
      <c r="E114" s="51"/>
      <c r="F114" s="51"/>
      <c r="G114" s="51"/>
      <c r="H114" s="51"/>
      <c r="I114" s="53">
        <f>IFERROR(B114/A114,"")</f>
        <v>2.1</v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">
      <c r="A115" s="50">
        <v>25</v>
      </c>
      <c r="B115" s="60">
        <v>70</v>
      </c>
      <c r="C115" s="50">
        <v>1</v>
      </c>
      <c r="D115" s="60">
        <v>8</v>
      </c>
      <c r="E115" s="51"/>
      <c r="F115" s="51"/>
      <c r="G115" s="51"/>
      <c r="H115" s="51">
        <v>1</v>
      </c>
      <c r="I115" s="53">
        <f t="shared" ref="I115:I133" si="4">IF(A115&lt;&gt;0,(B115-(B114-D114))/(A115-A114),"")</f>
        <v>5.6</v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">
      <c r="A116" s="50">
        <v>30</v>
      </c>
      <c r="B116" s="60">
        <v>97</v>
      </c>
      <c r="C116" s="50">
        <v>2</v>
      </c>
      <c r="D116" s="60">
        <v>21</v>
      </c>
      <c r="E116" s="51"/>
      <c r="F116" s="51"/>
      <c r="G116" s="51"/>
      <c r="H116" s="51">
        <v>1</v>
      </c>
      <c r="I116" s="53">
        <f t="shared" si="4"/>
        <v>7</v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">
      <c r="A117" s="50">
        <v>35</v>
      </c>
      <c r="B117" s="60">
        <v>116</v>
      </c>
      <c r="C117" s="50">
        <v>3</v>
      </c>
      <c r="D117" s="60">
        <v>21</v>
      </c>
      <c r="E117" s="51">
        <v>1</v>
      </c>
      <c r="F117" s="51"/>
      <c r="G117" s="51"/>
      <c r="H117" s="51"/>
      <c r="I117" s="53">
        <f t="shared" si="4"/>
        <v>8</v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">
      <c r="A118" s="50">
        <v>40</v>
      </c>
      <c r="B118" s="60">
        <v>137</v>
      </c>
      <c r="C118" s="50">
        <v>4</v>
      </c>
      <c r="D118" s="60">
        <v>21</v>
      </c>
      <c r="E118" s="51">
        <v>1</v>
      </c>
      <c r="F118" s="51"/>
      <c r="G118" s="51"/>
      <c r="H118" s="51"/>
      <c r="I118" s="53">
        <f t="shared" si="4"/>
        <v>8.4</v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">
      <c r="A119" s="50">
        <v>45</v>
      </c>
      <c r="B119" s="60">
        <v>158</v>
      </c>
      <c r="C119" s="50">
        <v>5</v>
      </c>
      <c r="D119" s="60">
        <v>21</v>
      </c>
      <c r="E119" s="51">
        <v>1</v>
      </c>
      <c r="F119" s="51"/>
      <c r="G119" s="51"/>
      <c r="H119" s="51"/>
      <c r="I119" s="53">
        <f t="shared" si="4"/>
        <v>8.4</v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">
      <c r="A120" s="60">
        <v>50</v>
      </c>
      <c r="B120" s="60">
        <v>178</v>
      </c>
      <c r="C120" s="60">
        <v>6</v>
      </c>
      <c r="D120" s="60">
        <v>21</v>
      </c>
      <c r="E120" s="87">
        <v>1</v>
      </c>
      <c r="F120" s="87"/>
      <c r="G120" s="87"/>
      <c r="H120" s="87"/>
      <c r="I120" s="53">
        <f t="shared" si="4"/>
        <v>8.1999999999999993</v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">
      <c r="A121" s="60">
        <v>55</v>
      </c>
      <c r="B121" s="60">
        <v>197</v>
      </c>
      <c r="C121" s="60">
        <v>7</v>
      </c>
      <c r="D121" s="60">
        <v>21</v>
      </c>
      <c r="E121" s="87">
        <v>1</v>
      </c>
      <c r="F121" s="87"/>
      <c r="G121" s="87"/>
      <c r="H121" s="87"/>
      <c r="I121" s="53">
        <f t="shared" si="4"/>
        <v>8</v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">
      <c r="A122" s="60">
        <v>60</v>
      </c>
      <c r="B122" s="60">
        <v>214</v>
      </c>
      <c r="C122" s="60">
        <v>8</v>
      </c>
      <c r="D122" s="60">
        <v>21</v>
      </c>
      <c r="E122" s="87">
        <v>1</v>
      </c>
      <c r="F122" s="87"/>
      <c r="G122" s="87"/>
      <c r="H122" s="87"/>
      <c r="I122" s="53">
        <f t="shared" si="4"/>
        <v>7.6</v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">
      <c r="A123" s="60">
        <v>65</v>
      </c>
      <c r="B123" s="60">
        <v>229</v>
      </c>
      <c r="C123" s="60">
        <v>9</v>
      </c>
      <c r="D123" s="60">
        <v>21</v>
      </c>
      <c r="E123" s="87">
        <v>1</v>
      </c>
      <c r="F123" s="87"/>
      <c r="G123" s="87"/>
      <c r="H123" s="87"/>
      <c r="I123" s="53">
        <f t="shared" si="4"/>
        <v>7.2</v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">
      <c r="A124" s="60">
        <v>70</v>
      </c>
      <c r="B124" s="60">
        <v>242</v>
      </c>
      <c r="C124" s="60">
        <v>10</v>
      </c>
      <c r="D124" s="60">
        <v>21</v>
      </c>
      <c r="E124" s="87">
        <v>1</v>
      </c>
      <c r="F124" s="87"/>
      <c r="G124" s="87"/>
      <c r="H124" s="87"/>
      <c r="I124" s="53">
        <f t="shared" si="4"/>
        <v>6.8</v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">
      <c r="A125" s="60">
        <v>75</v>
      </c>
      <c r="B125" s="60">
        <v>252</v>
      </c>
      <c r="C125" s="60">
        <v>11</v>
      </c>
      <c r="D125" s="60">
        <v>21</v>
      </c>
      <c r="E125" s="87">
        <v>1</v>
      </c>
      <c r="F125" s="87"/>
      <c r="G125" s="87"/>
      <c r="H125" s="87"/>
      <c r="I125" s="53">
        <f t="shared" si="4"/>
        <v>6.2</v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">
      <c r="A126" s="60">
        <v>80</v>
      </c>
      <c r="B126" s="60">
        <v>261</v>
      </c>
      <c r="C126" s="60">
        <v>12</v>
      </c>
      <c r="D126" s="60">
        <v>21</v>
      </c>
      <c r="E126" s="65">
        <v>1</v>
      </c>
      <c r="F126" s="65"/>
      <c r="G126" s="65"/>
      <c r="H126" s="65"/>
      <c r="I126" s="53">
        <f t="shared" si="4"/>
        <v>6</v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">
      <c r="A127" s="60">
        <v>85</v>
      </c>
      <c r="B127" s="60">
        <v>269</v>
      </c>
      <c r="C127" s="60">
        <v>13</v>
      </c>
      <c r="D127" s="60">
        <v>21</v>
      </c>
      <c r="E127" s="65">
        <v>1</v>
      </c>
      <c r="F127" s="65"/>
      <c r="G127" s="65"/>
      <c r="H127" s="65"/>
      <c r="I127" s="53">
        <f t="shared" si="4"/>
        <v>5.8</v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">
      <c r="A128" s="50">
        <v>90</v>
      </c>
      <c r="B128" s="50">
        <v>275</v>
      </c>
      <c r="C128" s="50">
        <v>14</v>
      </c>
      <c r="D128" s="50">
        <v>21</v>
      </c>
      <c r="E128" s="54">
        <v>1</v>
      </c>
      <c r="F128" s="54"/>
      <c r="G128" s="54"/>
      <c r="H128" s="54"/>
      <c r="I128" s="53">
        <f t="shared" si="4"/>
        <v>5.4</v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">
      <c r="A129" s="50">
        <v>95</v>
      </c>
      <c r="B129" s="50">
        <v>279</v>
      </c>
      <c r="C129" s="50">
        <v>15</v>
      </c>
      <c r="D129" s="50">
        <v>21</v>
      </c>
      <c r="E129" s="54">
        <v>1</v>
      </c>
      <c r="F129" s="54"/>
      <c r="G129" s="54"/>
      <c r="H129" s="54"/>
      <c r="I129" s="53">
        <f t="shared" si="4"/>
        <v>5</v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">
      <c r="A130" s="50">
        <v>100</v>
      </c>
      <c r="B130" s="50">
        <v>282</v>
      </c>
      <c r="C130" s="50">
        <v>16</v>
      </c>
      <c r="D130" s="50">
        <v>21</v>
      </c>
      <c r="E130" s="54">
        <v>1</v>
      </c>
      <c r="F130" s="54"/>
      <c r="G130" s="54"/>
      <c r="H130" s="54"/>
      <c r="I130" s="53">
        <f t="shared" si="4"/>
        <v>4.8</v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">
      <c r="A131" s="50">
        <v>105</v>
      </c>
      <c r="B131" s="50">
        <v>284</v>
      </c>
      <c r="C131" s="50">
        <v>17</v>
      </c>
      <c r="D131" s="50">
        <v>20</v>
      </c>
      <c r="E131" s="54">
        <v>1</v>
      </c>
      <c r="F131" s="54"/>
      <c r="G131" s="54"/>
      <c r="H131" s="54"/>
      <c r="I131" s="53">
        <f t="shared" si="4"/>
        <v>4.5999999999999996</v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">
      <c r="A132" s="50">
        <v>110</v>
      </c>
      <c r="B132" s="50">
        <v>285</v>
      </c>
      <c r="C132" s="50">
        <v>18</v>
      </c>
      <c r="D132" s="50">
        <v>19</v>
      </c>
      <c r="E132" s="54">
        <v>1</v>
      </c>
      <c r="F132" s="54"/>
      <c r="G132" s="54"/>
      <c r="H132" s="54"/>
      <c r="I132" s="53">
        <f t="shared" si="4"/>
        <v>4.2</v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">
      <c r="A133" s="50">
        <v>115</v>
      </c>
      <c r="B133" s="50">
        <v>285</v>
      </c>
      <c r="C133" s="50">
        <v>19</v>
      </c>
      <c r="D133" s="50">
        <v>18</v>
      </c>
      <c r="E133" s="54">
        <v>1</v>
      </c>
      <c r="F133" s="54"/>
      <c r="G133" s="54"/>
      <c r="H133" s="54"/>
      <c r="I133" s="53">
        <f t="shared" si="4"/>
        <v>3.8</v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">
      <c r="A136" s="46" t="s">
        <v>24</v>
      </c>
      <c r="B136" s="52" t="str">
        <f>IF(B13="","",B13)</f>
        <v/>
      </c>
      <c r="D136" s="229" t="s">
        <v>45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">
      <c r="A138" s="4"/>
      <c r="B138" s="85" t="s">
        <v>46</v>
      </c>
      <c r="C138" s="259" t="s">
        <v>47</v>
      </c>
      <c r="D138" s="259"/>
      <c r="E138" s="260" t="s">
        <v>48</v>
      </c>
      <c r="F138" s="261"/>
      <c r="G138" s="261"/>
      <c r="H138" s="262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2" x14ac:dyDescent="0.3">
      <c r="A139" s="36" t="s">
        <v>49</v>
      </c>
      <c r="B139" s="36" t="s">
        <v>50</v>
      </c>
      <c r="C139" s="48" t="s">
        <v>51</v>
      </c>
      <c r="D139" s="48" t="s">
        <v>52</v>
      </c>
      <c r="E139" s="36" t="s">
        <v>53</v>
      </c>
      <c r="F139" s="36" t="s">
        <v>54</v>
      </c>
      <c r="G139" s="36" t="s">
        <v>55</v>
      </c>
      <c r="H139" s="36" t="s">
        <v>56</v>
      </c>
      <c r="I139" s="48" t="s">
        <v>57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5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">
      <c r="A142" s="50"/>
      <c r="B142" s="60"/>
      <c r="C142" s="50"/>
      <c r="D142" s="60"/>
      <c r="E142" s="51"/>
      <c r="F142" s="51"/>
      <c r="G142" s="51"/>
      <c r="H142" s="51"/>
      <c r="I142" s="57" t="str">
        <f t="shared" si="5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">
      <c r="A143" s="50"/>
      <c r="B143" s="60"/>
      <c r="C143" s="50"/>
      <c r="D143" s="60"/>
      <c r="E143" s="51"/>
      <c r="F143" s="51"/>
      <c r="G143" s="51"/>
      <c r="H143" s="51"/>
      <c r="I143" s="57" t="str">
        <f t="shared" si="5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">
      <c r="A144" s="50"/>
      <c r="B144" s="60"/>
      <c r="C144" s="50"/>
      <c r="D144" s="60"/>
      <c r="E144" s="51"/>
      <c r="F144" s="51"/>
      <c r="G144" s="51"/>
      <c r="H144" s="51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">
      <c r="A162" s="46" t="s">
        <v>26</v>
      </c>
      <c r="B162" s="52" t="str">
        <f>IF(B14="","",B14)</f>
        <v/>
      </c>
      <c r="D162" s="229" t="s">
        <v>45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">
      <c r="A164" s="4"/>
      <c r="B164" s="85" t="s">
        <v>46</v>
      </c>
      <c r="C164" s="259" t="s">
        <v>47</v>
      </c>
      <c r="D164" s="259"/>
      <c r="E164" s="260" t="s">
        <v>48</v>
      </c>
      <c r="F164" s="261"/>
      <c r="G164" s="261"/>
      <c r="H164" s="262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2" x14ac:dyDescent="0.3">
      <c r="A165" s="36" t="s">
        <v>49</v>
      </c>
      <c r="B165" s="36" t="s">
        <v>50</v>
      </c>
      <c r="C165" s="48" t="s">
        <v>51</v>
      </c>
      <c r="D165" s="48" t="s">
        <v>52</v>
      </c>
      <c r="E165" s="36" t="s">
        <v>53</v>
      </c>
      <c r="F165" s="36" t="s">
        <v>54</v>
      </c>
      <c r="G165" s="36" t="s">
        <v>55</v>
      </c>
      <c r="H165" s="36" t="s">
        <v>56</v>
      </c>
      <c r="I165" s="48" t="s">
        <v>57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">
      <c r="A188" s="46" t="s">
        <v>27</v>
      </c>
      <c r="B188" s="52" t="str">
        <f>IF(B15="","",B15)</f>
        <v/>
      </c>
      <c r="D188" s="229" t="s">
        <v>45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">
      <c r="A190" s="4"/>
      <c r="B190" s="85" t="s">
        <v>46</v>
      </c>
      <c r="C190" s="259" t="s">
        <v>47</v>
      </c>
      <c r="D190" s="259"/>
      <c r="E190" s="260" t="s">
        <v>48</v>
      </c>
      <c r="F190" s="261"/>
      <c r="G190" s="261"/>
      <c r="H190" s="262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2" x14ac:dyDescent="0.3">
      <c r="A191" s="36" t="s">
        <v>49</v>
      </c>
      <c r="B191" s="36" t="s">
        <v>50</v>
      </c>
      <c r="C191" s="48" t="s">
        <v>51</v>
      </c>
      <c r="D191" s="48" t="s">
        <v>52</v>
      </c>
      <c r="E191" s="36" t="s">
        <v>53</v>
      </c>
      <c r="F191" s="36" t="s">
        <v>54</v>
      </c>
      <c r="G191" s="36" t="s">
        <v>55</v>
      </c>
      <c r="H191" s="36" t="s">
        <v>56</v>
      </c>
      <c r="I191" s="48" t="s">
        <v>57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">
      <c r="A214" s="46" t="s">
        <v>28</v>
      </c>
      <c r="B214" s="52" t="str">
        <f>IF(B16="","",B16)</f>
        <v/>
      </c>
      <c r="D214" s="229" t="s">
        <v>45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">
      <c r="A216" s="4"/>
      <c r="B216" s="85" t="s">
        <v>46</v>
      </c>
      <c r="C216" s="259" t="s">
        <v>47</v>
      </c>
      <c r="D216" s="259"/>
      <c r="E216" s="260" t="s">
        <v>48</v>
      </c>
      <c r="F216" s="261"/>
      <c r="G216" s="261"/>
      <c r="H216" s="262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2" x14ac:dyDescent="0.3">
      <c r="A217" s="36" t="s">
        <v>49</v>
      </c>
      <c r="B217" s="36" t="s">
        <v>50</v>
      </c>
      <c r="C217" s="48" t="s">
        <v>51</v>
      </c>
      <c r="D217" s="48" t="s">
        <v>52</v>
      </c>
      <c r="E217" s="36" t="s">
        <v>53</v>
      </c>
      <c r="F217" s="36" t="s">
        <v>54</v>
      </c>
      <c r="G217" s="36" t="s">
        <v>55</v>
      </c>
      <c r="H217" s="36" t="s">
        <v>56</v>
      </c>
      <c r="I217" s="48" t="s">
        <v>57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">
      <c r="A240" s="46" t="s">
        <v>29</v>
      </c>
      <c r="B240" s="52" t="str">
        <f>IF(B17="","",B17)</f>
        <v/>
      </c>
      <c r="D240" s="229" t="s">
        <v>45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">
      <c r="A242" s="4"/>
      <c r="B242" s="85" t="s">
        <v>46</v>
      </c>
      <c r="C242" s="259" t="s">
        <v>47</v>
      </c>
      <c r="D242" s="259"/>
      <c r="E242" s="260" t="s">
        <v>48</v>
      </c>
      <c r="F242" s="261"/>
      <c r="G242" s="261"/>
      <c r="H242" s="262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2" x14ac:dyDescent="0.3">
      <c r="A243" s="36" t="s">
        <v>49</v>
      </c>
      <c r="B243" s="36" t="s">
        <v>50</v>
      </c>
      <c r="C243" s="48" t="s">
        <v>51</v>
      </c>
      <c r="D243" s="48" t="s">
        <v>52</v>
      </c>
      <c r="E243" s="36" t="s">
        <v>53</v>
      </c>
      <c r="F243" s="36" t="s">
        <v>54</v>
      </c>
      <c r="G243" s="36" t="s">
        <v>55</v>
      </c>
      <c r="H243" s="36" t="s">
        <v>56</v>
      </c>
      <c r="I243" s="48" t="s">
        <v>57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">
      <c r="A266" s="46" t="s">
        <v>30</v>
      </c>
      <c r="B266" s="52" t="str">
        <f>IF(B18="","",B18)</f>
        <v/>
      </c>
      <c r="D266" s="229" t="s">
        <v>45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">
      <c r="A268" s="4"/>
      <c r="B268" s="85" t="s">
        <v>46</v>
      </c>
      <c r="C268" s="259" t="s">
        <v>47</v>
      </c>
      <c r="D268" s="259"/>
      <c r="E268" s="260" t="s">
        <v>48</v>
      </c>
      <c r="F268" s="261"/>
      <c r="G268" s="261"/>
      <c r="H268" s="262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2" x14ac:dyDescent="0.3">
      <c r="A269" s="36" t="s">
        <v>49</v>
      </c>
      <c r="B269" s="36" t="s">
        <v>50</v>
      </c>
      <c r="C269" s="48" t="s">
        <v>51</v>
      </c>
      <c r="D269" s="48" t="s">
        <v>52</v>
      </c>
      <c r="E269" s="36" t="s">
        <v>53</v>
      </c>
      <c r="F269" s="36" t="s">
        <v>54</v>
      </c>
      <c r="G269" s="36" t="s">
        <v>55</v>
      </c>
      <c r="H269" s="36" t="s">
        <v>56</v>
      </c>
      <c r="I269" s="48" t="s">
        <v>57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G19" sqref="G19"/>
    </sheetView>
  </sheetViews>
  <sheetFormatPr baseColWidth="10" defaultColWidth="11.44140625" defaultRowHeight="14.4" x14ac:dyDescent="0.3"/>
  <cols>
    <col min="1" max="1" width="5.77734375" style="1" customWidth="1"/>
    <col min="2" max="2" width="14.21875" style="1" customWidth="1"/>
    <col min="3" max="3" width="62.21875" style="1" customWidth="1"/>
    <col min="4" max="5" width="4.21875" style="1" customWidth="1"/>
    <col min="6" max="6" width="14.21875" style="1" customWidth="1"/>
    <col min="7" max="7" width="73.21875" style="1" bestFit="1" customWidth="1"/>
    <col min="8" max="10" width="11.44140625" style="1"/>
    <col min="11" max="11" width="12.5546875" style="1" customWidth="1"/>
    <col min="12" max="16384" width="11.44140625" style="1"/>
  </cols>
  <sheetData>
    <row r="1" spans="1:38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4" thickBot="1" x14ac:dyDescent="0.55000000000000004">
      <c r="A2" s="4"/>
      <c r="B2" s="272" t="s">
        <v>58</v>
      </c>
      <c r="C2" s="273"/>
      <c r="D2" s="273"/>
      <c r="E2" s="273"/>
      <c r="F2" s="273"/>
      <c r="G2" s="274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">
      <c r="A4" s="4"/>
      <c r="B4" s="271"/>
      <c r="C4" s="271"/>
      <c r="D4" s="271"/>
      <c r="E4" s="271"/>
      <c r="F4" s="271"/>
      <c r="G4" s="271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">
      <c r="A5" s="4"/>
      <c r="B5" s="98" t="s">
        <v>59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">
      <c r="A7" s="99"/>
      <c r="B7" s="26" t="s">
        <v>60</v>
      </c>
      <c r="C7" s="100" t="s">
        <v>61</v>
      </c>
      <c r="D7" s="215"/>
      <c r="E7" s="101"/>
      <c r="F7" s="26" t="s">
        <v>60</v>
      </c>
      <c r="G7" s="100" t="s">
        <v>62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3">
      <c r="A8" s="105">
        <v>1</v>
      </c>
      <c r="B8" s="61">
        <v>0</v>
      </c>
      <c r="C8" s="49" t="s">
        <v>63</v>
      </c>
      <c r="D8" s="23"/>
      <c r="E8" s="105">
        <v>4</v>
      </c>
      <c r="F8" s="61">
        <v>0</v>
      </c>
      <c r="G8" s="102" t="s">
        <v>64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">
      <c r="A9" s="105">
        <v>2</v>
      </c>
      <c r="B9" s="61">
        <v>1</v>
      </c>
      <c r="C9" s="108" t="s">
        <v>65</v>
      </c>
      <c r="D9" s="23"/>
      <c r="E9" s="105">
        <v>5</v>
      </c>
      <c r="F9" s="61">
        <v>0</v>
      </c>
      <c r="G9" s="103" t="s">
        <v>66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">
      <c r="A10" s="105">
        <v>3</v>
      </c>
      <c r="B10" s="61">
        <v>0</v>
      </c>
      <c r="C10" s="109" t="s">
        <v>67</v>
      </c>
      <c r="D10" s="23"/>
      <c r="E10" s="4"/>
      <c r="F10" s="106">
        <f>SUM(F7:F9)</f>
        <v>0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">
      <c r="A13" s="216"/>
      <c r="B13" s="107"/>
      <c r="C13" s="98" t="s">
        <v>68</v>
      </c>
      <c r="D13" s="216"/>
      <c r="E13" s="99"/>
      <c r="F13" s="107"/>
      <c r="G13" s="98" t="s">
        <v>69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3">
      <c r="A14" s="216"/>
      <c r="B14" s="107"/>
      <c r="C14" s="98" t="s">
        <v>70</v>
      </c>
      <c r="D14" s="216"/>
      <c r="E14" s="99"/>
      <c r="F14" s="107"/>
      <c r="G14" s="98" t="s">
        <v>71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3">
      <c r="A15" s="23"/>
      <c r="B15" s="26" t="s">
        <v>60</v>
      </c>
      <c r="C15" s="4"/>
      <c r="D15" s="23"/>
      <c r="E15" s="4"/>
      <c r="F15" s="4"/>
      <c r="G15" s="2" t="s">
        <v>72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">
      <c r="A16" s="23"/>
      <c r="B16" s="61">
        <v>0</v>
      </c>
      <c r="C16" s="110" t="s">
        <v>73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">
      <c r="A17" s="23"/>
      <c r="B17" s="61">
        <v>0</v>
      </c>
      <c r="C17" s="110" t="s">
        <v>74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">
      <c r="A18" s="23"/>
      <c r="B18" s="61">
        <v>0</v>
      </c>
      <c r="C18" s="110" t="s">
        <v>75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">
      <c r="A19" s="23"/>
      <c r="B19" s="106">
        <f>SUM(B16:B18)</f>
        <v>0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">
      <c r="C104" s="4"/>
      <c r="F104" s="4"/>
    </row>
    <row r="105" spans="3:35" x14ac:dyDescent="0.3">
      <c r="C105" s="4"/>
      <c r="F105" s="4"/>
    </row>
    <row r="106" spans="3:35" x14ac:dyDescent="0.3">
      <c r="C106" s="4"/>
      <c r="F106" s="4"/>
    </row>
    <row r="107" spans="3:35" x14ac:dyDescent="0.3">
      <c r="C107" s="4"/>
      <c r="F107" s="4"/>
    </row>
    <row r="108" spans="3:35" x14ac:dyDescent="0.3">
      <c r="C108" s="4"/>
      <c r="F108" s="4"/>
    </row>
    <row r="109" spans="3:35" x14ac:dyDescent="0.3">
      <c r="C109" s="4"/>
      <c r="F109" s="4"/>
    </row>
    <row r="110" spans="3:35" x14ac:dyDescent="0.3">
      <c r="C110" s="4"/>
      <c r="F110" s="4"/>
    </row>
    <row r="111" spans="3:35" x14ac:dyDescent="0.3">
      <c r="C111" s="4"/>
      <c r="F111" s="4"/>
    </row>
    <row r="112" spans="3:35" x14ac:dyDescent="0.3">
      <c r="C112" s="4"/>
      <c r="F112" s="4"/>
    </row>
    <row r="113" spans="3:6" x14ac:dyDescent="0.3">
      <c r="C113" s="4"/>
      <c r="F113" s="4"/>
    </row>
    <row r="114" spans="3:6" x14ac:dyDescent="0.3">
      <c r="C114" s="4"/>
      <c r="F114" s="4"/>
    </row>
    <row r="115" spans="3:6" x14ac:dyDescent="0.3">
      <c r="C115" s="4"/>
      <c r="F115" s="4"/>
    </row>
    <row r="116" spans="3:6" x14ac:dyDescent="0.3">
      <c r="C116" s="4"/>
      <c r="F116" s="4"/>
    </row>
    <row r="117" spans="3:6" x14ac:dyDescent="0.3">
      <c r="C117" s="4"/>
      <c r="F117" s="4"/>
    </row>
    <row r="118" spans="3:6" x14ac:dyDescent="0.3">
      <c r="C118" s="4"/>
      <c r="F118" s="4"/>
    </row>
    <row r="119" spans="3:6" x14ac:dyDescent="0.3">
      <c r="C119" s="4"/>
      <c r="F119" s="4"/>
    </row>
    <row r="120" spans="3:6" x14ac:dyDescent="0.3">
      <c r="C120" s="4"/>
      <c r="F120" s="4"/>
    </row>
    <row r="121" spans="3:6" x14ac:dyDescent="0.3">
      <c r="C121" s="4"/>
      <c r="F121" s="4"/>
    </row>
    <row r="122" spans="3:6" x14ac:dyDescent="0.3">
      <c r="C122" s="4"/>
      <c r="F122" s="4"/>
    </row>
    <row r="123" spans="3:6" x14ac:dyDescent="0.3">
      <c r="C123" s="4"/>
      <c r="F123" s="4"/>
    </row>
    <row r="124" spans="3:6" x14ac:dyDescent="0.3">
      <c r="C124" s="4"/>
      <c r="F124" s="4"/>
    </row>
    <row r="125" spans="3:6" x14ac:dyDescent="0.3">
      <c r="C125" s="4"/>
      <c r="F125" s="4"/>
    </row>
    <row r="126" spans="3:6" x14ac:dyDescent="0.3">
      <c r="C126" s="4"/>
      <c r="F126" s="4"/>
    </row>
    <row r="127" spans="3:6" x14ac:dyDescent="0.3">
      <c r="C127" s="4"/>
      <c r="F127" s="4"/>
    </row>
    <row r="128" spans="3:6" x14ac:dyDescent="0.3">
      <c r="C128" s="4"/>
      <c r="F128" s="4"/>
    </row>
    <row r="129" spans="3:6" x14ac:dyDescent="0.3">
      <c r="C129" s="4"/>
      <c r="F129" s="4"/>
    </row>
    <row r="130" spans="3:6" x14ac:dyDescent="0.3">
      <c r="C130" s="4"/>
      <c r="F130" s="4"/>
    </row>
    <row r="131" spans="3:6" x14ac:dyDescent="0.3">
      <c r="C131" s="4"/>
      <c r="F131" s="4"/>
    </row>
    <row r="132" spans="3:6" x14ac:dyDescent="0.3">
      <c r="F132" s="4"/>
    </row>
    <row r="133" spans="3:6" x14ac:dyDescent="0.3">
      <c r="F133" s="4"/>
    </row>
    <row r="134" spans="3:6" x14ac:dyDescent="0.3">
      <c r="F134" s="4"/>
    </row>
    <row r="135" spans="3:6" x14ac:dyDescent="0.3">
      <c r="F135" s="4"/>
    </row>
    <row r="136" spans="3:6" x14ac:dyDescent="0.3">
      <c r="F136" s="4"/>
    </row>
    <row r="137" spans="3:6" x14ac:dyDescent="0.3">
      <c r="F137" s="4"/>
    </row>
    <row r="138" spans="3:6" x14ac:dyDescent="0.3">
      <c r="F138" s="4"/>
    </row>
    <row r="139" spans="3:6" x14ac:dyDescent="0.3">
      <c r="F139" s="4"/>
    </row>
    <row r="140" spans="3:6" x14ac:dyDescent="0.3">
      <c r="F140" s="4"/>
    </row>
    <row r="141" spans="3:6" x14ac:dyDescent="0.3">
      <c r="F141" s="4"/>
    </row>
    <row r="142" spans="3:6" x14ac:dyDescent="0.3">
      <c r="F142" s="4"/>
    </row>
    <row r="143" spans="3:6" x14ac:dyDescent="0.3">
      <c r="F143" s="4"/>
    </row>
    <row r="144" spans="3:6" x14ac:dyDescent="0.3">
      <c r="F144" s="4"/>
    </row>
    <row r="145" spans="6:6" x14ac:dyDescent="0.3">
      <c r="F145" s="4"/>
    </row>
    <row r="146" spans="6:6" x14ac:dyDescent="0.3">
      <c r="F146" s="4"/>
    </row>
    <row r="147" spans="6:6" x14ac:dyDescent="0.3">
      <c r="F147" s="4"/>
    </row>
    <row r="148" spans="6:6" x14ac:dyDescent="0.3">
      <c r="F148" s="4"/>
    </row>
    <row r="149" spans="6:6" x14ac:dyDescent="0.3">
      <c r="F149" s="4"/>
    </row>
    <row r="150" spans="6:6" x14ac:dyDescent="0.3">
      <c r="F150" s="4"/>
    </row>
    <row r="151" spans="6:6" x14ac:dyDescent="0.3">
      <c r="F151" s="4"/>
    </row>
    <row r="152" spans="6:6" x14ac:dyDescent="0.3">
      <c r="F152" s="4"/>
    </row>
    <row r="153" spans="6:6" x14ac:dyDescent="0.3">
      <c r="F153" s="4"/>
    </row>
    <row r="154" spans="6:6" x14ac:dyDescent="0.3">
      <c r="F154" s="4"/>
    </row>
    <row r="155" spans="6:6" x14ac:dyDescent="0.3">
      <c r="F155" s="4"/>
    </row>
    <row r="156" spans="6:6" x14ac:dyDescent="0.3">
      <c r="F156" s="4"/>
    </row>
    <row r="157" spans="6:6" x14ac:dyDescent="0.3">
      <c r="F157" s="4"/>
    </row>
    <row r="158" spans="6:6" x14ac:dyDescent="0.3">
      <c r="F158" s="4"/>
    </row>
    <row r="159" spans="6:6" x14ac:dyDescent="0.3">
      <c r="F159" s="4"/>
    </row>
    <row r="160" spans="6:6" x14ac:dyDescent="0.3">
      <c r="F160" s="4"/>
    </row>
    <row r="161" spans="6:6" x14ac:dyDescent="0.3">
      <c r="F161" s="4"/>
    </row>
    <row r="162" spans="6:6" x14ac:dyDescent="0.3">
      <c r="F162" s="4"/>
    </row>
    <row r="163" spans="6:6" x14ac:dyDescent="0.3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77734375" style="4" bestFit="1" customWidth="1"/>
    <col min="2" max="4" width="11.44140625" style="4"/>
    <col min="5" max="5" width="9.5546875" style="4" customWidth="1"/>
    <col min="6" max="7" width="11.44140625" style="4"/>
    <col min="8" max="8" width="10.77734375" style="4" customWidth="1"/>
    <col min="9" max="9" width="9.44140625" style="4" customWidth="1"/>
    <col min="10" max="11" width="10.5546875" style="4" bestFit="1" customWidth="1"/>
    <col min="12" max="12" width="14" style="4" bestFit="1" customWidth="1"/>
    <col min="13" max="13" width="14" style="4" customWidth="1"/>
    <col min="14" max="23" width="11.44140625" style="4"/>
    <col min="24" max="24" width="11.77734375" style="4" bestFit="1" customWidth="1"/>
    <col min="25" max="25" width="14.5546875" style="4" bestFit="1" customWidth="1"/>
    <col min="26" max="26" width="12.44140625" style="4" bestFit="1" customWidth="1"/>
    <col min="27" max="27" width="9.77734375" style="4" bestFit="1" customWidth="1"/>
    <col min="28" max="28" width="11" style="4" bestFit="1" customWidth="1"/>
    <col min="29" max="29" width="9.44140625" style="4" bestFit="1" customWidth="1"/>
    <col min="30" max="31" width="9.44140625" style="4" customWidth="1"/>
    <col min="32" max="32" width="11.44140625" style="4"/>
    <col min="33" max="34" width="14" style="4" bestFit="1" customWidth="1"/>
    <col min="35" max="35" width="10.5546875" style="4" bestFit="1" customWidth="1"/>
    <col min="36" max="36" width="9.44140625" style="4" bestFit="1" customWidth="1"/>
    <col min="37" max="38" width="10.5546875" style="4" bestFit="1" customWidth="1"/>
    <col min="39" max="41" width="10.5546875" style="4" customWidth="1"/>
    <col min="42" max="42" width="9" style="4" bestFit="1" customWidth="1"/>
    <col min="43" max="43" width="10.5546875" style="4" bestFit="1" customWidth="1"/>
    <col min="44" max="44" width="9.21875" style="4" bestFit="1" customWidth="1"/>
    <col min="45" max="45" width="11.77734375" style="4" bestFit="1" customWidth="1"/>
    <col min="46" max="46" width="8.44140625" style="4" bestFit="1" customWidth="1"/>
    <col min="47" max="47" width="9.44140625" style="4" bestFit="1" customWidth="1"/>
    <col min="48" max="48" width="9.77734375" style="4" bestFit="1" customWidth="1"/>
    <col min="49" max="49" width="11" style="4" bestFit="1" customWidth="1"/>
    <col min="50" max="50" width="9.44140625" style="4" bestFit="1" customWidth="1"/>
    <col min="51" max="52" width="9.44140625" style="4" customWidth="1"/>
    <col min="53" max="53" width="10.5546875" style="4" bestFit="1" customWidth="1"/>
    <col min="54" max="54" width="14.21875" style="4" customWidth="1"/>
    <col min="55" max="55" width="14" style="4" customWidth="1"/>
    <col min="56" max="56" width="10.5546875" style="4" bestFit="1" customWidth="1"/>
    <col min="57" max="57" width="9.44140625" style="4" bestFit="1" customWidth="1"/>
    <col min="58" max="59" width="10.5546875" style="4" bestFit="1" customWidth="1"/>
    <col min="60" max="62" width="10.5546875" style="4" customWidth="1"/>
    <col min="63" max="63" width="9" style="4" bestFit="1" customWidth="1"/>
    <col min="64" max="64" width="10.5546875" style="4" bestFit="1" customWidth="1"/>
    <col min="65" max="65" width="9.21875" style="4" bestFit="1" customWidth="1"/>
    <col min="66" max="66" width="11.77734375" style="4" bestFit="1" customWidth="1"/>
    <col min="67" max="67" width="8.44140625" style="4" bestFit="1" customWidth="1"/>
    <col min="68" max="68" width="9.44140625" style="4" bestFit="1" customWidth="1"/>
    <col min="69" max="69" width="9.77734375" style="4" bestFit="1" customWidth="1"/>
    <col min="70" max="70" width="11" style="4" bestFit="1" customWidth="1"/>
    <col min="71" max="71" width="9.44140625" style="4" bestFit="1" customWidth="1"/>
    <col min="72" max="73" width="9.44140625" style="4" customWidth="1"/>
    <col min="74" max="74" width="10.5546875" style="4" bestFit="1" customWidth="1"/>
    <col min="75" max="75" width="14" style="4" bestFit="1" customWidth="1"/>
    <col min="76" max="76" width="13.77734375" style="4" customWidth="1"/>
    <col min="77" max="77" width="10.5546875" style="4" bestFit="1" customWidth="1"/>
    <col min="78" max="78" width="9.44140625" style="4" bestFit="1" customWidth="1"/>
    <col min="79" max="80" width="10.5546875" style="4" bestFit="1" customWidth="1"/>
    <col min="81" max="83" width="10.5546875" style="4" customWidth="1"/>
    <col min="84" max="84" width="11.44140625" style="4"/>
    <col min="85" max="85" width="10.5546875" style="4" bestFit="1" customWidth="1"/>
    <col min="86" max="86" width="9.21875" style="4" bestFit="1" customWidth="1"/>
    <col min="87" max="87" width="11.77734375" style="4" bestFit="1" customWidth="1"/>
    <col min="88" max="88" width="8.44140625" style="4" bestFit="1" customWidth="1"/>
    <col min="89" max="89" width="9.44140625" style="4" bestFit="1" customWidth="1"/>
    <col min="90" max="90" width="9.77734375" style="4" bestFit="1" customWidth="1"/>
    <col min="91" max="91" width="11" style="4" bestFit="1" customWidth="1"/>
    <col min="92" max="92" width="9.44140625" style="4" bestFit="1" customWidth="1"/>
    <col min="93" max="94" width="9.44140625" style="4" customWidth="1"/>
    <col min="95" max="95" width="11.44140625" style="4"/>
    <col min="96" max="97" width="14" style="4" customWidth="1"/>
    <col min="98" max="98" width="10.5546875" style="4" bestFit="1" customWidth="1"/>
    <col min="99" max="99" width="9.44140625" style="4" bestFit="1" customWidth="1"/>
    <col min="100" max="101" width="10.5546875" style="4" bestFit="1" customWidth="1"/>
    <col min="102" max="104" width="10.5546875" style="4" customWidth="1"/>
    <col min="105" max="105" width="9" style="4" bestFit="1" customWidth="1"/>
    <col min="106" max="106" width="10.5546875" style="4" bestFit="1" customWidth="1"/>
    <col min="107" max="107" width="9.21875" style="4" bestFit="1" customWidth="1"/>
    <col min="108" max="108" width="11.77734375" style="4" bestFit="1" customWidth="1"/>
    <col min="109" max="109" width="8.44140625" style="4" bestFit="1" customWidth="1"/>
    <col min="110" max="110" width="9.44140625" style="4" bestFit="1" customWidth="1"/>
    <col min="111" max="111" width="9.77734375" style="4" bestFit="1" customWidth="1"/>
    <col min="112" max="112" width="11" style="4" bestFit="1" customWidth="1"/>
    <col min="113" max="113" width="9.44140625" style="4" bestFit="1" customWidth="1"/>
    <col min="114" max="115" width="9.44140625" style="4" customWidth="1"/>
    <col min="116" max="116" width="10.5546875" style="4" bestFit="1" customWidth="1"/>
    <col min="117" max="117" width="14.21875" style="4" customWidth="1"/>
    <col min="118" max="118" width="14" style="4" bestFit="1" customWidth="1"/>
    <col min="119" max="119" width="10.5546875" style="4" bestFit="1" customWidth="1"/>
    <col min="120" max="120" width="9.44140625" style="4" bestFit="1" customWidth="1"/>
    <col min="121" max="122" width="10.5546875" style="4" bestFit="1" customWidth="1"/>
    <col min="123" max="125" width="10.5546875" style="4" customWidth="1"/>
    <col min="126" max="126" width="9" style="4" bestFit="1" customWidth="1"/>
    <col min="127" max="127" width="10.5546875" style="4" bestFit="1" customWidth="1"/>
    <col min="128" max="128" width="9.21875" style="4" bestFit="1" customWidth="1"/>
    <col min="129" max="129" width="11.77734375" style="4" bestFit="1" customWidth="1"/>
    <col min="130" max="130" width="8.44140625" style="4" bestFit="1" customWidth="1"/>
    <col min="131" max="131" width="9.44140625" style="4" bestFit="1" customWidth="1"/>
    <col min="132" max="132" width="9.77734375" style="4" bestFit="1" customWidth="1"/>
    <col min="133" max="133" width="11" style="4" bestFit="1" customWidth="1"/>
    <col min="134" max="134" width="9.44140625" style="4" bestFit="1" customWidth="1"/>
    <col min="135" max="136" width="9.44140625" style="4" customWidth="1"/>
    <col min="137" max="137" width="10.5546875" style="4" bestFit="1" customWidth="1"/>
    <col min="138" max="139" width="14" style="4" customWidth="1"/>
    <col min="140" max="140" width="10.5546875" style="4" bestFit="1" customWidth="1"/>
    <col min="141" max="141" width="9.44140625" style="4" bestFit="1" customWidth="1"/>
    <col min="142" max="143" width="10.5546875" style="4" bestFit="1" customWidth="1"/>
    <col min="144" max="146" width="10.5546875" style="4" customWidth="1"/>
    <col min="147" max="147" width="9" style="4" bestFit="1" customWidth="1"/>
    <col min="148" max="148" width="10.5546875" style="4" bestFit="1" customWidth="1"/>
    <col min="149" max="149" width="9.21875" style="4" bestFit="1" customWidth="1"/>
    <col min="150" max="150" width="11.77734375" style="4" bestFit="1" customWidth="1"/>
    <col min="151" max="151" width="8.44140625" style="4" bestFit="1" customWidth="1"/>
    <col min="152" max="152" width="9.44140625" style="4" bestFit="1" customWidth="1"/>
    <col min="153" max="153" width="9.77734375" style="4" bestFit="1" customWidth="1"/>
    <col min="154" max="154" width="11" style="4" bestFit="1" customWidth="1"/>
    <col min="155" max="155" width="9.44140625" style="4" bestFit="1" customWidth="1"/>
    <col min="156" max="157" width="9.44140625" style="4" customWidth="1"/>
    <col min="158" max="158" width="11.44140625" style="4"/>
    <col min="159" max="160" width="14" style="4" bestFit="1" customWidth="1"/>
    <col min="161" max="161" width="10.5546875" style="4" bestFit="1" customWidth="1"/>
    <col min="162" max="162" width="9.44140625" style="4" bestFit="1" customWidth="1"/>
    <col min="163" max="164" width="10.5546875" style="4" bestFit="1" customWidth="1"/>
    <col min="165" max="167" width="10.5546875" style="4" customWidth="1"/>
    <col min="168" max="168" width="9" style="4" bestFit="1" customWidth="1"/>
    <col min="169" max="169" width="10.5546875" style="4" bestFit="1" customWidth="1"/>
    <col min="170" max="170" width="9.21875" style="4" bestFit="1" customWidth="1"/>
    <col min="171" max="171" width="11.77734375" style="4" bestFit="1" customWidth="1"/>
    <col min="172" max="172" width="8.21875" style="4" bestFit="1" customWidth="1"/>
    <col min="173" max="173" width="9.44140625" style="4" bestFit="1" customWidth="1"/>
    <col min="174" max="174" width="9.77734375" style="4" bestFit="1" customWidth="1"/>
    <col min="175" max="175" width="11" style="4" bestFit="1" customWidth="1"/>
    <col min="176" max="176" width="9.44140625" style="4" bestFit="1" customWidth="1"/>
    <col min="177" max="178" width="9.44140625" style="4" customWidth="1"/>
    <col min="179" max="179" width="10.5546875" style="4" bestFit="1" customWidth="1"/>
    <col min="180" max="181" width="14" style="4" bestFit="1" customWidth="1"/>
    <col min="182" max="182" width="10.5546875" style="4" bestFit="1" customWidth="1"/>
    <col min="183" max="183" width="9.44140625" style="4" bestFit="1" customWidth="1"/>
    <col min="184" max="185" width="10.5546875" style="4" bestFit="1" customWidth="1"/>
    <col min="186" max="188" width="10.5546875" style="4" customWidth="1"/>
    <col min="189" max="189" width="9" style="4" bestFit="1" customWidth="1"/>
    <col min="190" max="190" width="10.5546875" style="4" bestFit="1" customWidth="1"/>
    <col min="191" max="191" width="9.21875" style="4" bestFit="1" customWidth="1"/>
    <col min="192" max="192" width="11.44140625" style="4"/>
    <col min="193" max="193" width="8.44140625" style="4" bestFit="1" customWidth="1"/>
    <col min="194" max="194" width="9.44140625" style="4" bestFit="1" customWidth="1"/>
    <col min="195" max="195" width="9.77734375" style="4" bestFit="1" customWidth="1"/>
    <col min="196" max="196" width="11" style="4" bestFit="1" customWidth="1"/>
    <col min="197" max="197" width="9.44140625" style="4" bestFit="1" customWidth="1"/>
    <col min="198" max="199" width="9.44140625" style="4" customWidth="1"/>
    <col min="200" max="200" width="10.5546875" style="4" bestFit="1" customWidth="1"/>
    <col min="201" max="201" width="14" style="4" customWidth="1"/>
    <col min="202" max="202" width="14.21875" style="4" customWidth="1"/>
    <col min="203" max="203" width="10.5546875" style="4" bestFit="1" customWidth="1"/>
    <col min="204" max="204" width="9.44140625" style="4" bestFit="1" customWidth="1"/>
    <col min="205" max="206" width="10.5546875" style="4" bestFit="1" customWidth="1"/>
    <col min="207" max="209" width="10.5546875" style="4" customWidth="1"/>
    <col min="210" max="210" width="9" style="4" bestFit="1" customWidth="1"/>
    <col min="211" max="211" width="10.5546875" style="4" bestFit="1" customWidth="1"/>
    <col min="212" max="212" width="9.21875" style="4" bestFit="1" customWidth="1"/>
    <col min="213" max="213" width="11.77734375" style="4" bestFit="1" customWidth="1"/>
    <col min="214" max="214" width="8.44140625" style="4" bestFit="1" customWidth="1"/>
    <col min="215" max="215" width="9.44140625" style="4" bestFit="1" customWidth="1"/>
    <col min="216" max="216" width="9.77734375" style="4" bestFit="1" customWidth="1"/>
    <col min="217" max="217" width="11" style="4" bestFit="1" customWidth="1"/>
    <col min="218" max="218" width="9.44140625" style="4" bestFit="1" customWidth="1"/>
    <col min="219" max="16384" width="11.44140625" style="4"/>
  </cols>
  <sheetData>
    <row r="1" spans="1:218" ht="26.4" thickBot="1" x14ac:dyDescent="0.55000000000000004">
      <c r="B1" s="278" t="s">
        <v>76</v>
      </c>
      <c r="C1" s="279"/>
      <c r="D1" s="279"/>
      <c r="E1" s="279"/>
      <c r="F1" s="279"/>
      <c r="G1" s="279"/>
      <c r="H1" s="280"/>
      <c r="I1" s="275" t="str">
        <f>IF('Données projet'!$B$9="","",'Données projet'!$B$9)</f>
        <v>Robinier faux-acacia</v>
      </c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6"/>
      <c r="Y1" s="276"/>
      <c r="Z1" s="276"/>
      <c r="AA1" s="276"/>
      <c r="AB1" s="276"/>
      <c r="AC1" s="277"/>
      <c r="AD1" s="276" t="str">
        <f>IF('Données projet'!$B$10="","",'Données projet'!$B$10)</f>
        <v>Aulne glutineux</v>
      </c>
      <c r="AE1" s="276"/>
      <c r="AF1" s="276"/>
      <c r="AG1" s="276"/>
      <c r="AH1" s="276"/>
      <c r="AI1" s="276"/>
      <c r="AJ1" s="276"/>
      <c r="AK1" s="276"/>
      <c r="AL1" s="276"/>
      <c r="AM1" s="276"/>
      <c r="AN1" s="276"/>
      <c r="AO1" s="276"/>
      <c r="AP1" s="276"/>
      <c r="AQ1" s="276"/>
      <c r="AR1" s="276"/>
      <c r="AS1" s="276"/>
      <c r="AT1" s="276"/>
      <c r="AU1" s="276"/>
      <c r="AV1" s="276"/>
      <c r="AW1" s="276"/>
      <c r="AX1" s="277"/>
      <c r="AY1" s="275" t="str">
        <f>IF('Données projet'!$B$11="","",'Données projet'!$B$11)</f>
        <v>Charme</v>
      </c>
      <c r="AZ1" s="276"/>
      <c r="BA1" s="276"/>
      <c r="BB1" s="276"/>
      <c r="BC1" s="276"/>
      <c r="BD1" s="276"/>
      <c r="BE1" s="276"/>
      <c r="BF1" s="276"/>
      <c r="BG1" s="276"/>
      <c r="BH1" s="276"/>
      <c r="BI1" s="276"/>
      <c r="BJ1" s="276"/>
      <c r="BK1" s="276"/>
      <c r="BL1" s="276"/>
      <c r="BM1" s="276"/>
      <c r="BN1" s="276"/>
      <c r="BO1" s="276"/>
      <c r="BP1" s="276"/>
      <c r="BQ1" s="276"/>
      <c r="BR1" s="276"/>
      <c r="BS1" s="277"/>
      <c r="BT1" s="275" t="str">
        <f>IF('Données projet'!$B$12="","",'Données projet'!$B$12)</f>
        <v>Chêne sessile</v>
      </c>
      <c r="BU1" s="276"/>
      <c r="BV1" s="276"/>
      <c r="BW1" s="276"/>
      <c r="BX1" s="276"/>
      <c r="BY1" s="276"/>
      <c r="BZ1" s="276"/>
      <c r="CA1" s="276"/>
      <c r="CB1" s="276"/>
      <c r="CC1" s="276"/>
      <c r="CD1" s="276"/>
      <c r="CE1" s="276"/>
      <c r="CF1" s="276"/>
      <c r="CG1" s="276"/>
      <c r="CH1" s="276"/>
      <c r="CI1" s="276"/>
      <c r="CJ1" s="276"/>
      <c r="CK1" s="276"/>
      <c r="CL1" s="276"/>
      <c r="CM1" s="276"/>
      <c r="CN1" s="277"/>
      <c r="CO1" s="275" t="str">
        <f>IF('Données projet'!$B$13="","",'Données projet'!$B$13)</f>
        <v/>
      </c>
      <c r="CP1" s="276"/>
      <c r="CQ1" s="276"/>
      <c r="CR1" s="276"/>
      <c r="CS1" s="276"/>
      <c r="CT1" s="276"/>
      <c r="CU1" s="276"/>
      <c r="CV1" s="276"/>
      <c r="CW1" s="276"/>
      <c r="CX1" s="276"/>
      <c r="CY1" s="276"/>
      <c r="CZ1" s="276"/>
      <c r="DA1" s="276"/>
      <c r="DB1" s="276"/>
      <c r="DC1" s="276"/>
      <c r="DD1" s="276"/>
      <c r="DE1" s="276"/>
      <c r="DF1" s="276"/>
      <c r="DG1" s="276"/>
      <c r="DH1" s="276"/>
      <c r="DI1" s="277"/>
      <c r="DJ1" s="275" t="str">
        <f>IF('Données projet'!$B$14="","",'Données projet'!$B$14)</f>
        <v/>
      </c>
      <c r="DK1" s="276"/>
      <c r="DL1" s="276"/>
      <c r="DM1" s="276"/>
      <c r="DN1" s="276"/>
      <c r="DO1" s="276"/>
      <c r="DP1" s="276"/>
      <c r="DQ1" s="276"/>
      <c r="DR1" s="276"/>
      <c r="DS1" s="276"/>
      <c r="DT1" s="276"/>
      <c r="DU1" s="276"/>
      <c r="DV1" s="276"/>
      <c r="DW1" s="276"/>
      <c r="DX1" s="276"/>
      <c r="DY1" s="276"/>
      <c r="DZ1" s="276"/>
      <c r="EA1" s="276"/>
      <c r="EB1" s="276"/>
      <c r="EC1" s="276"/>
      <c r="ED1" s="277"/>
      <c r="EE1" s="275" t="str">
        <f>IF('Données projet'!$B$15="","",'Données projet'!$B$15)</f>
        <v/>
      </c>
      <c r="EF1" s="276"/>
      <c r="EG1" s="276"/>
      <c r="EH1" s="276"/>
      <c r="EI1" s="276"/>
      <c r="EJ1" s="276"/>
      <c r="EK1" s="276"/>
      <c r="EL1" s="276"/>
      <c r="EM1" s="276"/>
      <c r="EN1" s="276"/>
      <c r="EO1" s="276"/>
      <c r="EP1" s="276"/>
      <c r="EQ1" s="276"/>
      <c r="ER1" s="276"/>
      <c r="ES1" s="276"/>
      <c r="ET1" s="276"/>
      <c r="EU1" s="276"/>
      <c r="EV1" s="276"/>
      <c r="EW1" s="276"/>
      <c r="EX1" s="276"/>
      <c r="EY1" s="277"/>
      <c r="EZ1" s="275" t="str">
        <f>IF('Données projet'!$B$16="","",'Données projet'!$B$16)</f>
        <v/>
      </c>
      <c r="FA1" s="276"/>
      <c r="FB1" s="276"/>
      <c r="FC1" s="276"/>
      <c r="FD1" s="276"/>
      <c r="FE1" s="276"/>
      <c r="FF1" s="276"/>
      <c r="FG1" s="276"/>
      <c r="FH1" s="276"/>
      <c r="FI1" s="276"/>
      <c r="FJ1" s="276"/>
      <c r="FK1" s="276"/>
      <c r="FL1" s="276"/>
      <c r="FM1" s="276"/>
      <c r="FN1" s="276"/>
      <c r="FO1" s="276"/>
      <c r="FP1" s="276"/>
      <c r="FQ1" s="276"/>
      <c r="FR1" s="276"/>
      <c r="FS1" s="276"/>
      <c r="FT1" s="277"/>
      <c r="FU1" s="275" t="str">
        <f>IF('Données projet'!$B$17="","",'Données projet'!$B$17)</f>
        <v/>
      </c>
      <c r="FV1" s="276"/>
      <c r="FW1" s="276"/>
      <c r="FX1" s="276"/>
      <c r="FY1" s="276"/>
      <c r="FZ1" s="276"/>
      <c r="GA1" s="276"/>
      <c r="GB1" s="276"/>
      <c r="GC1" s="276"/>
      <c r="GD1" s="276"/>
      <c r="GE1" s="276"/>
      <c r="GF1" s="276"/>
      <c r="GG1" s="276"/>
      <c r="GH1" s="276"/>
      <c r="GI1" s="276"/>
      <c r="GJ1" s="276"/>
      <c r="GK1" s="276"/>
      <c r="GL1" s="276"/>
      <c r="GM1" s="276"/>
      <c r="GN1" s="276"/>
      <c r="GO1" s="277"/>
      <c r="GP1" s="275" t="str">
        <f>IF('Données projet'!$B$18="","",'Données projet'!$B$18)</f>
        <v/>
      </c>
      <c r="GQ1" s="276"/>
      <c r="GR1" s="276"/>
      <c r="GS1" s="276"/>
      <c r="GT1" s="276"/>
      <c r="GU1" s="276"/>
      <c r="GV1" s="276"/>
      <c r="GW1" s="276"/>
      <c r="GX1" s="276"/>
      <c r="GY1" s="276"/>
      <c r="GZ1" s="276"/>
      <c r="HA1" s="276"/>
      <c r="HB1" s="276"/>
      <c r="HC1" s="276"/>
      <c r="HD1" s="276"/>
      <c r="HE1" s="276"/>
      <c r="HF1" s="276"/>
      <c r="HG1" s="276"/>
      <c r="HH1" s="276"/>
      <c r="HI1" s="276"/>
      <c r="HJ1" s="277"/>
    </row>
    <row r="2" spans="1:218" ht="58.2" thickBot="1" x14ac:dyDescent="0.35">
      <c r="A2" s="71" t="s">
        <v>77</v>
      </c>
      <c r="B2" s="72" t="s">
        <v>78</v>
      </c>
      <c r="C2" s="5" t="s">
        <v>79</v>
      </c>
      <c r="D2" s="5" t="s">
        <v>80</v>
      </c>
      <c r="E2" s="5" t="s">
        <v>81</v>
      </c>
      <c r="F2" s="5" t="s">
        <v>82</v>
      </c>
      <c r="G2" s="5" t="s">
        <v>83</v>
      </c>
      <c r="H2" s="66" t="s">
        <v>84</v>
      </c>
      <c r="I2" s="68" t="s">
        <v>81</v>
      </c>
      <c r="J2" s="69" t="s">
        <v>82</v>
      </c>
      <c r="K2" s="6" t="s">
        <v>85</v>
      </c>
      <c r="L2" s="6" t="s">
        <v>86</v>
      </c>
      <c r="M2" s="6" t="s">
        <v>86</v>
      </c>
      <c r="N2" s="6" t="s">
        <v>87</v>
      </c>
      <c r="O2" s="6" t="s">
        <v>88</v>
      </c>
      <c r="P2" s="6" t="s">
        <v>89</v>
      </c>
      <c r="Q2" s="6" t="s">
        <v>83</v>
      </c>
      <c r="R2" s="6" t="s">
        <v>90</v>
      </c>
      <c r="S2" s="6" t="s">
        <v>91</v>
      </c>
      <c r="T2" s="6" t="s">
        <v>92</v>
      </c>
      <c r="U2" s="7" t="s">
        <v>93</v>
      </c>
      <c r="V2" s="8" t="s">
        <v>94</v>
      </c>
      <c r="W2" s="7" t="s">
        <v>53</v>
      </c>
      <c r="X2" s="7" t="s">
        <v>54</v>
      </c>
      <c r="Y2" s="7" t="s">
        <v>95</v>
      </c>
      <c r="Z2" s="8" t="s">
        <v>96</v>
      </c>
      <c r="AA2" s="8" t="s">
        <v>97</v>
      </c>
      <c r="AB2" s="8" t="s">
        <v>98</v>
      </c>
      <c r="AC2" s="9" t="s">
        <v>99</v>
      </c>
      <c r="AD2" s="69" t="s">
        <v>81</v>
      </c>
      <c r="AE2" s="69" t="s">
        <v>82</v>
      </c>
      <c r="AF2" s="6" t="s">
        <v>85</v>
      </c>
      <c r="AG2" s="6" t="s">
        <v>86</v>
      </c>
      <c r="AH2" s="6" t="s">
        <v>86</v>
      </c>
      <c r="AI2" s="6" t="s">
        <v>87</v>
      </c>
      <c r="AJ2" s="6" t="s">
        <v>88</v>
      </c>
      <c r="AK2" s="6" t="s">
        <v>89</v>
      </c>
      <c r="AL2" s="6" t="s">
        <v>83</v>
      </c>
      <c r="AM2" s="6" t="s">
        <v>90</v>
      </c>
      <c r="AN2" s="6" t="s">
        <v>91</v>
      </c>
      <c r="AO2" s="6" t="s">
        <v>92</v>
      </c>
      <c r="AP2" s="7" t="s">
        <v>93</v>
      </c>
      <c r="AQ2" s="8" t="s">
        <v>94</v>
      </c>
      <c r="AR2" s="7" t="s">
        <v>53</v>
      </c>
      <c r="AS2" s="7" t="s">
        <v>54</v>
      </c>
      <c r="AT2" s="8" t="s">
        <v>100</v>
      </c>
      <c r="AU2" s="8" t="s">
        <v>96</v>
      </c>
      <c r="AV2" s="8" t="s">
        <v>97</v>
      </c>
      <c r="AW2" s="8" t="s">
        <v>98</v>
      </c>
      <c r="AX2" s="8" t="s">
        <v>99</v>
      </c>
      <c r="AY2" s="68" t="s">
        <v>81</v>
      </c>
      <c r="AZ2" s="69" t="s">
        <v>82</v>
      </c>
      <c r="BA2" s="6" t="s">
        <v>85</v>
      </c>
      <c r="BB2" s="6" t="s">
        <v>86</v>
      </c>
      <c r="BC2" s="6" t="s">
        <v>86</v>
      </c>
      <c r="BD2" s="6" t="s">
        <v>87</v>
      </c>
      <c r="BE2" s="6" t="s">
        <v>88</v>
      </c>
      <c r="BF2" s="6" t="s">
        <v>89</v>
      </c>
      <c r="BG2" s="6" t="s">
        <v>83</v>
      </c>
      <c r="BH2" s="6" t="s">
        <v>90</v>
      </c>
      <c r="BI2" s="6" t="s">
        <v>91</v>
      </c>
      <c r="BJ2" s="6" t="s">
        <v>92</v>
      </c>
      <c r="BK2" s="7" t="s">
        <v>93</v>
      </c>
      <c r="BL2" s="8" t="s">
        <v>94</v>
      </c>
      <c r="BM2" s="7" t="s">
        <v>53</v>
      </c>
      <c r="BN2" s="7" t="s">
        <v>54</v>
      </c>
      <c r="BO2" s="8" t="s">
        <v>100</v>
      </c>
      <c r="BP2" s="8" t="s">
        <v>96</v>
      </c>
      <c r="BQ2" s="8" t="s">
        <v>97</v>
      </c>
      <c r="BR2" s="8" t="s">
        <v>98</v>
      </c>
      <c r="BS2" s="9" t="s">
        <v>99</v>
      </c>
      <c r="BT2" s="68" t="s">
        <v>81</v>
      </c>
      <c r="BU2" s="69" t="s">
        <v>82</v>
      </c>
      <c r="BV2" s="6" t="s">
        <v>85</v>
      </c>
      <c r="BW2" s="6" t="s">
        <v>86</v>
      </c>
      <c r="BX2" s="6" t="s">
        <v>86</v>
      </c>
      <c r="BY2" s="6" t="s">
        <v>87</v>
      </c>
      <c r="BZ2" s="6" t="s">
        <v>88</v>
      </c>
      <c r="CA2" s="6" t="s">
        <v>89</v>
      </c>
      <c r="CB2" s="6" t="s">
        <v>83</v>
      </c>
      <c r="CC2" s="6" t="s">
        <v>90</v>
      </c>
      <c r="CD2" s="6" t="s">
        <v>91</v>
      </c>
      <c r="CE2" s="6" t="s">
        <v>92</v>
      </c>
      <c r="CF2" s="7" t="s">
        <v>93</v>
      </c>
      <c r="CG2" s="8" t="s">
        <v>94</v>
      </c>
      <c r="CH2" s="7" t="s">
        <v>53</v>
      </c>
      <c r="CI2" s="7" t="s">
        <v>54</v>
      </c>
      <c r="CJ2" s="8" t="s">
        <v>100</v>
      </c>
      <c r="CK2" s="8" t="s">
        <v>96</v>
      </c>
      <c r="CL2" s="8" t="s">
        <v>97</v>
      </c>
      <c r="CM2" s="8" t="s">
        <v>98</v>
      </c>
      <c r="CN2" s="9" t="s">
        <v>99</v>
      </c>
      <c r="CO2" s="68" t="s">
        <v>81</v>
      </c>
      <c r="CP2" s="69" t="s">
        <v>82</v>
      </c>
      <c r="CQ2" s="6" t="s">
        <v>85</v>
      </c>
      <c r="CR2" s="6" t="s">
        <v>86</v>
      </c>
      <c r="CS2" s="6" t="s">
        <v>86</v>
      </c>
      <c r="CT2" s="6" t="s">
        <v>87</v>
      </c>
      <c r="CU2" s="6" t="s">
        <v>88</v>
      </c>
      <c r="CV2" s="6" t="s">
        <v>89</v>
      </c>
      <c r="CW2" s="6" t="s">
        <v>83</v>
      </c>
      <c r="CX2" s="6" t="s">
        <v>90</v>
      </c>
      <c r="CY2" s="6" t="s">
        <v>91</v>
      </c>
      <c r="CZ2" s="6" t="s">
        <v>92</v>
      </c>
      <c r="DA2" s="7" t="s">
        <v>93</v>
      </c>
      <c r="DB2" s="8" t="s">
        <v>94</v>
      </c>
      <c r="DC2" s="7" t="s">
        <v>53</v>
      </c>
      <c r="DD2" s="7" t="s">
        <v>54</v>
      </c>
      <c r="DE2" s="8" t="s">
        <v>100</v>
      </c>
      <c r="DF2" s="8" t="s">
        <v>96</v>
      </c>
      <c r="DG2" s="8" t="s">
        <v>97</v>
      </c>
      <c r="DH2" s="8" t="s">
        <v>98</v>
      </c>
      <c r="DI2" s="9" t="s">
        <v>99</v>
      </c>
      <c r="DJ2" s="68" t="s">
        <v>81</v>
      </c>
      <c r="DK2" s="69" t="s">
        <v>82</v>
      </c>
      <c r="DL2" s="6" t="s">
        <v>85</v>
      </c>
      <c r="DM2" s="6" t="s">
        <v>86</v>
      </c>
      <c r="DN2" s="6" t="s">
        <v>86</v>
      </c>
      <c r="DO2" s="6" t="s">
        <v>87</v>
      </c>
      <c r="DP2" s="6" t="s">
        <v>88</v>
      </c>
      <c r="DQ2" s="6" t="s">
        <v>89</v>
      </c>
      <c r="DR2" s="6" t="s">
        <v>83</v>
      </c>
      <c r="DS2" s="6" t="s">
        <v>90</v>
      </c>
      <c r="DT2" s="6" t="s">
        <v>91</v>
      </c>
      <c r="DU2" s="6" t="s">
        <v>92</v>
      </c>
      <c r="DV2" s="7" t="s">
        <v>93</v>
      </c>
      <c r="DW2" s="8" t="s">
        <v>94</v>
      </c>
      <c r="DX2" s="7" t="s">
        <v>53</v>
      </c>
      <c r="DY2" s="7" t="s">
        <v>54</v>
      </c>
      <c r="DZ2" s="8" t="s">
        <v>100</v>
      </c>
      <c r="EA2" s="8" t="s">
        <v>96</v>
      </c>
      <c r="EB2" s="8" t="s">
        <v>97</v>
      </c>
      <c r="EC2" s="8" t="s">
        <v>98</v>
      </c>
      <c r="ED2" s="9" t="s">
        <v>99</v>
      </c>
      <c r="EE2" s="68" t="s">
        <v>81</v>
      </c>
      <c r="EF2" s="69" t="s">
        <v>82</v>
      </c>
      <c r="EG2" s="6" t="s">
        <v>85</v>
      </c>
      <c r="EH2" s="6" t="s">
        <v>86</v>
      </c>
      <c r="EI2" s="6" t="s">
        <v>86</v>
      </c>
      <c r="EJ2" s="6" t="s">
        <v>87</v>
      </c>
      <c r="EK2" s="6" t="s">
        <v>88</v>
      </c>
      <c r="EL2" s="6" t="s">
        <v>89</v>
      </c>
      <c r="EM2" s="6" t="s">
        <v>83</v>
      </c>
      <c r="EN2" s="6" t="s">
        <v>90</v>
      </c>
      <c r="EO2" s="6" t="s">
        <v>91</v>
      </c>
      <c r="EP2" s="6" t="s">
        <v>92</v>
      </c>
      <c r="EQ2" s="7" t="s">
        <v>93</v>
      </c>
      <c r="ER2" s="8" t="s">
        <v>94</v>
      </c>
      <c r="ES2" s="7" t="s">
        <v>53</v>
      </c>
      <c r="ET2" s="7" t="s">
        <v>54</v>
      </c>
      <c r="EU2" s="8" t="s">
        <v>100</v>
      </c>
      <c r="EV2" s="8" t="s">
        <v>96</v>
      </c>
      <c r="EW2" s="8" t="s">
        <v>97</v>
      </c>
      <c r="EX2" s="8" t="s">
        <v>98</v>
      </c>
      <c r="EY2" s="9" t="s">
        <v>99</v>
      </c>
      <c r="EZ2" s="68" t="s">
        <v>81</v>
      </c>
      <c r="FA2" s="69" t="s">
        <v>82</v>
      </c>
      <c r="FB2" s="6" t="s">
        <v>85</v>
      </c>
      <c r="FC2" s="6" t="s">
        <v>86</v>
      </c>
      <c r="FD2" s="6" t="s">
        <v>86</v>
      </c>
      <c r="FE2" s="6" t="s">
        <v>87</v>
      </c>
      <c r="FF2" s="6" t="s">
        <v>88</v>
      </c>
      <c r="FG2" s="6" t="s">
        <v>89</v>
      </c>
      <c r="FH2" s="6" t="s">
        <v>83</v>
      </c>
      <c r="FI2" s="6" t="s">
        <v>90</v>
      </c>
      <c r="FJ2" s="6" t="s">
        <v>91</v>
      </c>
      <c r="FK2" s="6" t="s">
        <v>92</v>
      </c>
      <c r="FL2" s="7" t="s">
        <v>93</v>
      </c>
      <c r="FM2" s="8" t="s">
        <v>94</v>
      </c>
      <c r="FN2" s="7" t="s">
        <v>53</v>
      </c>
      <c r="FO2" s="7" t="s">
        <v>54</v>
      </c>
      <c r="FP2" s="8" t="s">
        <v>101</v>
      </c>
      <c r="FQ2" s="8" t="s">
        <v>96</v>
      </c>
      <c r="FR2" s="8" t="s">
        <v>97</v>
      </c>
      <c r="FS2" s="8" t="s">
        <v>98</v>
      </c>
      <c r="FT2" s="9" t="s">
        <v>99</v>
      </c>
      <c r="FU2" s="68" t="s">
        <v>81</v>
      </c>
      <c r="FV2" s="69" t="s">
        <v>82</v>
      </c>
      <c r="FW2" s="6" t="s">
        <v>85</v>
      </c>
      <c r="FX2" s="6" t="s">
        <v>86</v>
      </c>
      <c r="FY2" s="6" t="s">
        <v>86</v>
      </c>
      <c r="FZ2" s="6" t="s">
        <v>87</v>
      </c>
      <c r="GA2" s="6" t="s">
        <v>88</v>
      </c>
      <c r="GB2" s="6" t="s">
        <v>89</v>
      </c>
      <c r="GC2" s="6" t="s">
        <v>83</v>
      </c>
      <c r="GD2" s="6" t="s">
        <v>90</v>
      </c>
      <c r="GE2" s="6" t="s">
        <v>91</v>
      </c>
      <c r="GF2" s="6" t="s">
        <v>92</v>
      </c>
      <c r="GG2" s="7" t="s">
        <v>93</v>
      </c>
      <c r="GH2" s="8" t="s">
        <v>94</v>
      </c>
      <c r="GI2" s="7" t="s">
        <v>53</v>
      </c>
      <c r="GJ2" s="7" t="s">
        <v>54</v>
      </c>
      <c r="GK2" s="8" t="s">
        <v>100</v>
      </c>
      <c r="GL2" s="8" t="s">
        <v>96</v>
      </c>
      <c r="GM2" s="8" t="s">
        <v>97</v>
      </c>
      <c r="GN2" s="8" t="s">
        <v>98</v>
      </c>
      <c r="GO2" s="8" t="s">
        <v>99</v>
      </c>
      <c r="GP2" s="68" t="s">
        <v>81</v>
      </c>
      <c r="GQ2" s="69" t="s">
        <v>82</v>
      </c>
      <c r="GR2" s="6" t="s">
        <v>85</v>
      </c>
      <c r="GS2" s="6" t="s">
        <v>86</v>
      </c>
      <c r="GT2" s="6" t="s">
        <v>86</v>
      </c>
      <c r="GU2" s="6" t="s">
        <v>87</v>
      </c>
      <c r="GV2" s="6" t="s">
        <v>88</v>
      </c>
      <c r="GW2" s="6" t="s">
        <v>89</v>
      </c>
      <c r="GX2" s="6" t="s">
        <v>83</v>
      </c>
      <c r="GY2" s="6" t="s">
        <v>90</v>
      </c>
      <c r="GZ2" s="6" t="s">
        <v>91</v>
      </c>
      <c r="HA2" s="6" t="s">
        <v>92</v>
      </c>
      <c r="HB2" s="7" t="s">
        <v>93</v>
      </c>
      <c r="HC2" s="8" t="s">
        <v>94</v>
      </c>
      <c r="HD2" s="7" t="s">
        <v>53</v>
      </c>
      <c r="HE2" s="7" t="s">
        <v>54</v>
      </c>
      <c r="HF2" s="8" t="s">
        <v>100</v>
      </c>
      <c r="HG2" s="8" t="s">
        <v>96</v>
      </c>
      <c r="HH2" s="8" t="s">
        <v>97</v>
      </c>
      <c r="HI2" s="8" t="s">
        <v>98</v>
      </c>
      <c r="HJ2" s="9" t="s">
        <v>99</v>
      </c>
    </row>
    <row r="3" spans="1:218" x14ac:dyDescent="0.3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256.66666666666669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256.66666666666669</v>
      </c>
      <c r="S3" s="59">
        <f ca="1">AVERAGE(OFFSET($R$3,0,0,'Données projet'!$E$9+1,1))-AVERAGE(OFFSET($H$3,0,0,'Données projet'!$E$9+1,1))</f>
        <v>336.59194805061094</v>
      </c>
      <c r="T3" s="59">
        <f>IF('Données projet'!E9&gt;30,$R$33-$H$33,LOOKUP('Données projet'!$E$9,$A$3:$A$203,R3:R203)-LOOKUP('Données projet'!$E$9,$A$3:$A$203,$H$3:$H$203))</f>
        <v>473.66884161123909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256.66666666666669</v>
      </c>
      <c r="AN3" s="59">
        <f ca="1">AVERAGE(OFFSET($AM$3,0,0,'Données projet'!$E$10+1,1))-AVERAGE(OFFSET($H$3,0,0,'Données projet'!$E$10+1,1))</f>
        <v>244.66788784685366</v>
      </c>
      <c r="AO3" s="59">
        <f>IF('Données projet'!E10&gt;30,$AM$33-$H$33,LOOKUP('Données projet'!$E$10,$A$3:$A$203,AM3:AM203)-LOOKUP('Données projet'!$E$10,$A$3:$A$203,$H$3:$H$203))</f>
        <v>252.04429018409274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256.66666666666669</v>
      </c>
      <c r="BI3" s="59">
        <f ca="1">AVERAGE(OFFSET($BH$3,0,0,'Données projet'!$E$11+1,1))-AVERAGE(OFFSET($H$3,0,0,'Données projet'!$E$11+1,1))</f>
        <v>373.51596132356536</v>
      </c>
      <c r="BJ3" s="59">
        <f>IF('Données projet'!E11&gt;30,$BH$33-$H$33,LOOKUP('Données projet'!$E$11,$A$3:$A$203,BH3:BH203)-LOOKUP('Données projet'!$E$11,$A$3:$A$203,$H$3:$H$203))</f>
        <v>417.00150517020114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>
        <f>BY3*VLOOKUP('Données projet'!$B$12,Paramètres!$A$1:$I$89,3,0)*VLOOKUP('Données projet'!$B$12,Paramètres!$A$1:$I$89,5,0)</f>
        <v>0</v>
      </c>
      <c r="CA3" s="12">
        <v>0</v>
      </c>
      <c r="CB3" s="14">
        <f>(BZ3+CA3)*0.475*44/12</f>
        <v>0</v>
      </c>
      <c r="CC3" s="59">
        <f>CB3+(BT3+BU3)*44/12</f>
        <v>256.66666666666669</v>
      </c>
      <c r="CD3" s="59">
        <f ca="1">AVERAGE(OFFSET($CC$3,0,0,'Données projet'!$E$12+1,1))-AVERAGE(OFFSET($H$3,0,0,'Données projet'!$E$12+1,1))</f>
        <v>289.19622253646992</v>
      </c>
      <c r="CE3" s="59">
        <f>IF('Données projet'!E12&gt;30,$CC$33-$H$33,LOOKUP('Données projet'!$E$12,$A$3:$A$203,CC3:CC203)-LOOKUP('Données projet'!$E$12,$A$3:$A$203,$H$3:$H$203))</f>
        <v>191.23827338431175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0.57720000000000005</v>
      </c>
      <c r="D4" s="11">
        <f>IFERROR(EXP(-1.0587+0.8836*LN(C4)+0.284),0)</f>
        <v>0.28356981728235242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6.6445389404251776</v>
      </c>
      <c r="H4" s="67">
        <f t="shared" ref="H4:H67" si="1">(B4+E4+F4)*44/12+(C4+D4)*0.475*44/12</f>
        <v>258.16584076510014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6.8</v>
      </c>
      <c r="N4" s="13">
        <f>IF('Données projet'!$A$36&gt;35,N3+M4-V3,IF(A4&lt;'Données projet'!$A$36,$K$205^A4,IF(A4='Données projet'!$A$36,'Données projet'!$B$36,N3+M4-V3)))</f>
        <v>2.0243974584998852</v>
      </c>
      <c r="O4" s="13">
        <f>N4*VLOOKUP('Données projet'!$B$9,Paramètres!$A$1:$I$89,3,0)*VLOOKUP('Données projet'!$B$9,Paramètres!$A$1:$I$89,5,0)</f>
        <v>1.8316748204506961</v>
      </c>
      <c r="P4" s="13">
        <f>EXP(-1.0587+0.8836*LN(O4)+0.284)</f>
        <v>0.78669228172688432</v>
      </c>
      <c r="Q4" s="20">
        <f t="shared" ref="Q4:Q34" si="2">(O4+P4)*0.475*44/12</f>
        <v>4.5603227029592857</v>
      </c>
      <c r="R4" s="59">
        <f t="shared" si="0"/>
        <v>262.44921159184815</v>
      </c>
      <c r="S4" s="59">
        <f ca="1">AVERAGE(OFFSET($R$3,0,0,'Données projet'!$E$9+1,1))-AVERAGE(OFFSET($H$3,0,0,'Données projet'!$E$9+1,1))</f>
        <v>336.59194805061094</v>
      </c>
      <c r="T4" s="59">
        <f>$T$3</f>
        <v>473.66884161123909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1.1000000000000001</v>
      </c>
      <c r="AI4" s="13">
        <f>IF('Données projet'!$A$62&gt;35,AI3+AH4-AQ3,IF(A4&lt;'Données projet'!$A$62,$AF$205^A4,IF(A4='Données projet'!$A$62,'Données projet'!$B$62,AI3+AH4-AQ3)))</f>
        <v>1.2709816152101407</v>
      </c>
      <c r="AJ4" s="13">
        <f>AI4*VLOOKUP('Données projet'!$B$10,Paramètres!$A$1:$I$89,3,0)*VLOOKUP('Données projet'!$B$10,Paramètres!$A$1:$I$89,5,0)</f>
        <v>0.83274715428568413</v>
      </c>
      <c r="AK4" s="13">
        <f>EXP(-1.0587+0.8836*LN(AJ4)+0.284)</f>
        <v>0.39202836439738087</v>
      </c>
      <c r="AL4" s="20">
        <f t="shared" ref="AL4:AL67" si="4">(AJ4+AK4)*0.475*44/12</f>
        <v>2.1331506950396717</v>
      </c>
      <c r="AM4" s="59">
        <f t="shared" ref="AM4:AM67" si="5">AL4+(AD4+AE4)*44/12</f>
        <v>260.02203958392852</v>
      </c>
      <c r="AN4" s="59">
        <f ca="1">AVERAGE(OFFSET($AM$3,0,0,'Données projet'!$E$10+1,1))-AVERAGE(OFFSET($H$3,0,0,'Données projet'!$E$10+1,1))</f>
        <v>244.66788784685366</v>
      </c>
      <c r="AO4" s="59">
        <f>$AO$3</f>
        <v>252.04429018409274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6.4</v>
      </c>
      <c r="BD4" s="12">
        <f>IF('Données projet'!$A$88&gt;35,BD3+BC4-BL3,IF(A4&lt;'Données projet'!$A$88,$BA$205^A4,IF(A4='Données projet'!$A$88,'Données projet'!$B$88,BD3+BC4-BL3)))</f>
        <v>1.515716566510398</v>
      </c>
      <c r="BE4" s="13">
        <f>BD4*VLOOKUP('Données projet'!$B$11,Paramètres!$A$1:$I$89,3,0)*VLOOKUP('Données projet'!$B$11,Paramètres!$A$1:$I$89,5,0)</f>
        <v>1.4423558846912947</v>
      </c>
      <c r="BF4" s="13">
        <f>EXP(-1.0587+0.8836*LN(BE4)+0.284)</f>
        <v>0.6369545799309656</v>
      </c>
      <c r="BG4" s="20">
        <f t="shared" ref="BG4:BG67" si="7">(BE4+BF4)*0.475*44/12</f>
        <v>3.6214657258837697</v>
      </c>
      <c r="BH4" s="59">
        <f t="shared" ref="BH4:BH67" si="8">BG4+(AY4+AZ4)*44/12</f>
        <v>261.51035461477261</v>
      </c>
      <c r="BI4" s="59">
        <f ca="1">AVERAGE(OFFSET($BH$3,0,0,'Données projet'!$E$11+1,1))-AVERAGE(OFFSET($H$3,0,0,'Données projet'!$E$11+1,1))</f>
        <v>373.51596132356536</v>
      </c>
      <c r="BJ4" s="59">
        <f>$BJ$3</f>
        <v>417.00150517020114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2.1</v>
      </c>
      <c r="BY4" s="12">
        <f>IF('Données projet'!$A$114&gt;35,BY3+BX4-CG3,IF(A4&lt;'Données projet'!$A$114,$BV$205^A4,IF(A4='Données projet'!$A$114,'Données projet'!$B$114,BY3+BX4-CG3)))</f>
        <v>1.2054868146447177</v>
      </c>
      <c r="BZ4" s="13">
        <f>BY4*VLOOKUP('Données projet'!$B$12,Paramètres!$A$1:$I$89,3,0)*VLOOKUP('Données projet'!$B$12,Paramètres!$A$1:$I$89,5,0)</f>
        <v>1.0907244698905405</v>
      </c>
      <c r="CA4" s="13">
        <f>EXP(-1.0587+0.8836*LN(BZ4)+0.284)</f>
        <v>0.49759623852608204</v>
      </c>
      <c r="CB4" s="20">
        <f t="shared" ref="CB4:CB67" si="10">(BZ4+CA4)*0.475*44/12</f>
        <v>2.7663252338256172</v>
      </c>
      <c r="CC4" s="59">
        <f t="shared" ref="CC4:CC67" si="11">CB4+(BT4+BU4)*44/12</f>
        <v>260.65521412271448</v>
      </c>
      <c r="CD4" s="59">
        <f ca="1">AVERAGE(OFFSET($CC$3,0,0,'Données projet'!$E$12+1,1))-AVERAGE(OFFSET($H$3,0,0,'Données projet'!$E$12+1,1))</f>
        <v>289.19622253646992</v>
      </c>
      <c r="CE4" s="59">
        <f>$CE$3</f>
        <v>191.23827338431175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>
        <f>EXP(-LN(2)/35)*CK3+(1-EXP(-LN(2)/35))/(LN(2)/35)*CG4*CH4*VLOOKUP('Données projet'!$B$12,Paramètres!$A$1:$I$89,3,0)*0.475*44/12</f>
        <v>0</v>
      </c>
      <c r="CL4" s="21">
        <f>EXP(-LN(2)/25)*CL3+(1-EXP(-LN(2)/25))/(LN(2)/25)*Calculateur!CG4*Calculateur!CI4*VLOOKUP('Données projet'!$B$12,Paramètres!$A$1:$I$89,3,0)*0.475*44/12</f>
        <v>0</v>
      </c>
      <c r="CM4" s="21">
        <f>EXP(-LN(2)/2)*CM3+(1-EXP(-LN(2)/2))/(LN(2)/2)*CG4*CJ4*VLOOKUP('Données projet'!$B$12,Paramètres!$A$1:$I$89,3,0)*0.475*44/12</f>
        <v>0</v>
      </c>
      <c r="CN4" s="22">
        <f t="shared" ref="CN4:CN67" si="12">SUM(CK4:CM4)</f>
        <v>0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3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1.1544000000000001</v>
      </c>
      <c r="D5" s="11">
        <f t="shared" ref="D5:D68" si="32">IFERROR(EXP(-1.0587+0.8836*LN(C5)+0.284),0)</f>
        <v>0.52317876401603369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12.949730809948333</v>
      </c>
      <c r="H5" s="67">
        <f t="shared" si="1"/>
        <v>259.58844968066126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6.8</v>
      </c>
      <c r="N5" s="13">
        <f>IF('Données projet'!$A$36&gt;35,N4+M5-V4,IF(A5&lt;'Données projet'!$A$36,$K$205^A5,IF(A5='Données projet'!$A$36,'Données projet'!$B$36,N4+M5-V4)))</f>
        <v>4.0981850699807945</v>
      </c>
      <c r="O5" s="13">
        <f>N5*VLOOKUP('Données projet'!$B$9,Paramètres!$A$1:$I$89,3,0)*VLOOKUP('Données projet'!$B$9,Paramètres!$A$1:$I$89,5,0)</f>
        <v>3.7080378513186227</v>
      </c>
      <c r="P5" s="13">
        <f t="shared" ref="P5:P68" si="33">EXP(-1.0587+0.8836*LN(O5)+0.284)</f>
        <v>1.4670598901857457</v>
      </c>
      <c r="Q5" s="20">
        <f t="shared" si="2"/>
        <v>9.0132952331201093</v>
      </c>
      <c r="R5" s="59">
        <f t="shared" si="0"/>
        <v>268.12440634423126</v>
      </c>
      <c r="S5" s="59">
        <f ca="1">AVERAGE(OFFSET($R$3,0,0,'Données projet'!$E$9+1,1))-AVERAGE(OFFSET($H$3,0,0,'Données projet'!$E$9+1,1))</f>
        <v>336.59194805061094</v>
      </c>
      <c r="T5" s="59">
        <f t="shared" ref="T5:T68" si="34">$T$3</f>
        <v>473.66884161123909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1.1000000000000001</v>
      </c>
      <c r="AI5" s="13">
        <f>IF('Données projet'!$A$62&gt;35,AI4+AH5-AQ4,IF(A5&lt;'Données projet'!$A$62,$AF$205^A5,IF(A5='Données projet'!$A$62,'Données projet'!$B$62,AI4+AH5-AQ4)))</f>
        <v>1.6153942662021783</v>
      </c>
      <c r="AJ5" s="13">
        <f>AI5*VLOOKUP('Données projet'!$B$10,Paramètres!$A$1:$I$89,3,0)*VLOOKUP('Données projet'!$B$10,Paramètres!$A$1:$I$89,5,0)</f>
        <v>1.0584063232156671</v>
      </c>
      <c r="AK5" s="13">
        <f t="shared" ref="AK5:AK68" si="35">EXP(-1.0587+0.8836*LN(AJ5)+0.284)</f>
        <v>0.48454592807852009</v>
      </c>
      <c r="AL5" s="20">
        <f t="shared" si="4"/>
        <v>2.6873085043373757</v>
      </c>
      <c r="AM5" s="59">
        <f t="shared" si="5"/>
        <v>261.79841961544849</v>
      </c>
      <c r="AN5" s="59">
        <f ca="1">AVERAGE(OFFSET($AM$3,0,0,'Données projet'!$E$10+1,1))-AVERAGE(OFFSET($H$3,0,0,'Données projet'!$E$10+1,1))</f>
        <v>244.66788784685366</v>
      </c>
      <c r="AO5" s="59">
        <f t="shared" ref="AO5:AO68" si="36">$AO$3</f>
        <v>252.04429018409274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6.4</v>
      </c>
      <c r="BD5" s="12">
        <f>IF('Données projet'!$A$88&gt;35,BD4+BC5-BL4,IF(A5&lt;'Données projet'!$A$88,$BA$205^A5,IF(A5='Données projet'!$A$88,'Données projet'!$B$88,BD4+BC5-BL4)))</f>
        <v>2.2973967099940698</v>
      </c>
      <c r="BE5" s="13">
        <f>BD5*VLOOKUP('Données projet'!$B$11,Paramètres!$A$1:$I$89,3,0)*VLOOKUP('Données projet'!$B$11,Paramètres!$A$1:$I$89,5,0)</f>
        <v>2.1862027092303569</v>
      </c>
      <c r="BF5" s="13">
        <f t="shared" ref="BF5:BF68" si="37">EXP(-1.0587+0.8836*LN(BE5)+0.284)</f>
        <v>0.91981931975449216</v>
      </c>
      <c r="BG5" s="20">
        <f t="shared" si="7"/>
        <v>5.4096550338152793</v>
      </c>
      <c r="BH5" s="59">
        <f t="shared" si="8"/>
        <v>264.52076614492643</v>
      </c>
      <c r="BI5" s="59">
        <f ca="1">AVERAGE(OFFSET($BH$3,0,0,'Données projet'!$E$11+1,1))-AVERAGE(OFFSET($H$3,0,0,'Données projet'!$E$11+1,1))</f>
        <v>373.51596132356536</v>
      </c>
      <c r="BJ5" s="59">
        <f t="shared" ref="BJ5:BJ68" si="38">$BJ$3</f>
        <v>417.00150517020114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2.1</v>
      </c>
      <c r="BY5" s="12">
        <f>IF('Données projet'!$A$114&gt;35,BY4+BX5-CG4,IF(A5&lt;'Données projet'!$A$114,$BV$205^A5,IF(A5='Données projet'!$A$114,'Données projet'!$B$114,BY4+BX5-CG4)))</f>
        <v>1.4531984602822681</v>
      </c>
      <c r="BZ5" s="13">
        <f>BY5*VLOOKUP('Données projet'!$B$12,Paramètres!$A$1:$I$89,3,0)*VLOOKUP('Données projet'!$B$12,Paramètres!$A$1:$I$89,5,0)</f>
        <v>1.3148539668633961</v>
      </c>
      <c r="CA5" s="13">
        <f t="shared" ref="CA5:CA68" si="39">EXP(-1.0587+0.8836*LN(BZ5)+0.284)</f>
        <v>0.58693801963664449</v>
      </c>
      <c r="CB5" s="20">
        <f t="shared" si="10"/>
        <v>3.3122877098209038</v>
      </c>
      <c r="CC5" s="59">
        <f t="shared" si="11"/>
        <v>262.42339882093205</v>
      </c>
      <c r="CD5" s="59">
        <f ca="1">AVERAGE(OFFSET($CC$3,0,0,'Données projet'!$E$12+1,1))-AVERAGE(OFFSET($H$3,0,0,'Données projet'!$E$12+1,1))</f>
        <v>289.19622253646992</v>
      </c>
      <c r="CE5" s="59">
        <f t="shared" ref="CE5:CE68" si="40">$CE$3</f>
        <v>191.23827338431175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>
        <f>EXP(-LN(2)/35)*CK4+(1-EXP(-LN(2)/35))/(LN(2)/35)*CG5*CH5*VLOOKUP('Données projet'!$B$12,Paramètres!$A$1:$I$89,3,0)*0.475*44/12</f>
        <v>0</v>
      </c>
      <c r="CL5" s="21">
        <f>EXP(-LN(2)/25)*CL4+(1-EXP(-LN(2)/25))/(LN(2)/25)*Calculateur!CG5*Calculateur!CI5*VLOOKUP('Données projet'!$B$12,Paramètres!$A$1:$I$89,3,0)*0.475*44/12</f>
        <v>0</v>
      </c>
      <c r="CM5" s="21">
        <f>EXP(-LN(2)/2)*CM4+(1-EXP(-LN(2)/2))/(LN(2)/2)*CG5*CJ5*VLOOKUP('Données projet'!$B$12,Paramètres!$A$1:$I$89,3,0)*0.475*44/12</f>
        <v>0</v>
      </c>
      <c r="CN5" s="22">
        <f t="shared" si="12"/>
        <v>0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1.7316000000000003</v>
      </c>
      <c r="D6" s="11">
        <f t="shared" si="32"/>
        <v>0.74859055626015358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19.145330609727505</v>
      </c>
      <c r="H6" s="67">
        <f t="shared" si="1"/>
        <v>260.98633188548644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6.8</v>
      </c>
      <c r="N6" s="13">
        <f>IF('Données projet'!$A$36&gt;35,N5+M6-V5,IF(A6&lt;'Données projet'!$A$36,$K$205^A6,IF(A6='Données projet'!$A$36,'Données projet'!$B$36,N5+M6-V5)))</f>
        <v>8.2963554401312951</v>
      </c>
      <c r="O6" s="13">
        <f>N6*VLOOKUP('Données projet'!$B$9,Paramètres!$A$1:$I$89,3,0)*VLOOKUP('Données projet'!$B$9,Paramètres!$A$1:$I$89,5,0)</f>
        <v>7.5065424022307949</v>
      </c>
      <c r="P6" s="13">
        <f t="shared" si="33"/>
        <v>2.7358406474604431</v>
      </c>
      <c r="Q6" s="20">
        <f t="shared" si="2"/>
        <v>17.838817144878906</v>
      </c>
      <c r="R6" s="59">
        <f t="shared" si="0"/>
        <v>278.17215047821225</v>
      </c>
      <c r="S6" s="59">
        <f ca="1">AVERAGE(OFFSET($R$3,0,0,'Données projet'!$E$9+1,1))-AVERAGE(OFFSET($H$3,0,0,'Données projet'!$E$9+1,1))</f>
        <v>336.59194805061094</v>
      </c>
      <c r="T6" s="59">
        <f t="shared" si="34"/>
        <v>473.66884161123909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1.1000000000000001</v>
      </c>
      <c r="AI6" s="13">
        <f>IF('Données projet'!$A$62&gt;35,AI5+AH6-AQ5,IF(A6&lt;'Données projet'!$A$62,$AF$205^A6,IF(A6='Données projet'!$A$62,'Données projet'!$B$62,AI5+AH6-AQ5)))</f>
        <v>2.0531364136588448</v>
      </c>
      <c r="AJ6" s="13">
        <f>AI6*VLOOKUP('Données projet'!$B$10,Paramètres!$A$1:$I$89,3,0)*VLOOKUP('Données projet'!$B$10,Paramètres!$A$1:$I$89,5,0)</f>
        <v>1.3452149782292753</v>
      </c>
      <c r="AK6" s="13">
        <f t="shared" si="35"/>
        <v>0.59889737003693966</v>
      </c>
      <c r="AL6" s="20">
        <f t="shared" si="4"/>
        <v>3.3859956732303242</v>
      </c>
      <c r="AM6" s="59">
        <f t="shared" si="5"/>
        <v>263.71932900656361</v>
      </c>
      <c r="AN6" s="59">
        <f ca="1">AVERAGE(OFFSET($AM$3,0,0,'Données projet'!$E$10+1,1))-AVERAGE(OFFSET($H$3,0,0,'Données projet'!$E$10+1,1))</f>
        <v>244.66788784685366</v>
      </c>
      <c r="AO6" s="59">
        <f t="shared" si="36"/>
        <v>252.04429018409274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6.4</v>
      </c>
      <c r="BD6" s="12">
        <f>IF('Données projet'!$A$88&gt;35,BD5+BC6-BL5,IF(A6&lt;'Données projet'!$A$88,$BA$205^A6,IF(A6='Données projet'!$A$88,'Données projet'!$B$88,BD5+BC6-BL5)))</f>
        <v>3.4822022531844961</v>
      </c>
      <c r="BE6" s="13">
        <f>BD6*VLOOKUP('Données projet'!$B$11,Paramètres!$A$1:$I$89,3,0)*VLOOKUP('Données projet'!$B$11,Paramètres!$A$1:$I$89,5,0)</f>
        <v>3.3136636641303663</v>
      </c>
      <c r="BF6" s="13">
        <f t="shared" si="37"/>
        <v>1.3283012755561239</v>
      </c>
      <c r="BG6" s="20">
        <f t="shared" si="7"/>
        <v>8.0847556032873023</v>
      </c>
      <c r="BH6" s="59">
        <f t="shared" si="8"/>
        <v>268.41808893662062</v>
      </c>
      <c r="BI6" s="59">
        <f ca="1">AVERAGE(OFFSET($BH$3,0,0,'Données projet'!$E$11+1,1))-AVERAGE(OFFSET($H$3,0,0,'Données projet'!$E$11+1,1))</f>
        <v>373.51596132356536</v>
      </c>
      <c r="BJ6" s="59">
        <f t="shared" si="38"/>
        <v>417.00150517020114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2.1</v>
      </c>
      <c r="BY6" s="12">
        <f>IF('Données projet'!$A$114&gt;35,BY5+BX6-CG5,IF(A6&lt;'Données projet'!$A$114,$BV$205^A6,IF(A6='Données projet'!$A$114,'Données projet'!$B$114,BY5+BX6-CG5)))</f>
        <v>1.7518115829322798</v>
      </c>
      <c r="BZ6" s="13">
        <f>BY6*VLOOKUP('Données projet'!$B$12,Paramètres!$A$1:$I$89,3,0)*VLOOKUP('Données projet'!$B$12,Paramètres!$A$1:$I$89,5,0)</f>
        <v>1.5850391202371266</v>
      </c>
      <c r="CA6" s="13">
        <f t="shared" si="39"/>
        <v>0.69232082604846479</v>
      </c>
      <c r="CB6" s="20">
        <f t="shared" si="10"/>
        <v>3.966401906447405</v>
      </c>
      <c r="CC6" s="59">
        <f t="shared" si="11"/>
        <v>264.29973523978072</v>
      </c>
      <c r="CD6" s="59">
        <f ca="1">AVERAGE(OFFSET($CC$3,0,0,'Données projet'!$E$12+1,1))-AVERAGE(OFFSET($H$3,0,0,'Données projet'!$E$12+1,1))</f>
        <v>289.19622253646992</v>
      </c>
      <c r="CE6" s="59">
        <f t="shared" si="40"/>
        <v>191.23827338431175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>
        <f>EXP(-LN(2)/35)*CK5+(1-EXP(-LN(2)/35))/(LN(2)/35)*CG6*CH6*VLOOKUP('Données projet'!$B$12,Paramètres!$A$1:$I$89,3,0)*0.475*44/12</f>
        <v>0</v>
      </c>
      <c r="CL6" s="21">
        <f>EXP(-LN(2)/25)*CL5+(1-EXP(-LN(2)/25))/(LN(2)/25)*Calculateur!CG6*Calculateur!CI6*VLOOKUP('Données projet'!$B$12,Paramètres!$A$1:$I$89,3,0)*0.475*44/12</f>
        <v>0</v>
      </c>
      <c r="CM6" s="21">
        <f>EXP(-LN(2)/2)*CM5+(1-EXP(-LN(2)/2))/(LN(2)/2)*CG6*CJ6*VLOOKUP('Données projet'!$B$12,Paramètres!$A$1:$I$89,3,0)*0.475*44/12</f>
        <v>0</v>
      </c>
      <c r="CN6" s="22">
        <f t="shared" si="12"/>
        <v>0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2.3088000000000002</v>
      </c>
      <c r="D7" s="11">
        <f t="shared" si="32"/>
        <v>0.96525089214556192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25.273375307790303</v>
      </c>
      <c r="H7" s="67">
        <f t="shared" si="1"/>
        <v>262.36897197048688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6.8</v>
      </c>
      <c r="N7" s="13">
        <f>IF('Données projet'!$A$36&gt;35,N6+M7-V6,IF(A7&lt;'Données projet'!$A$36,$K$205^A7,IF(A7='Données projet'!$A$36,'Données projet'!$B$36,N6+M7-V6)))</f>
        <v>16.795120867813488</v>
      </c>
      <c r="O7" s="13">
        <f>N7*VLOOKUP('Données projet'!$B$9,Paramètres!$A$1:$I$89,3,0)*VLOOKUP('Données projet'!$B$9,Paramètres!$A$1:$I$89,5,0)</f>
        <v>15.196225361197643</v>
      </c>
      <c r="P7" s="13">
        <f t="shared" si="33"/>
        <v>5.1019212633160578</v>
      </c>
      <c r="Q7" s="20">
        <f t="shared" si="2"/>
        <v>35.352605371028027</v>
      </c>
      <c r="R7" s="59">
        <f t="shared" si="0"/>
        <v>296.90816092658355</v>
      </c>
      <c r="S7" s="59">
        <f ca="1">AVERAGE(OFFSET($R$3,0,0,'Données projet'!$E$9+1,1))-AVERAGE(OFFSET($H$3,0,0,'Données projet'!$E$9+1,1))</f>
        <v>336.59194805061094</v>
      </c>
      <c r="T7" s="59">
        <f t="shared" si="34"/>
        <v>473.66884161123909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1.1000000000000001</v>
      </c>
      <c r="AI7" s="13">
        <f>IF('Données projet'!$A$62&gt;35,AI6+AH7-AQ6,IF(A7&lt;'Données projet'!$A$62,$AF$205^A7,IF(A7='Données projet'!$A$62,'Données projet'!$B$62,AI6+AH7-AQ6)))</f>
        <v>2.6094986352788743</v>
      </c>
      <c r="AJ7" s="13">
        <f>AI7*VLOOKUP('Données projet'!$B$10,Paramètres!$A$1:$I$89,3,0)*VLOOKUP('Données projet'!$B$10,Paramètres!$A$1:$I$89,5,0)</f>
        <v>1.7097435058347183</v>
      </c>
      <c r="AK7" s="13">
        <f t="shared" si="35"/>
        <v>0.74023542259349984</v>
      </c>
      <c r="AL7" s="20">
        <f t="shared" si="4"/>
        <v>4.2670466336791462</v>
      </c>
      <c r="AM7" s="59">
        <f t="shared" si="5"/>
        <v>265.82260218923471</v>
      </c>
      <c r="AN7" s="59">
        <f ca="1">AVERAGE(OFFSET($AM$3,0,0,'Données projet'!$E$10+1,1))-AVERAGE(OFFSET($H$3,0,0,'Données projet'!$E$10+1,1))</f>
        <v>244.66788784685366</v>
      </c>
      <c r="AO7" s="59">
        <f t="shared" si="36"/>
        <v>252.04429018409274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6.4</v>
      </c>
      <c r="BD7" s="12">
        <f>IF('Données projet'!$A$88&gt;35,BD6+BC7-BL6,IF(A7&lt;'Données projet'!$A$88,$BA$205^A7,IF(A7='Données projet'!$A$88,'Données projet'!$B$88,BD6+BC7-BL6)))</f>
        <v>5.2780316430915759</v>
      </c>
      <c r="BE7" s="13">
        <f>BD7*VLOOKUP('Données projet'!$B$11,Paramètres!$A$1:$I$89,3,0)*VLOOKUP('Données projet'!$B$11,Paramètres!$A$1:$I$89,5,0)</f>
        <v>5.0225749115659442</v>
      </c>
      <c r="BF7" s="13">
        <f t="shared" si="37"/>
        <v>1.9181857140323555</v>
      </c>
      <c r="BG7" s="20">
        <f t="shared" si="7"/>
        <v>12.088491422917038</v>
      </c>
      <c r="BH7" s="59">
        <f t="shared" si="8"/>
        <v>273.6440469784726</v>
      </c>
      <c r="BI7" s="59">
        <f ca="1">AVERAGE(OFFSET($BH$3,0,0,'Données projet'!$E$11+1,1))-AVERAGE(OFFSET($H$3,0,0,'Données projet'!$E$11+1,1))</f>
        <v>373.51596132356536</v>
      </c>
      <c r="BJ7" s="59">
        <f t="shared" si="38"/>
        <v>417.00150517020114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2.1</v>
      </c>
      <c r="BY7" s="12">
        <f>IF('Données projet'!$A$114&gt;35,BY6+BX7-CG6,IF(A7&lt;'Données projet'!$A$114,$BV$205^A7,IF(A7='Données projet'!$A$114,'Données projet'!$B$114,BY6+BX7-CG6)))</f>
        <v>2.1117857649667546</v>
      </c>
      <c r="BZ7" s="13">
        <f>BY7*VLOOKUP('Données projet'!$B$12,Paramètres!$A$1:$I$89,3,0)*VLOOKUP('Données projet'!$B$12,Paramètres!$A$1:$I$89,5,0)</f>
        <v>1.9107437601419195</v>
      </c>
      <c r="CA7" s="13">
        <f t="shared" si="39"/>
        <v>0.81662477151702284</v>
      </c>
      <c r="CB7" s="20">
        <f t="shared" si="10"/>
        <v>4.7501668593059909</v>
      </c>
      <c r="CC7" s="59">
        <f t="shared" si="11"/>
        <v>266.30572241486152</v>
      </c>
      <c r="CD7" s="59">
        <f ca="1">AVERAGE(OFFSET($CC$3,0,0,'Données projet'!$E$12+1,1))-AVERAGE(OFFSET($H$3,0,0,'Données projet'!$E$12+1,1))</f>
        <v>289.19622253646992</v>
      </c>
      <c r="CE7" s="59">
        <f t="shared" si="40"/>
        <v>191.23827338431175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>
        <f>EXP(-LN(2)/35)*CK6+(1-EXP(-LN(2)/35))/(LN(2)/35)*CG7*CH7*VLOOKUP('Données projet'!$B$12,Paramètres!$A$1:$I$89,3,0)*0.475*44/12</f>
        <v>0</v>
      </c>
      <c r="CL7" s="21">
        <f>EXP(-LN(2)/25)*CL6+(1-EXP(-LN(2)/25))/(LN(2)/25)*Calculateur!CG7*Calculateur!CI7*VLOOKUP('Données projet'!$B$12,Paramètres!$A$1:$I$89,3,0)*0.475*44/12</f>
        <v>0</v>
      </c>
      <c r="CM7" s="21">
        <f>EXP(-LN(2)/2)*CM6+(1-EXP(-LN(2)/2))/(LN(2)/2)*CG7*CJ7*VLOOKUP('Données projet'!$B$12,Paramètres!$A$1:$I$89,3,0)*0.475*44/12</f>
        <v>0</v>
      </c>
      <c r="CN7" s="22">
        <f t="shared" si="12"/>
        <v>0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2.8860000000000001</v>
      </c>
      <c r="D8" s="11">
        <f t="shared" si="32"/>
        <v>1.1756279405869499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31.352917436109792</v>
      </c>
      <c r="H8" s="67">
        <f t="shared" si="1"/>
        <v>263.74066866318896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2">
        <f>VLOOKUP(A8,'Données projet'!$A$35:$I$55,2,0)</f>
        <v>34</v>
      </c>
      <c r="L8" s="12">
        <f>VLOOKUP(A8,'Données projet'!$A$35:$I$55,9,0)</f>
        <v>6.8</v>
      </c>
      <c r="M8" s="12">
        <f t="array" ref="M8">INDEX(L:L,MIN(IF(ISNUMBER(L8:L204),ROW(L8:L204),"")))</f>
        <v>6.8</v>
      </c>
      <c r="N8" s="13">
        <f>IF('Données projet'!$A$36&gt;35,N7+M8-V7,IF(A8&lt;'Données projet'!$A$36,$K$205^A8,IF(A8='Données projet'!$A$36,'Données projet'!$B$36,N7+M8-V7)))</f>
        <v>34</v>
      </c>
      <c r="O8" s="13">
        <f>N8*VLOOKUP('Données projet'!$B$9,Paramètres!$A$1:$I$89,3,0)*VLOOKUP('Données projet'!$B$9,Paramètres!$A$1:$I$89,5,0)</f>
        <v>30.763199999999998</v>
      </c>
      <c r="P8" s="13">
        <f t="shared" si="33"/>
        <v>9.5142970411082253</v>
      </c>
      <c r="Q8" s="20">
        <f t="shared" si="2"/>
        <v>70.149974013263474</v>
      </c>
      <c r="R8" s="59">
        <f t="shared" si="0"/>
        <v>332.92775179104126</v>
      </c>
      <c r="S8" s="59">
        <f ca="1">AVERAGE(OFFSET($R$3,0,0,'Données projet'!$E$9+1,1))-AVERAGE(OFFSET($H$3,0,0,'Données projet'!$E$9+1,1))</f>
        <v>336.59194805061094</v>
      </c>
      <c r="T8" s="59">
        <f t="shared" si="34"/>
        <v>473.66884161123909</v>
      </c>
      <c r="U8" s="15">
        <f>IF(ISNA(VLOOKUP(A8,'Données projet'!$A$35:$I$55,3,0)),0,VLOOKUP(A8,'Données projet'!$A$35:$I$55,3,0))</f>
        <v>1</v>
      </c>
      <c r="V8" s="15">
        <f>IF(ISNA(VLOOKUP(A8,'Données projet'!$A$35:$I$55,4,0)),0,VLOOKUP(A8,'Données projet'!$A$35:$I$55,4,0))</f>
        <v>6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1.1000000000000001</v>
      </c>
      <c r="AI8" s="13">
        <f>IF('Données projet'!$A$62&gt;35,AI7+AH8-AQ7,IF(A8&lt;'Données projet'!$A$62,$AF$205^A8,IF(A8='Données projet'!$A$62,'Données projet'!$B$62,AI7+AH8-AQ7)))</f>
        <v>3.3166247903554016</v>
      </c>
      <c r="AJ8" s="13">
        <f>AI8*VLOOKUP('Données projet'!$B$10,Paramètres!$A$1:$I$89,3,0)*VLOOKUP('Données projet'!$B$10,Paramètres!$A$1:$I$89,5,0)</f>
        <v>2.173052562640859</v>
      </c>
      <c r="AK8" s="13">
        <f t="shared" si="35"/>
        <v>0.91492884804015795</v>
      </c>
      <c r="AL8" s="20">
        <f t="shared" si="4"/>
        <v>5.3782342902694369</v>
      </c>
      <c r="AM8" s="59">
        <f t="shared" si="5"/>
        <v>268.15601206804723</v>
      </c>
      <c r="AN8" s="59">
        <f ca="1">AVERAGE(OFFSET($AM$3,0,0,'Données projet'!$E$10+1,1))-AVERAGE(OFFSET($H$3,0,0,'Données projet'!$E$10+1,1))</f>
        <v>244.66788784685366</v>
      </c>
      <c r="AO8" s="59">
        <f t="shared" si="36"/>
        <v>252.04429018409274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6.4</v>
      </c>
      <c r="BD8" s="12">
        <f>IF('Données projet'!$A$88&gt;35,BD7+BC8-BL7,IF(A8&lt;'Données projet'!$A$88,$BA$205^A8,IF(A8='Données projet'!$A$88,'Données projet'!$B$88,BD7+BC8-BL7)))</f>
        <v>7.9999999999999982</v>
      </c>
      <c r="BE8" s="13">
        <f>BD8*VLOOKUP('Données projet'!$B$11,Paramètres!$A$1:$I$89,3,0)*VLOOKUP('Données projet'!$B$11,Paramètres!$A$1:$I$89,5,0)</f>
        <v>7.6127999999999991</v>
      </c>
      <c r="BF8" s="13">
        <f t="shared" si="37"/>
        <v>2.7700315442197678</v>
      </c>
      <c r="BG8" s="20">
        <f t="shared" si="7"/>
        <v>18.08343160618276</v>
      </c>
      <c r="BH8" s="59">
        <f t="shared" si="8"/>
        <v>280.86120938396056</v>
      </c>
      <c r="BI8" s="59">
        <f ca="1">AVERAGE(OFFSET($BH$3,0,0,'Données projet'!$E$11+1,1))-AVERAGE(OFFSET($H$3,0,0,'Données projet'!$E$11+1,1))</f>
        <v>373.51596132356536</v>
      </c>
      <c r="BJ8" s="59">
        <f t="shared" si="38"/>
        <v>417.00150517020114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2.1</v>
      </c>
      <c r="BY8" s="12">
        <f>IF('Données projet'!$A$114&gt;35,BY7+BX8-CG7,IF(A8&lt;'Données projet'!$A$114,$BV$205^A8,IF(A8='Données projet'!$A$114,'Données projet'!$B$114,BY7+BX8-CG7)))</f>
        <v>2.5457298950218314</v>
      </c>
      <c r="BZ8" s="13">
        <f>BY8*VLOOKUP('Données projet'!$B$12,Paramètres!$A$1:$I$89,3,0)*VLOOKUP('Données projet'!$B$12,Paramètres!$A$1:$I$89,5,0)</f>
        <v>2.3033764090157529</v>
      </c>
      <c r="CA8" s="13">
        <f t="shared" si="39"/>
        <v>0.96324708482559218</v>
      </c>
      <c r="CB8" s="20">
        <f t="shared" si="10"/>
        <v>5.6893692517736758</v>
      </c>
      <c r="CC8" s="59">
        <f t="shared" si="11"/>
        <v>268.46714702955143</v>
      </c>
      <c r="CD8" s="59">
        <f ca="1">AVERAGE(OFFSET($CC$3,0,0,'Données projet'!$E$12+1,1))-AVERAGE(OFFSET($H$3,0,0,'Données projet'!$E$12+1,1))</f>
        <v>289.19622253646992</v>
      </c>
      <c r="CE8" s="59">
        <f t="shared" si="40"/>
        <v>191.23827338431175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>
        <f>EXP(-LN(2)/35)*CK7+(1-EXP(-LN(2)/35))/(LN(2)/35)*CG8*CH8*VLOOKUP('Données projet'!$B$12,Paramètres!$A$1:$I$89,3,0)*0.475*44/12</f>
        <v>0</v>
      </c>
      <c r="CL8" s="21">
        <f>EXP(-LN(2)/25)*CL7+(1-EXP(-LN(2)/25))/(LN(2)/25)*Calculateur!CG8*Calculateur!CI8*VLOOKUP('Données projet'!$B$12,Paramètres!$A$1:$I$89,3,0)*0.475*44/12</f>
        <v>0</v>
      </c>
      <c r="CM8" s="21">
        <f>EXP(-LN(2)/2)*CM7+(1-EXP(-LN(2)/2))/(LN(2)/2)*CG8*CJ8*VLOOKUP('Données projet'!$B$12,Paramètres!$A$1:$I$89,3,0)*0.475*44/12</f>
        <v>0</v>
      </c>
      <c r="CN8" s="22">
        <f t="shared" si="12"/>
        <v>0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3.4632000000000001</v>
      </c>
      <c r="D9" s="11">
        <f t="shared" si="32"/>
        <v>1.3811296481821862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37.394825354388807</v>
      </c>
      <c r="H9" s="67">
        <f t="shared" si="1"/>
        <v>265.10387413725067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14.2</v>
      </c>
      <c r="N9" s="13">
        <f>IF('Données projet'!$A$36&gt;35,N8+M9-V8,IF(A9&lt;'Données projet'!$A$36,$K$205^A9,IF(A9='Données projet'!$A$36,'Données projet'!$B$36,N8+M9-V8)))</f>
        <v>42.2</v>
      </c>
      <c r="O9" s="13">
        <f>N9*VLOOKUP('Données projet'!$B$9,Paramètres!$A$1:$I$89,3,0)*VLOOKUP('Données projet'!$B$9,Paramètres!$A$1:$I$89,5,0)</f>
        <v>38.182560000000002</v>
      </c>
      <c r="P9" s="13">
        <f t="shared" si="33"/>
        <v>11.515638334288104</v>
      </c>
      <c r="Q9" s="20">
        <f t="shared" si="2"/>
        <v>86.557695432218452</v>
      </c>
      <c r="R9" s="59">
        <f t="shared" si="0"/>
        <v>350.55769543221845</v>
      </c>
      <c r="S9" s="59">
        <f ca="1">AVERAGE(OFFSET($R$3,0,0,'Données projet'!$E$9+1,1))-AVERAGE(OFFSET($H$3,0,0,'Données projet'!$E$9+1,1))</f>
        <v>336.59194805061094</v>
      </c>
      <c r="T9" s="59">
        <f t="shared" si="34"/>
        <v>473.66884161123909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1.1000000000000001</v>
      </c>
      <c r="AI9" s="13">
        <f>IF('Données projet'!$A$62&gt;35,AI8+AH9-AQ8,IF(A9&lt;'Données projet'!$A$62,$AF$205^A9,IF(A9='Données projet'!$A$62,'Données projet'!$B$62,AI8+AH9-AQ8)))</f>
        <v>4.2153691330919028</v>
      </c>
      <c r="AJ9" s="13">
        <f>AI9*VLOOKUP('Données projet'!$B$10,Paramètres!$A$1:$I$89,3,0)*VLOOKUP('Données projet'!$B$10,Paramètres!$A$1:$I$89,5,0)</f>
        <v>2.7619098560018145</v>
      </c>
      <c r="AK9" s="13">
        <f t="shared" si="35"/>
        <v>1.1308494182070246</v>
      </c>
      <c r="AL9" s="20">
        <f t="shared" si="4"/>
        <v>6.7798890692470613</v>
      </c>
      <c r="AM9" s="59">
        <f t="shared" si="5"/>
        <v>270.77988906924708</v>
      </c>
      <c r="AN9" s="59">
        <f ca="1">AVERAGE(OFFSET($AM$3,0,0,'Données projet'!$E$10+1,1))-AVERAGE(OFFSET($H$3,0,0,'Données projet'!$E$10+1,1))</f>
        <v>244.66788784685366</v>
      </c>
      <c r="AO9" s="59">
        <f t="shared" si="36"/>
        <v>252.04429018409274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6.4</v>
      </c>
      <c r="BD9" s="12">
        <f>IF('Données projet'!$A$88&gt;35,BD8+BC9-BL8,IF(A9&lt;'Données projet'!$A$88,$BA$205^A9,IF(A9='Données projet'!$A$88,'Données projet'!$B$88,BD8+BC9-BL8)))</f>
        <v>12.12573253208318</v>
      </c>
      <c r="BE9" s="13">
        <f>BD9*VLOOKUP('Données projet'!$B$11,Paramètres!$A$1:$I$89,3,0)*VLOOKUP('Données projet'!$B$11,Paramètres!$A$1:$I$89,5,0)</f>
        <v>11.538847077530354</v>
      </c>
      <c r="BF9" s="13">
        <f t="shared" si="37"/>
        <v>4.0001730280028145</v>
      </c>
      <c r="BG9" s="20">
        <f t="shared" si="7"/>
        <v>27.063793350470267</v>
      </c>
      <c r="BH9" s="59">
        <f t="shared" si="8"/>
        <v>291.06379335047029</v>
      </c>
      <c r="BI9" s="59">
        <f ca="1">AVERAGE(OFFSET($BH$3,0,0,'Données projet'!$E$11+1,1))-AVERAGE(OFFSET($H$3,0,0,'Données projet'!$E$11+1,1))</f>
        <v>373.51596132356536</v>
      </c>
      <c r="BJ9" s="59">
        <f t="shared" si="38"/>
        <v>417.00150517020114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2.1</v>
      </c>
      <c r="BY9" s="12">
        <f>IF('Données projet'!$A$114&gt;35,BY8+BX9-CG8,IF(A9&lt;'Données projet'!$A$114,$BV$205^A9,IF(A9='Données projet'!$A$114,'Données projet'!$B$114,BY8+BX9-CG8)))</f>
        <v>3.0688438220956993</v>
      </c>
      <c r="BZ9" s="13">
        <f>BY9*VLOOKUP('Données projet'!$B$12,Paramètres!$A$1:$I$89,3,0)*VLOOKUP('Données projet'!$B$12,Paramètres!$A$1:$I$89,5,0)</f>
        <v>2.7766898902321886</v>
      </c>
      <c r="CA9" s="13">
        <f t="shared" si="39"/>
        <v>1.1361949561012803</v>
      </c>
      <c r="CB9" s="20">
        <f t="shared" si="10"/>
        <v>6.8149411073641248</v>
      </c>
      <c r="CC9" s="59">
        <f t="shared" si="11"/>
        <v>270.81494110736412</v>
      </c>
      <c r="CD9" s="59">
        <f ca="1">AVERAGE(OFFSET($CC$3,0,0,'Données projet'!$E$12+1,1))-AVERAGE(OFFSET($H$3,0,0,'Données projet'!$E$12+1,1))</f>
        <v>289.19622253646992</v>
      </c>
      <c r="CE9" s="59">
        <f t="shared" si="40"/>
        <v>191.23827338431175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>
        <f>EXP(-LN(2)/35)*CK8+(1-EXP(-LN(2)/35))/(LN(2)/35)*CG9*CH9*VLOOKUP('Données projet'!$B$12,Paramètres!$A$1:$I$89,3,0)*0.475*44/12</f>
        <v>0</v>
      </c>
      <c r="CL9" s="21">
        <f>EXP(-LN(2)/25)*CL8+(1-EXP(-LN(2)/25))/(LN(2)/25)*Calculateur!CG9*Calculateur!CI9*VLOOKUP('Données projet'!$B$12,Paramètres!$A$1:$I$89,3,0)*0.475*44/12</f>
        <v>0</v>
      </c>
      <c r="CM9" s="21">
        <f>EXP(-LN(2)/2)*CM8+(1-EXP(-LN(2)/2))/(LN(2)/2)*CG9*CJ9*VLOOKUP('Données projet'!$B$12,Paramètres!$A$1:$I$89,3,0)*0.475*44/12</f>
        <v>0</v>
      </c>
      <c r="CN9" s="22">
        <f t="shared" si="12"/>
        <v>0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4.0404</v>
      </c>
      <c r="D10" s="11">
        <f t="shared" si="32"/>
        <v>1.5826636636638696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43.406105473896538</v>
      </c>
      <c r="H10" s="67">
        <f t="shared" si="1"/>
        <v>266.4601692142146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14.2</v>
      </c>
      <c r="N10" s="13">
        <f>IF('Données projet'!$A$36&gt;35,N9+M10-V9,IF(A10&lt;'Données projet'!$A$36,$K$205^A10,IF(A10='Données projet'!$A$36,'Données projet'!$B$36,N9+M10-V9)))</f>
        <v>56.400000000000006</v>
      </c>
      <c r="O10" s="13">
        <f>N10*VLOOKUP('Données projet'!$B$9,Paramètres!$A$1:$I$89,3,0)*VLOOKUP('Données projet'!$B$9,Paramètres!$A$1:$I$89,5,0)</f>
        <v>51.030720000000009</v>
      </c>
      <c r="P10" s="13">
        <f t="shared" si="33"/>
        <v>14.879630660597618</v>
      </c>
      <c r="Q10" s="20">
        <f t="shared" si="2"/>
        <v>114.79386073387418</v>
      </c>
      <c r="R10" s="59">
        <f t="shared" si="0"/>
        <v>380.0160829560964</v>
      </c>
      <c r="S10" s="59">
        <f ca="1">AVERAGE(OFFSET($R$3,0,0,'Données projet'!$E$9+1,1))-AVERAGE(OFFSET($H$3,0,0,'Données projet'!$E$9+1,1))</f>
        <v>336.59194805061094</v>
      </c>
      <c r="T10" s="59">
        <f t="shared" si="34"/>
        <v>473.66884161123909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1.1000000000000001</v>
      </c>
      <c r="AI10" s="13">
        <f>IF('Données projet'!$A$62&gt;35,AI9+AH10-AQ9,IF(A10&lt;'Données projet'!$A$62,$AF$205^A10,IF(A10='Données projet'!$A$62,'Données projet'!$B$62,AI9+AH10-AQ9)))</f>
        <v>5.3576566694841175</v>
      </c>
      <c r="AJ10" s="13">
        <f>AI10*VLOOKUP('Données projet'!$B$10,Paramètres!$A$1:$I$89,3,0)*VLOOKUP('Données projet'!$B$10,Paramètres!$A$1:$I$89,5,0)</f>
        <v>3.510336649845994</v>
      </c>
      <c r="AK10" s="13">
        <f t="shared" si="35"/>
        <v>1.397726620379814</v>
      </c>
      <c r="AL10" s="20">
        <f t="shared" si="4"/>
        <v>8.5482101956432839</v>
      </c>
      <c r="AM10" s="59">
        <f t="shared" si="5"/>
        <v>273.77043241786549</v>
      </c>
      <c r="AN10" s="59">
        <f ca="1">AVERAGE(OFFSET($AM$3,0,0,'Données projet'!$E$10+1,1))-AVERAGE(OFFSET($H$3,0,0,'Données projet'!$E$10+1,1))</f>
        <v>244.66788784685366</v>
      </c>
      <c r="AO10" s="59">
        <f t="shared" si="36"/>
        <v>252.04429018409274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6.4</v>
      </c>
      <c r="BD10" s="12">
        <f>IF('Données projet'!$A$88&gt;35,BD9+BC10-BL9,IF(A10&lt;'Données projet'!$A$88,$BA$205^A10,IF(A10='Données projet'!$A$88,'Données projet'!$B$88,BD9+BC10-BL9)))</f>
        <v>18.379173679952554</v>
      </c>
      <c r="BE10" s="13">
        <f>BD10*VLOOKUP('Données projet'!$B$11,Paramètres!$A$1:$I$89,3,0)*VLOOKUP('Données projet'!$B$11,Paramètres!$A$1:$I$89,5,0)</f>
        <v>17.489621673842851</v>
      </c>
      <c r="BF10" s="13">
        <f t="shared" si="37"/>
        <v>5.7766072329939151</v>
      </c>
      <c r="BG10" s="20">
        <f t="shared" si="7"/>
        <v>40.522015346074028</v>
      </c>
      <c r="BH10" s="59">
        <f t="shared" si="8"/>
        <v>305.74423756829628</v>
      </c>
      <c r="BI10" s="59">
        <f ca="1">AVERAGE(OFFSET($BH$3,0,0,'Données projet'!$E$11+1,1))-AVERAGE(OFFSET($H$3,0,0,'Données projet'!$E$11+1,1))</f>
        <v>373.51596132356536</v>
      </c>
      <c r="BJ10" s="59">
        <f t="shared" si="38"/>
        <v>417.00150517020114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2.1</v>
      </c>
      <c r="BY10" s="12">
        <f>IF('Données projet'!$A$114&gt;35,BY9+BX10-CG9,IF(A10&lt;'Données projet'!$A$114,$BV$205^A10,IF(A10='Données projet'!$A$114,'Données projet'!$B$114,BY9+BX10-CG9)))</f>
        <v>3.6994507637402658</v>
      </c>
      <c r="BZ10" s="13">
        <f>BY10*VLOOKUP('Données projet'!$B$12,Paramètres!$A$1:$I$89,3,0)*VLOOKUP('Données projet'!$B$12,Paramètres!$A$1:$I$89,5,0)</f>
        <v>3.3472630510321921</v>
      </c>
      <c r="CA10" s="13">
        <f t="shared" si="39"/>
        <v>1.34019505338418</v>
      </c>
      <c r="CB10" s="20">
        <f t="shared" si="10"/>
        <v>8.1639895318585136</v>
      </c>
      <c r="CC10" s="59">
        <f t="shared" si="11"/>
        <v>273.38621175408076</v>
      </c>
      <c r="CD10" s="59">
        <f ca="1">AVERAGE(OFFSET($CC$3,0,0,'Données projet'!$E$12+1,1))-AVERAGE(OFFSET($H$3,0,0,'Données projet'!$E$12+1,1))</f>
        <v>289.19622253646992</v>
      </c>
      <c r="CE10" s="59">
        <f t="shared" si="40"/>
        <v>191.23827338431175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>
        <f>EXP(-LN(2)/35)*CK9+(1-EXP(-LN(2)/35))/(LN(2)/35)*CG10*CH10*VLOOKUP('Données projet'!$B$12,Paramètres!$A$1:$I$89,3,0)*0.475*44/12</f>
        <v>0</v>
      </c>
      <c r="CL10" s="21">
        <f>EXP(-LN(2)/25)*CL9+(1-EXP(-LN(2)/25))/(LN(2)/25)*Calculateur!CG10*Calculateur!CI10*VLOOKUP('Données projet'!$B$12,Paramètres!$A$1:$I$89,3,0)*0.475*44/12</f>
        <v>0</v>
      </c>
      <c r="CM10" s="21">
        <f>EXP(-LN(2)/2)*CM9+(1-EXP(-LN(2)/2))/(LN(2)/2)*CG10*CJ10*VLOOKUP('Données projet'!$B$12,Paramètres!$A$1:$I$89,3,0)*0.475*44/12</f>
        <v>0</v>
      </c>
      <c r="CN10" s="22">
        <f t="shared" si="12"/>
        <v>0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4.6176000000000004</v>
      </c>
      <c r="D11" s="11">
        <f t="shared" si="32"/>
        <v>1.7808622002082055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49.391638036694928</v>
      </c>
      <c r="H11" s="67">
        <f t="shared" si="1"/>
        <v>267.81065499869595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14.2</v>
      </c>
      <c r="N11" s="13">
        <f>IF('Données projet'!$A$36&gt;35,N10+M11-V10,IF(A11&lt;'Données projet'!$A$36,$K$205^A11,IF(A11='Données projet'!$A$36,'Données projet'!$B$36,N10+M11-V10)))</f>
        <v>70.600000000000009</v>
      </c>
      <c r="O11" s="13">
        <f>N11*VLOOKUP('Données projet'!$B$9,Paramètres!$A$1:$I$89,3,0)*VLOOKUP('Données projet'!$B$9,Paramètres!$A$1:$I$89,5,0)</f>
        <v>63.878880000000002</v>
      </c>
      <c r="P11" s="13">
        <f t="shared" si="33"/>
        <v>18.145367520913332</v>
      </c>
      <c r="Q11" s="20">
        <f t="shared" si="2"/>
        <v>142.85889776559074</v>
      </c>
      <c r="R11" s="59">
        <f t="shared" si="0"/>
        <v>409.30334221003523</v>
      </c>
      <c r="S11" s="59">
        <f ca="1">AVERAGE(OFFSET($R$3,0,0,'Données projet'!$E$9+1,1))-AVERAGE(OFFSET($H$3,0,0,'Données projet'!$E$9+1,1))</f>
        <v>336.59194805061094</v>
      </c>
      <c r="T11" s="59">
        <f t="shared" si="34"/>
        <v>473.66884161123909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1.1000000000000001</v>
      </c>
      <c r="AI11" s="13">
        <f>IF('Données projet'!$A$62&gt;35,AI10+AH11-AQ10,IF(A11&lt;'Données projet'!$A$62,$AF$205^A11,IF(A11='Données projet'!$A$62,'Données projet'!$B$62,AI10+AH11-AQ10)))</f>
        <v>6.8094831275223076</v>
      </c>
      <c r="AJ11" s="13">
        <f>AI11*VLOOKUP('Données projet'!$B$10,Paramètres!$A$1:$I$89,3,0)*VLOOKUP('Données projet'!$B$10,Paramètres!$A$1:$I$89,5,0)</f>
        <v>4.4615733451526163</v>
      </c>
      <c r="AK11" s="13">
        <f t="shared" si="35"/>
        <v>1.7275860727911023</v>
      </c>
      <c r="AL11" s="20">
        <f t="shared" si="4"/>
        <v>10.779452652918643</v>
      </c>
      <c r="AM11" s="59">
        <f t="shared" si="5"/>
        <v>277.22389709736308</v>
      </c>
      <c r="AN11" s="59">
        <f ca="1">AVERAGE(OFFSET($AM$3,0,0,'Données projet'!$E$10+1,1))-AVERAGE(OFFSET($H$3,0,0,'Données projet'!$E$10+1,1))</f>
        <v>244.66788784685366</v>
      </c>
      <c r="AO11" s="59">
        <f t="shared" si="36"/>
        <v>252.04429018409274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6.4</v>
      </c>
      <c r="BD11" s="12">
        <f>IF('Données projet'!$A$88&gt;35,BD10+BC11-BL10,IF(A11&lt;'Données projet'!$A$88,$BA$205^A11,IF(A11='Données projet'!$A$88,'Données projet'!$B$88,BD10+BC11-BL10)))</f>
        <v>27.857618025475961</v>
      </c>
      <c r="BE11" s="13">
        <f>BD11*VLOOKUP('Données projet'!$B$11,Paramètres!$A$1:$I$89,3,0)*VLOOKUP('Données projet'!$B$11,Paramètres!$A$1:$I$89,5,0)</f>
        <v>26.509309313042923</v>
      </c>
      <c r="BF11" s="13">
        <f t="shared" si="37"/>
        <v>8.341936933897582</v>
      </c>
      <c r="BG11" s="20">
        <f t="shared" si="7"/>
        <v>60.699253880088044</v>
      </c>
      <c r="BH11" s="59">
        <f t="shared" si="8"/>
        <v>327.14369832453252</v>
      </c>
      <c r="BI11" s="59">
        <f ca="1">AVERAGE(OFFSET($BH$3,0,0,'Données projet'!$E$11+1,1))-AVERAGE(OFFSET($H$3,0,0,'Données projet'!$E$11+1,1))</f>
        <v>373.51596132356536</v>
      </c>
      <c r="BJ11" s="59">
        <f t="shared" si="38"/>
        <v>417.00150517020114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2.1</v>
      </c>
      <c r="BY11" s="12">
        <f>IF('Données projet'!$A$114&gt;35,BY10+BX11-CG10,IF(A11&lt;'Données projet'!$A$114,$BV$205^A11,IF(A11='Données projet'!$A$114,'Données projet'!$B$114,BY10+BX11-CG10)))</f>
        <v>4.4596391171162209</v>
      </c>
      <c r="BZ11" s="13">
        <f>BY11*VLOOKUP('Données projet'!$B$12,Paramètres!$A$1:$I$89,3,0)*VLOOKUP('Données projet'!$B$12,Paramètres!$A$1:$I$89,5,0)</f>
        <v>4.0350814731667564</v>
      </c>
      <c r="CA11" s="13">
        <f t="shared" si="39"/>
        <v>1.5808227025391921</v>
      </c>
      <c r="CB11" s="20">
        <f t="shared" si="10"/>
        <v>9.7810331060211926</v>
      </c>
      <c r="CC11" s="59">
        <f t="shared" si="11"/>
        <v>276.22547755046565</v>
      </c>
      <c r="CD11" s="59">
        <f ca="1">AVERAGE(OFFSET($CC$3,0,0,'Données projet'!$E$12+1,1))-AVERAGE(OFFSET($H$3,0,0,'Données projet'!$E$12+1,1))</f>
        <v>289.19622253646992</v>
      </c>
      <c r="CE11" s="59">
        <f t="shared" si="40"/>
        <v>191.23827338431175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>
        <f>EXP(-LN(2)/35)*CK10+(1-EXP(-LN(2)/35))/(LN(2)/35)*CG11*CH11*VLOOKUP('Données projet'!$B$12,Paramètres!$A$1:$I$89,3,0)*0.475*44/12</f>
        <v>0</v>
      </c>
      <c r="CL11" s="21">
        <f>EXP(-LN(2)/25)*CL10+(1-EXP(-LN(2)/25))/(LN(2)/25)*Calculateur!CG11*Calculateur!CI11*VLOOKUP('Données projet'!$B$12,Paramètres!$A$1:$I$89,3,0)*0.475*44/12</f>
        <v>0</v>
      </c>
      <c r="CM11" s="21">
        <f>EXP(-LN(2)/2)*CM10+(1-EXP(-LN(2)/2))/(LN(2)/2)*CG11*CJ11*VLOOKUP('Données projet'!$B$12,Paramètres!$A$1:$I$89,3,0)*0.475*44/12</f>
        <v>0</v>
      </c>
      <c r="CN11" s="22">
        <f t="shared" si="12"/>
        <v>0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5.1948000000000008</v>
      </c>
      <c r="D12" s="11">
        <f t="shared" si="32"/>
        <v>1.9761899425421008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55.355010082781142</v>
      </c>
      <c r="H12" s="67">
        <f t="shared" si="1"/>
        <v>269.15614081659419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14.2</v>
      </c>
      <c r="N12" s="13">
        <f>IF('Données projet'!$A$36&gt;35,N11+M12-V11,IF(A12&lt;'Données projet'!$A$36,$K$205^A12,IF(A12='Données projet'!$A$36,'Données projet'!$B$36,N11+M12-V11)))</f>
        <v>84.800000000000011</v>
      </c>
      <c r="O12" s="13">
        <f>N12*VLOOKUP('Données projet'!$B$9,Paramètres!$A$1:$I$89,3,0)*VLOOKUP('Données projet'!$B$9,Paramètres!$A$1:$I$89,5,0)</f>
        <v>76.727040000000017</v>
      </c>
      <c r="P12" s="13">
        <f t="shared" si="33"/>
        <v>21.334993267156719</v>
      </c>
      <c r="Q12" s="20">
        <f t="shared" si="2"/>
        <v>170.79137460696464</v>
      </c>
      <c r="R12" s="59">
        <f t="shared" si="0"/>
        <v>438.45804127363135</v>
      </c>
      <c r="S12" s="59">
        <f ca="1">AVERAGE(OFFSET($R$3,0,0,'Données projet'!$E$9+1,1))-AVERAGE(OFFSET($H$3,0,0,'Données projet'!$E$9+1,1))</f>
        <v>336.59194805061094</v>
      </c>
      <c r="T12" s="59">
        <f t="shared" si="34"/>
        <v>473.66884161123909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1.1000000000000001</v>
      </c>
      <c r="AI12" s="13">
        <f>IF('Données projet'!$A$62&gt;35,AI11+AH12-AQ11,IF(A12&lt;'Données projet'!$A$62,$AF$205^A12,IF(A12='Données projet'!$A$62,'Données projet'!$B$62,AI11+AH12-AQ11)))</f>
        <v>8.6547278641645029</v>
      </c>
      <c r="AJ12" s="13">
        <f>AI12*VLOOKUP('Données projet'!$B$10,Paramètres!$A$1:$I$89,3,0)*VLOOKUP('Données projet'!$B$10,Paramètres!$A$1:$I$89,5,0)</f>
        <v>5.6705776966005823</v>
      </c>
      <c r="AK12" s="13">
        <f t="shared" si="35"/>
        <v>2.1352914049034637</v>
      </c>
      <c r="AL12" s="20">
        <f t="shared" si="4"/>
        <v>13.59522201845288</v>
      </c>
      <c r="AM12" s="59">
        <f t="shared" si="5"/>
        <v>281.26188868511957</v>
      </c>
      <c r="AN12" s="59">
        <f ca="1">AVERAGE(OFFSET($AM$3,0,0,'Données projet'!$E$10+1,1))-AVERAGE(OFFSET($H$3,0,0,'Données projet'!$E$10+1,1))</f>
        <v>244.66788784685366</v>
      </c>
      <c r="AO12" s="59">
        <f t="shared" si="36"/>
        <v>252.04429018409274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6.4</v>
      </c>
      <c r="BD12" s="12">
        <f>IF('Données projet'!$A$88&gt;35,BD11+BC12-BL11,IF(A12&lt;'Données projet'!$A$88,$BA$205^A12,IF(A12='Données projet'!$A$88,'Données projet'!$B$88,BD11+BC12-BL11)))</f>
        <v>42.2242531447326</v>
      </c>
      <c r="BE12" s="13">
        <f>BD12*VLOOKUP('Données projet'!$B$11,Paramètres!$A$1:$I$89,3,0)*VLOOKUP('Données projet'!$B$11,Paramètres!$A$1:$I$89,5,0)</f>
        <v>40.180599292527546</v>
      </c>
      <c r="BF12" s="13">
        <f t="shared" si="37"/>
        <v>12.046502211828304</v>
      </c>
      <c r="BG12" s="20">
        <f t="shared" si="7"/>
        <v>90.962201786753099</v>
      </c>
      <c r="BH12" s="59">
        <f t="shared" si="8"/>
        <v>358.62886845341978</v>
      </c>
      <c r="BI12" s="59">
        <f ca="1">AVERAGE(OFFSET($BH$3,0,0,'Données projet'!$E$11+1,1))-AVERAGE(OFFSET($H$3,0,0,'Données projet'!$E$11+1,1))</f>
        <v>373.51596132356536</v>
      </c>
      <c r="BJ12" s="59">
        <f t="shared" si="38"/>
        <v>417.00150517020114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2.1</v>
      </c>
      <c r="BY12" s="12">
        <f>IF('Données projet'!$A$114&gt;35,BY11+BX12-CG11,IF(A12&lt;'Données projet'!$A$114,$BV$205^A12,IF(A12='Données projet'!$A$114,'Données projet'!$B$114,BY11+BX12-CG11)))</f>
        <v>5.3760361537574148</v>
      </c>
      <c r="BZ12" s="13">
        <f>BY12*VLOOKUP('Données projet'!$B$12,Paramètres!$A$1:$I$89,3,0)*VLOOKUP('Données projet'!$B$12,Paramètres!$A$1:$I$89,5,0)</f>
        <v>4.8642375119197085</v>
      </c>
      <c r="CA12" s="13">
        <f t="shared" si="39"/>
        <v>1.8646542609995393</v>
      </c>
      <c r="CB12" s="20">
        <f t="shared" si="10"/>
        <v>11.719486504501022</v>
      </c>
      <c r="CC12" s="59">
        <f t="shared" si="11"/>
        <v>279.38615317116773</v>
      </c>
      <c r="CD12" s="59">
        <f ca="1">AVERAGE(OFFSET($CC$3,0,0,'Données projet'!$E$12+1,1))-AVERAGE(OFFSET($H$3,0,0,'Données projet'!$E$12+1,1))</f>
        <v>289.19622253646992</v>
      </c>
      <c r="CE12" s="59">
        <f t="shared" si="40"/>
        <v>191.23827338431175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>
        <f>EXP(-LN(2)/35)*CK11+(1-EXP(-LN(2)/35))/(LN(2)/35)*CG12*CH12*VLOOKUP('Données projet'!$B$12,Paramètres!$A$1:$I$89,3,0)*0.475*44/12</f>
        <v>0</v>
      </c>
      <c r="CL12" s="21">
        <f>EXP(-LN(2)/25)*CL11+(1-EXP(-LN(2)/25))/(LN(2)/25)*Calculateur!CG12*Calculateur!CI12*VLOOKUP('Données projet'!$B$12,Paramètres!$A$1:$I$89,3,0)*0.475*44/12</f>
        <v>0</v>
      </c>
      <c r="CM12" s="21">
        <f>EXP(-LN(2)/2)*CM11+(1-EXP(-LN(2)/2))/(LN(2)/2)*CG12*CJ12*VLOOKUP('Données projet'!$B$12,Paramètres!$A$1:$I$89,3,0)*0.475*44/12</f>
        <v>0</v>
      </c>
      <c r="CN12" s="22">
        <f t="shared" si="12"/>
        <v>0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5.7720000000000011</v>
      </c>
      <c r="D13" s="11">
        <f t="shared" si="32"/>
        <v>2.1690022541664673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61.298964769004321</v>
      </c>
      <c r="H13" s="67">
        <f t="shared" si="1"/>
        <v>270.49724559267327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2">
        <f>VLOOKUP(A13,'Données projet'!$A$35:$I$55,2,0)</f>
        <v>99</v>
      </c>
      <c r="L13" s="12">
        <f>VLOOKUP(A13,'Données projet'!$A$35:$I$55,9,0)</f>
        <v>14.2</v>
      </c>
      <c r="M13" s="12">
        <f t="array" ref="M13">INDEX(L:L,MIN(IF(ISNUMBER(L13:L209),ROW(L13:L209),"")))</f>
        <v>14.2</v>
      </c>
      <c r="N13" s="13">
        <f>IF('Données projet'!$A$36&gt;35,N12+M13-V12,IF(A13&lt;'Données projet'!$A$36,$K$205^A13,IF(A13='Données projet'!$A$36,'Données projet'!$B$36,N12+M13-V12)))</f>
        <v>99.000000000000014</v>
      </c>
      <c r="O13" s="13">
        <f>N13*VLOOKUP('Données projet'!$B$9,Paramètres!$A$1:$I$89,3,0)*VLOOKUP('Données projet'!$B$9,Paramètres!$A$1:$I$89,5,0)</f>
        <v>89.575200000000009</v>
      </c>
      <c r="P13" s="13">
        <f t="shared" si="33"/>
        <v>24.462745269668691</v>
      </c>
      <c r="Q13" s="20">
        <f t="shared" si="2"/>
        <v>198.61608801133966</v>
      </c>
      <c r="R13" s="59">
        <f t="shared" si="0"/>
        <v>467.50497690022848</v>
      </c>
      <c r="S13" s="59">
        <f ca="1">AVERAGE(OFFSET($R$3,0,0,'Données projet'!$E$9+1,1))-AVERAGE(OFFSET($H$3,0,0,'Données projet'!$E$9+1,1))</f>
        <v>336.59194805061094</v>
      </c>
      <c r="T13" s="59">
        <f t="shared" si="34"/>
        <v>473.66884161123909</v>
      </c>
      <c r="U13" s="15">
        <f>IF(ISNA(VLOOKUP(A13,'Données projet'!$A$35:$I$55,3,0)),0,VLOOKUP(A13,'Données projet'!$A$35:$I$55,3,0))</f>
        <v>2</v>
      </c>
      <c r="V13" s="15">
        <f>IF(ISNA(VLOOKUP(A13,'Données projet'!$A$35:$I$55,4,0)),0,VLOOKUP(A13,'Données projet'!$A$35:$I$55,4,0))</f>
        <v>28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2">
        <f>VLOOKUP(A13,'Données projet'!$A$61:$I$81,2,0)</f>
        <v>11</v>
      </c>
      <c r="AG13" s="12">
        <f>VLOOKUP(A13,'Données projet'!$A$61:$I$81,9,0)</f>
        <v>1.1000000000000001</v>
      </c>
      <c r="AH13" s="12">
        <f t="array" ref="AH13">INDEX(AG:AG,MIN(IF(ISNUMBER(AG13:AG209),ROW(AG13:AG209),"")))</f>
        <v>1.1000000000000001</v>
      </c>
      <c r="AI13" s="13">
        <f>IF('Données projet'!$A$62&gt;35,AI12+AH13-AQ12,IF(A13&lt;'Données projet'!$A$62,$AF$205^A13,IF(A13='Données projet'!$A$62,'Données projet'!$B$62,AI12+AH13-AQ12)))</f>
        <v>11</v>
      </c>
      <c r="AJ13" s="13">
        <f>AI13*VLOOKUP('Données projet'!$B$10,Paramètres!$A$1:$I$89,3,0)*VLOOKUP('Données projet'!$B$10,Paramètres!$A$1:$I$89,5,0)</f>
        <v>7.2072000000000003</v>
      </c>
      <c r="AK13" s="13">
        <f t="shared" si="35"/>
        <v>2.6392140198770462</v>
      </c>
      <c r="AL13" s="20">
        <f t="shared" si="4"/>
        <v>17.149171084619187</v>
      </c>
      <c r="AM13" s="59">
        <f t="shared" si="5"/>
        <v>286.03805997350804</v>
      </c>
      <c r="AN13" s="59">
        <f ca="1">AVERAGE(OFFSET($AM$3,0,0,'Données projet'!$E$10+1,1))-AVERAGE(OFFSET($H$3,0,0,'Données projet'!$E$10+1,1))</f>
        <v>244.66788784685366</v>
      </c>
      <c r="AO13" s="59">
        <f t="shared" si="36"/>
        <v>252.04429018409274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2">
        <f>VLOOKUP(A13,'Données projet'!$A$87:$I$107,2,0)</f>
        <v>64</v>
      </c>
      <c r="BB13" s="12">
        <f>VLOOKUP(A13,'Données projet'!$A$87:$I$107,9,0)</f>
        <v>6.4</v>
      </c>
      <c r="BC13" s="12">
        <f t="array" ref="BC13">INDEX(BB:BB,MIN(IF(ISNUMBER(BB13:BB209),ROW(BB13:BB209),"")))</f>
        <v>6.4</v>
      </c>
      <c r="BD13" s="12">
        <f>IF('Données projet'!$A$88&gt;35,BD12+BC13-BL12,IF(A13&lt;'Données projet'!$A$88,$BA$205^A13,IF(A13='Données projet'!$A$88,'Données projet'!$B$88,BD12+BC13-BL12)))</f>
        <v>64</v>
      </c>
      <c r="BE13" s="13">
        <f>BD13*VLOOKUP('Données projet'!$B$11,Paramètres!$A$1:$I$89,3,0)*VLOOKUP('Données projet'!$B$11,Paramètres!$A$1:$I$89,5,0)</f>
        <v>60.9024</v>
      </c>
      <c r="BF13" s="13">
        <f t="shared" si="37"/>
        <v>17.396225443744882</v>
      </c>
      <c r="BG13" s="20">
        <f t="shared" si="7"/>
        <v>136.370105981189</v>
      </c>
      <c r="BH13" s="59">
        <f t="shared" si="8"/>
        <v>405.25899487007786</v>
      </c>
      <c r="BI13" s="59">
        <f ca="1">AVERAGE(OFFSET($BH$3,0,0,'Données projet'!$E$11+1,1))-AVERAGE(OFFSET($H$3,0,0,'Données projet'!$E$11+1,1))</f>
        <v>373.51596132356536</v>
      </c>
      <c r="BJ13" s="59">
        <f t="shared" si="38"/>
        <v>417.00150517020114</v>
      </c>
      <c r="BK13" s="15">
        <f>IF(ISNA(VLOOKUP(A13,'Données projet'!$A$87:$I$107,3,0)),0,VLOOKUP(A13,'Données projet'!$A$87:$I$107,3,0))</f>
        <v>1</v>
      </c>
      <c r="BL13" s="15">
        <f>IF(ISNA(VLOOKUP(A13,'Données projet'!$A$87:$I$107,4,0)),0,VLOOKUP(A13,'Données projet'!$A$87:$I$107,4,0))</f>
        <v>9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2.1</v>
      </c>
      <c r="BY13" s="12">
        <f>IF('Données projet'!$A$114&gt;35,BY12+BX13-CG12,IF(A13&lt;'Données projet'!$A$114,$BV$205^A13,IF(A13='Données projet'!$A$114,'Données projet'!$B$114,BY12+BX13-CG12)))</f>
        <v>6.4807406984078657</v>
      </c>
      <c r="BZ13" s="13">
        <f>BY13*VLOOKUP('Données projet'!$B$12,Paramètres!$A$1:$I$89,3,0)*VLOOKUP('Données projet'!$B$12,Paramètres!$A$1:$I$89,5,0)</f>
        <v>5.8637741839194364</v>
      </c>
      <c r="CA13" s="13">
        <f t="shared" si="39"/>
        <v>2.1994468497187687</v>
      </c>
      <c r="CB13" s="20">
        <f t="shared" si="10"/>
        <v>14.043443300253207</v>
      </c>
      <c r="CC13" s="59">
        <f t="shared" si="11"/>
        <v>282.93233218914207</v>
      </c>
      <c r="CD13" s="59">
        <f ca="1">AVERAGE(OFFSET($CC$3,0,0,'Données projet'!$E$12+1,1))-AVERAGE(OFFSET($H$3,0,0,'Données projet'!$E$12+1,1))</f>
        <v>289.19622253646992</v>
      </c>
      <c r="CE13" s="59">
        <f t="shared" si="40"/>
        <v>191.23827338431175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>
        <f>EXP(-LN(2)/35)*CK12+(1-EXP(-LN(2)/35))/(LN(2)/35)*CG13*CH13*VLOOKUP('Données projet'!$B$12,Paramètres!$A$1:$I$89,3,0)*0.475*44/12</f>
        <v>0</v>
      </c>
      <c r="CL13" s="21">
        <f>EXP(-LN(2)/25)*CL12+(1-EXP(-LN(2)/25))/(LN(2)/25)*Calculateur!CG13*Calculateur!CI13*VLOOKUP('Données projet'!$B$12,Paramètres!$A$1:$I$89,3,0)*0.475*44/12</f>
        <v>0</v>
      </c>
      <c r="CM13" s="21">
        <f>EXP(-LN(2)/2)*CM12+(1-EXP(-LN(2)/2))/(LN(2)/2)*CG13*CJ13*VLOOKUP('Données projet'!$B$12,Paramètres!$A$1:$I$89,3,0)*0.475*44/12</f>
        <v>0</v>
      </c>
      <c r="CN13" s="22">
        <f t="shared" si="12"/>
        <v>0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6.3492000000000015</v>
      </c>
      <c r="D14" s="11">
        <f t="shared" si="32"/>
        <v>2.359579313094827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67.225664873012704</v>
      </c>
      <c r="H14" s="67">
        <f t="shared" si="1"/>
        <v>271.83445730364019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13.8</v>
      </c>
      <c r="N14" s="13">
        <f>IF('Données projet'!$A$36&gt;35,N13+M14-V13,IF(A14&lt;'Données projet'!$A$36,$K$205^A14,IF(A14='Données projet'!$A$36,'Données projet'!$B$36,N13+M14-V13)))</f>
        <v>84.800000000000011</v>
      </c>
      <c r="O14" s="13">
        <f>N14*VLOOKUP('Données projet'!$B$9,Paramètres!$A$1:$I$89,3,0)*VLOOKUP('Données projet'!$B$9,Paramètres!$A$1:$I$89,5,0)</f>
        <v>76.727040000000017</v>
      </c>
      <c r="P14" s="13">
        <f t="shared" si="33"/>
        <v>21.334993267156719</v>
      </c>
      <c r="Q14" s="20">
        <f t="shared" si="2"/>
        <v>170.79137460696464</v>
      </c>
      <c r="R14" s="59">
        <f t="shared" si="0"/>
        <v>440.90248571807581</v>
      </c>
      <c r="S14" s="59">
        <f ca="1">AVERAGE(OFFSET($R$3,0,0,'Données projet'!$E$9+1,1))-AVERAGE(OFFSET($H$3,0,0,'Données projet'!$E$9+1,1))</f>
        <v>336.59194805061094</v>
      </c>
      <c r="T14" s="59">
        <f t="shared" si="34"/>
        <v>473.66884161123909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10.8</v>
      </c>
      <c r="AI14" s="13">
        <f>IF('Données projet'!$A$62&gt;35,AI13+AH14-AQ13,IF(A14&lt;'Données projet'!$A$62,$AF$205^A14,IF(A14='Données projet'!$A$62,'Données projet'!$B$62,AI13+AH14-AQ13)))</f>
        <v>21.8</v>
      </c>
      <c r="AJ14" s="13">
        <f>AI14*VLOOKUP('Données projet'!$B$10,Paramètres!$A$1:$I$89,3,0)*VLOOKUP('Données projet'!$B$10,Paramètres!$A$1:$I$89,5,0)</f>
        <v>14.283360000000002</v>
      </c>
      <c r="AK14" s="13">
        <f t="shared" si="35"/>
        <v>4.8301452484424656</v>
      </c>
      <c r="AL14" s="20">
        <f t="shared" si="4"/>
        <v>33.289354974370632</v>
      </c>
      <c r="AM14" s="59">
        <f t="shared" si="5"/>
        <v>303.40046608548175</v>
      </c>
      <c r="AN14" s="59">
        <f ca="1">AVERAGE(OFFSET($AM$3,0,0,'Données projet'!$E$10+1,1))-AVERAGE(OFFSET($H$3,0,0,'Données projet'!$E$10+1,1))</f>
        <v>244.66788784685366</v>
      </c>
      <c r="AO14" s="59">
        <f t="shared" si="36"/>
        <v>252.04429018409274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11.6</v>
      </c>
      <c r="BD14" s="12">
        <f>IF('Données projet'!$A$88&gt;35,BD13+BC14-BL13,IF(A14&lt;'Données projet'!$A$88,$BA$205^A14,IF(A14='Données projet'!$A$88,'Données projet'!$B$88,BD13+BC14-BL13)))</f>
        <v>66.599999999999994</v>
      </c>
      <c r="BE14" s="13">
        <f>BD14*VLOOKUP('Données projet'!$B$11,Paramètres!$A$1:$I$89,3,0)*VLOOKUP('Données projet'!$B$11,Paramètres!$A$1:$I$89,5,0)</f>
        <v>63.376559999999998</v>
      </c>
      <c r="BF14" s="13">
        <f t="shared" si="37"/>
        <v>18.019230098447402</v>
      </c>
      <c r="BG14" s="20">
        <f t="shared" si="7"/>
        <v>141.76433442146256</v>
      </c>
      <c r="BH14" s="59">
        <f t="shared" si="8"/>
        <v>411.87544553257374</v>
      </c>
      <c r="BI14" s="59">
        <f ca="1">AVERAGE(OFFSET($BH$3,0,0,'Données projet'!$E$11+1,1))-AVERAGE(OFFSET($H$3,0,0,'Données projet'!$E$11+1,1))</f>
        <v>373.51596132356536</v>
      </c>
      <c r="BJ14" s="59">
        <f t="shared" si="38"/>
        <v>417.00150517020114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2.1</v>
      </c>
      <c r="BY14" s="12">
        <f>IF('Données projet'!$A$114&gt;35,BY13+BX14-CG13,IF(A14&lt;'Données projet'!$A$114,$BV$205^A14,IF(A14='Données projet'!$A$114,'Données projet'!$B$114,BY13+BX14-CG13)))</f>
        <v>7.8124474610620815</v>
      </c>
      <c r="BZ14" s="13">
        <f>BY14*VLOOKUP('Données projet'!$B$12,Paramètres!$A$1:$I$89,3,0)*VLOOKUP('Données projet'!$B$12,Paramètres!$A$1:$I$89,5,0)</f>
        <v>7.0687024627689707</v>
      </c>
      <c r="CA14" s="13">
        <f t="shared" si="39"/>
        <v>2.5943503554083325</v>
      </c>
      <c r="CB14" s="20">
        <f t="shared" si="10"/>
        <v>16.829816991658799</v>
      </c>
      <c r="CC14" s="59">
        <f t="shared" si="11"/>
        <v>286.94092810276993</v>
      </c>
      <c r="CD14" s="59">
        <f ca="1">AVERAGE(OFFSET($CC$3,0,0,'Données projet'!$E$12+1,1))-AVERAGE(OFFSET($H$3,0,0,'Données projet'!$E$12+1,1))</f>
        <v>289.19622253646992</v>
      </c>
      <c r="CE14" s="59">
        <f t="shared" si="40"/>
        <v>191.23827338431175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>
        <f>EXP(-LN(2)/35)*CK13+(1-EXP(-LN(2)/35))/(LN(2)/35)*CG14*CH14*VLOOKUP('Données projet'!$B$12,Paramètres!$A$1:$I$89,3,0)*0.475*44/12</f>
        <v>0</v>
      </c>
      <c r="CL14" s="21">
        <f>EXP(-LN(2)/25)*CL13+(1-EXP(-LN(2)/25))/(LN(2)/25)*Calculateur!CG14*Calculateur!CI14*VLOOKUP('Données projet'!$B$12,Paramètres!$A$1:$I$89,3,0)*0.475*44/12</f>
        <v>0</v>
      </c>
      <c r="CM14" s="21">
        <f>EXP(-LN(2)/2)*CM13+(1-EXP(-LN(2)/2))/(LN(2)/2)*CG14*CJ14*VLOOKUP('Données projet'!$B$12,Paramètres!$A$1:$I$89,3,0)*0.475*44/12</f>
        <v>0</v>
      </c>
      <c r="CN14" s="22">
        <f t="shared" si="12"/>
        <v>0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6.9264000000000019</v>
      </c>
      <c r="D15" s="11">
        <f t="shared" si="32"/>
        <v>2.5481474340493024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73.136857385643751</v>
      </c>
      <c r="H15" s="67">
        <f t="shared" si="1"/>
        <v>273.16817011430254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13.8</v>
      </c>
      <c r="N15" s="13">
        <f>IF('Données projet'!$A$36&gt;35,N14+M15-V14,IF(A15&lt;'Données projet'!$A$36,$K$205^A15,IF(A15='Données projet'!$A$36,'Données projet'!$B$36,N14+M15-V14)))</f>
        <v>98.600000000000009</v>
      </c>
      <c r="O15" s="13">
        <f>N15*VLOOKUP('Données projet'!$B$9,Paramètres!$A$1:$I$89,3,0)*VLOOKUP('Données projet'!$B$9,Paramètres!$A$1:$I$89,5,0)</f>
        <v>89.213280000000012</v>
      </c>
      <c r="P15" s="13">
        <f t="shared" si="33"/>
        <v>24.375390230293569</v>
      </c>
      <c r="Q15" s="20">
        <f t="shared" si="2"/>
        <v>197.83360065109466</v>
      </c>
      <c r="R15" s="59">
        <f t="shared" si="0"/>
        <v>469.16693398442794</v>
      </c>
      <c r="S15" s="59">
        <f ca="1">AVERAGE(OFFSET($R$3,0,0,'Données projet'!$E$9+1,1))-AVERAGE(OFFSET($H$3,0,0,'Données projet'!$E$9+1,1))</f>
        <v>336.59194805061094</v>
      </c>
      <c r="T15" s="59">
        <f t="shared" si="34"/>
        <v>473.66884161123909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10.8</v>
      </c>
      <c r="AI15" s="13">
        <f>IF('Données projet'!$A$62&gt;35,AI14+AH15-AQ14,IF(A15&lt;'Données projet'!$A$62,$AF$205^A15,IF(A15='Données projet'!$A$62,'Données projet'!$B$62,AI14+AH15-AQ14)))</f>
        <v>32.6</v>
      </c>
      <c r="AJ15" s="13">
        <f>AI15*VLOOKUP('Données projet'!$B$10,Paramètres!$A$1:$I$89,3,0)*VLOOKUP('Données projet'!$B$10,Paramètres!$A$1:$I$89,5,0)</f>
        <v>21.35952</v>
      </c>
      <c r="AK15" s="13">
        <f t="shared" si="35"/>
        <v>6.892536972385793</v>
      </c>
      <c r="AL15" s="20">
        <f t="shared" si="4"/>
        <v>49.205665893571926</v>
      </c>
      <c r="AM15" s="59">
        <f t="shared" si="5"/>
        <v>320.53899922690522</v>
      </c>
      <c r="AN15" s="59">
        <f ca="1">AVERAGE(OFFSET($AM$3,0,0,'Données projet'!$E$10+1,1))-AVERAGE(OFFSET($H$3,0,0,'Données projet'!$E$10+1,1))</f>
        <v>244.66788784685366</v>
      </c>
      <c r="AO15" s="59">
        <f t="shared" si="36"/>
        <v>252.04429018409274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11.6</v>
      </c>
      <c r="BD15" s="12">
        <f>IF('Données projet'!$A$88&gt;35,BD14+BC15-BL14,IF(A15&lt;'Données projet'!$A$88,$BA$205^A15,IF(A15='Données projet'!$A$88,'Données projet'!$B$88,BD14+BC15-BL14)))</f>
        <v>78.199999999999989</v>
      </c>
      <c r="BE15" s="13">
        <f>BD15*VLOOKUP('Données projet'!$B$11,Paramètres!$A$1:$I$89,3,0)*VLOOKUP('Données projet'!$B$11,Paramètres!$A$1:$I$89,5,0)</f>
        <v>74.415119999999987</v>
      </c>
      <c r="BF15" s="13">
        <f t="shared" si="37"/>
        <v>20.765954074092058</v>
      </c>
      <c r="BG15" s="20">
        <f t="shared" si="7"/>
        <v>165.77370401237695</v>
      </c>
      <c r="BH15" s="59">
        <f t="shared" si="8"/>
        <v>437.1070373457103</v>
      </c>
      <c r="BI15" s="59">
        <f ca="1">AVERAGE(OFFSET($BH$3,0,0,'Données projet'!$E$11+1,1))-AVERAGE(OFFSET($H$3,0,0,'Données projet'!$E$11+1,1))</f>
        <v>373.51596132356536</v>
      </c>
      <c r="BJ15" s="59">
        <f t="shared" si="38"/>
        <v>417.00150517020114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2.1</v>
      </c>
      <c r="BY15" s="12">
        <f>IF('Données projet'!$A$114&gt;35,BY14+BX15-CG14,IF(A15&lt;'Données projet'!$A$114,$BV$205^A15,IF(A15='Données projet'!$A$114,'Données projet'!$B$114,BY14+BX15-CG14)))</f>
        <v>9.4178024044149407</v>
      </c>
      <c r="BZ15" s="13">
        <f>BY15*VLOOKUP('Données projet'!$B$12,Paramètres!$A$1:$I$89,3,0)*VLOOKUP('Données projet'!$B$12,Paramètres!$A$1:$I$89,5,0)</f>
        <v>8.521227615514638</v>
      </c>
      <c r="CA15" s="13">
        <f t="shared" si="39"/>
        <v>3.0601574970852128</v>
      </c>
      <c r="CB15" s="20">
        <f t="shared" si="10"/>
        <v>20.170912404444739</v>
      </c>
      <c r="CC15" s="59">
        <f t="shared" si="11"/>
        <v>291.50424573777804</v>
      </c>
      <c r="CD15" s="59">
        <f ca="1">AVERAGE(OFFSET($CC$3,0,0,'Données projet'!$E$12+1,1))-AVERAGE(OFFSET($H$3,0,0,'Données projet'!$E$12+1,1))</f>
        <v>289.19622253646992</v>
      </c>
      <c r="CE15" s="59">
        <f t="shared" si="40"/>
        <v>191.23827338431175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>
        <f>EXP(-LN(2)/35)*CK14+(1-EXP(-LN(2)/35))/(LN(2)/35)*CG15*CH15*VLOOKUP('Données projet'!$B$12,Paramètres!$A$1:$I$89,3,0)*0.475*44/12</f>
        <v>0</v>
      </c>
      <c r="CL15" s="21">
        <f>EXP(-LN(2)/25)*CL14+(1-EXP(-LN(2)/25))/(LN(2)/25)*Calculateur!CG15*Calculateur!CI15*VLOOKUP('Données projet'!$B$12,Paramètres!$A$1:$I$89,3,0)*0.475*44/12</f>
        <v>0</v>
      </c>
      <c r="CM15" s="21">
        <f>EXP(-LN(2)/2)*CM14+(1-EXP(-LN(2)/2))/(LN(2)/2)*CG15*CJ15*VLOOKUP('Données projet'!$B$12,Paramètres!$A$1:$I$89,3,0)*0.475*44/12</f>
        <v>0</v>
      </c>
      <c r="CN15" s="22">
        <f t="shared" si="12"/>
        <v>0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7.5036000000000023</v>
      </c>
      <c r="D16" s="11">
        <f t="shared" si="32"/>
        <v>2.7348930617282741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79.033981529130543</v>
      </c>
      <c r="H16" s="67">
        <f t="shared" si="1"/>
        <v>274.49870874917679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13.8</v>
      </c>
      <c r="N16" s="13">
        <f>IF('Données projet'!$A$36&gt;35,N15+M16-V15,IF(A16&lt;'Données projet'!$A$36,$K$205^A16,IF(A16='Données projet'!$A$36,'Données projet'!$B$36,N15+M16-V15)))</f>
        <v>112.4</v>
      </c>
      <c r="O16" s="13">
        <f>N16*VLOOKUP('Données projet'!$B$9,Paramètres!$A$1:$I$89,3,0)*VLOOKUP('Données projet'!$B$9,Paramètres!$A$1:$I$89,5,0)</f>
        <v>101.69951999999999</v>
      </c>
      <c r="P16" s="13">
        <f t="shared" si="33"/>
        <v>27.366486780557949</v>
      </c>
      <c r="Q16" s="20">
        <f t="shared" si="2"/>
        <v>224.78996180947172</v>
      </c>
      <c r="R16" s="59">
        <f t="shared" si="0"/>
        <v>497.34551736502726</v>
      </c>
      <c r="S16" s="59">
        <f ca="1">AVERAGE(OFFSET($R$3,0,0,'Données projet'!$E$9+1,1))-AVERAGE(OFFSET($H$3,0,0,'Données projet'!$E$9+1,1))</f>
        <v>336.59194805061094</v>
      </c>
      <c r="T16" s="59">
        <f t="shared" si="34"/>
        <v>473.66884161123909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10.8</v>
      </c>
      <c r="AI16" s="13">
        <f>IF('Données projet'!$A$62&gt;35,AI15+AH16-AQ15,IF(A16&lt;'Données projet'!$A$62,$AF$205^A16,IF(A16='Données projet'!$A$62,'Données projet'!$B$62,AI15+AH16-AQ15)))</f>
        <v>43.400000000000006</v>
      </c>
      <c r="AJ16" s="13">
        <f>AI16*VLOOKUP('Données projet'!$B$10,Paramètres!$A$1:$I$89,3,0)*VLOOKUP('Données projet'!$B$10,Paramètres!$A$1:$I$89,5,0)</f>
        <v>28.435680000000005</v>
      </c>
      <c r="AK16" s="13">
        <f t="shared" si="35"/>
        <v>8.875359594264788</v>
      </c>
      <c r="AL16" s="20">
        <f t="shared" si="4"/>
        <v>64.983393960011185</v>
      </c>
      <c r="AM16" s="59">
        <f t="shared" si="5"/>
        <v>337.53894951556674</v>
      </c>
      <c r="AN16" s="59">
        <f ca="1">AVERAGE(OFFSET($AM$3,0,0,'Données projet'!$E$10+1,1))-AVERAGE(OFFSET($H$3,0,0,'Données projet'!$E$10+1,1))</f>
        <v>244.66788784685366</v>
      </c>
      <c r="AO16" s="59">
        <f t="shared" si="36"/>
        <v>252.04429018409274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11.6</v>
      </c>
      <c r="BD16" s="12">
        <f>IF('Données projet'!$A$88&gt;35,BD15+BC16-BL15,IF(A16&lt;'Données projet'!$A$88,$BA$205^A16,IF(A16='Données projet'!$A$88,'Données projet'!$B$88,BD15+BC16-BL15)))</f>
        <v>89.799999999999983</v>
      </c>
      <c r="BE16" s="13">
        <f>BD16*VLOOKUP('Données projet'!$B$11,Paramètres!$A$1:$I$89,3,0)*VLOOKUP('Données projet'!$B$11,Paramètres!$A$1:$I$89,5,0)</f>
        <v>85.453679999999991</v>
      </c>
      <c r="BF16" s="13">
        <f t="shared" si="37"/>
        <v>23.465476265654615</v>
      </c>
      <c r="BG16" s="20">
        <f t="shared" si="7"/>
        <v>189.70086382934844</v>
      </c>
      <c r="BH16" s="59">
        <f t="shared" si="8"/>
        <v>462.25641938490401</v>
      </c>
      <c r="BI16" s="59">
        <f ca="1">AVERAGE(OFFSET($BH$3,0,0,'Données projet'!$E$11+1,1))-AVERAGE(OFFSET($H$3,0,0,'Données projet'!$E$11+1,1))</f>
        <v>373.51596132356536</v>
      </c>
      <c r="BJ16" s="59">
        <f t="shared" si="38"/>
        <v>417.00150517020114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2.1</v>
      </c>
      <c r="BY16" s="12">
        <f>IF('Données projet'!$A$114&gt;35,BY15+BX16-CG15,IF(A16&lt;'Données projet'!$A$114,$BV$205^A16,IF(A16='Données projet'!$A$114,'Données projet'!$B$114,BY15+BX16-CG15)))</f>
        <v>11.35303662145153</v>
      </c>
      <c r="BZ16" s="13">
        <f>BY16*VLOOKUP('Données projet'!$B$12,Paramètres!$A$1:$I$89,3,0)*VLOOKUP('Données projet'!$B$12,Paramètres!$A$1:$I$89,5,0)</f>
        <v>10.272227535089344</v>
      </c>
      <c r="CA16" s="13">
        <f t="shared" si="39"/>
        <v>3.6095987912522753</v>
      </c>
      <c r="CB16" s="20">
        <f t="shared" si="10"/>
        <v>24.177514185044988</v>
      </c>
      <c r="CC16" s="59">
        <f t="shared" si="11"/>
        <v>296.73306974060051</v>
      </c>
      <c r="CD16" s="59">
        <f ca="1">AVERAGE(OFFSET($CC$3,0,0,'Données projet'!$E$12+1,1))-AVERAGE(OFFSET($H$3,0,0,'Données projet'!$E$12+1,1))</f>
        <v>289.19622253646992</v>
      </c>
      <c r="CE16" s="59">
        <f t="shared" si="40"/>
        <v>191.23827338431175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>
        <f>EXP(-LN(2)/35)*CK15+(1-EXP(-LN(2)/35))/(LN(2)/35)*CG16*CH16*VLOOKUP('Données projet'!$B$12,Paramètres!$A$1:$I$89,3,0)*0.475*44/12</f>
        <v>0</v>
      </c>
      <c r="CL16" s="21">
        <f>EXP(-LN(2)/25)*CL15+(1-EXP(-LN(2)/25))/(LN(2)/25)*Calculateur!CG16*Calculateur!CI16*VLOOKUP('Données projet'!$B$12,Paramètres!$A$1:$I$89,3,0)*0.475*44/12</f>
        <v>0</v>
      </c>
      <c r="CM16" s="21">
        <f>EXP(-LN(2)/2)*CM15+(1-EXP(-LN(2)/2))/(LN(2)/2)*CG16*CJ16*VLOOKUP('Données projet'!$B$12,Paramètres!$A$1:$I$89,3,0)*0.475*44/12</f>
        <v>0</v>
      </c>
      <c r="CN16" s="22">
        <f t="shared" si="12"/>
        <v>0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8.0808000000000018</v>
      </c>
      <c r="D17" s="11">
        <f t="shared" si="32"/>
        <v>2.9199723276059735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84.918242528888229</v>
      </c>
      <c r="H17" s="67">
        <f t="shared" si="1"/>
        <v>275.82634513724707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13.8</v>
      </c>
      <c r="N17" s="13">
        <f>IF('Données projet'!$A$36&gt;35,N16+M17-V16,IF(A17&lt;'Données projet'!$A$36,$K$205^A17,IF(A17='Données projet'!$A$36,'Données projet'!$B$36,N16+M17-V16)))</f>
        <v>126.2</v>
      </c>
      <c r="O17" s="13">
        <f>N17*VLOOKUP('Données projet'!$B$9,Paramètres!$A$1:$I$89,3,0)*VLOOKUP('Données projet'!$B$9,Paramètres!$A$1:$I$89,5,0)</f>
        <v>114.18576</v>
      </c>
      <c r="P17" s="13">
        <f t="shared" si="33"/>
        <v>30.315028515433259</v>
      </c>
      <c r="Q17" s="20">
        <f t="shared" si="2"/>
        <v>251.67220666437959</v>
      </c>
      <c r="R17" s="59">
        <f t="shared" si="0"/>
        <v>525.4499844421573</v>
      </c>
      <c r="S17" s="59">
        <f ca="1">AVERAGE(OFFSET($R$3,0,0,'Données projet'!$E$9+1,1))-AVERAGE(OFFSET($H$3,0,0,'Données projet'!$E$9+1,1))</f>
        <v>336.59194805061094</v>
      </c>
      <c r="T17" s="59">
        <f t="shared" si="34"/>
        <v>473.66884161123909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10.8</v>
      </c>
      <c r="AI17" s="13">
        <f>IF('Données projet'!$A$62&gt;35,AI16+AH17-AQ16,IF(A17&lt;'Données projet'!$A$62,$AF$205^A17,IF(A17='Données projet'!$A$62,'Données projet'!$B$62,AI16+AH17-AQ16)))</f>
        <v>54.2</v>
      </c>
      <c r="AJ17" s="13">
        <f>AI17*VLOOKUP('Données projet'!$B$10,Paramètres!$A$1:$I$89,3,0)*VLOOKUP('Données projet'!$B$10,Paramètres!$A$1:$I$89,5,0)</f>
        <v>35.511839999999999</v>
      </c>
      <c r="AK17" s="13">
        <f t="shared" si="35"/>
        <v>10.800946192888624</v>
      </c>
      <c r="AL17" s="20">
        <f t="shared" si="4"/>
        <v>80.661435952614355</v>
      </c>
      <c r="AM17" s="59">
        <f t="shared" si="5"/>
        <v>354.43921373039211</v>
      </c>
      <c r="AN17" s="59">
        <f ca="1">AVERAGE(OFFSET($AM$3,0,0,'Données projet'!$E$10+1,1))-AVERAGE(OFFSET($H$3,0,0,'Données projet'!$E$10+1,1))</f>
        <v>244.66788784685366</v>
      </c>
      <c r="AO17" s="59">
        <f t="shared" si="36"/>
        <v>252.04429018409274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11.6</v>
      </c>
      <c r="BD17" s="12">
        <f>IF('Données projet'!$A$88&gt;35,BD16+BC17-BL16,IF(A17&lt;'Données projet'!$A$88,$BA$205^A17,IF(A17='Données projet'!$A$88,'Données projet'!$B$88,BD16+BC17-BL16)))</f>
        <v>101.39999999999998</v>
      </c>
      <c r="BE17" s="13">
        <f>BD17*VLOOKUP('Données projet'!$B$11,Paramètres!$A$1:$I$89,3,0)*VLOOKUP('Données projet'!$B$11,Paramètres!$A$1:$I$89,5,0)</f>
        <v>96.492239999999981</v>
      </c>
      <c r="BF17" s="13">
        <f t="shared" si="37"/>
        <v>26.124593361596183</v>
      </c>
      <c r="BG17" s="20">
        <f t="shared" si="7"/>
        <v>213.55765143811331</v>
      </c>
      <c r="BH17" s="59">
        <f t="shared" si="8"/>
        <v>487.33542921589105</v>
      </c>
      <c r="BI17" s="59">
        <f ca="1">AVERAGE(OFFSET($BH$3,0,0,'Données projet'!$E$11+1,1))-AVERAGE(OFFSET($H$3,0,0,'Données projet'!$E$11+1,1))</f>
        <v>373.51596132356536</v>
      </c>
      <c r="BJ17" s="59">
        <f t="shared" si="38"/>
        <v>417.00150517020114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2.1</v>
      </c>
      <c r="BY17" s="12">
        <f>IF('Données projet'!$A$114&gt;35,BY16+BX17-CG16,IF(A17&lt;'Données projet'!$A$114,$BV$205^A17,IF(A17='Données projet'!$A$114,'Données projet'!$B$114,BY16+BX17-CG16)))</f>
        <v>13.685935953338433</v>
      </c>
      <c r="BZ17" s="13">
        <f>BY17*VLOOKUP('Données projet'!$B$12,Paramètres!$A$1:$I$89,3,0)*VLOOKUP('Données projet'!$B$12,Paramètres!$A$1:$I$89,5,0)</f>
        <v>12.383034850580612</v>
      </c>
      <c r="CA17" s="13">
        <f t="shared" si="39"/>
        <v>4.2576904771143838</v>
      </c>
      <c r="CB17" s="20">
        <f t="shared" si="10"/>
        <v>28.982596612402116</v>
      </c>
      <c r="CC17" s="59">
        <f t="shared" si="11"/>
        <v>302.76037439017989</v>
      </c>
      <c r="CD17" s="59">
        <f ca="1">AVERAGE(OFFSET($CC$3,0,0,'Données projet'!$E$12+1,1))-AVERAGE(OFFSET($H$3,0,0,'Données projet'!$E$12+1,1))</f>
        <v>289.19622253646992</v>
      </c>
      <c r="CE17" s="59">
        <f t="shared" si="40"/>
        <v>191.23827338431175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>
        <f>EXP(-LN(2)/35)*CK16+(1-EXP(-LN(2)/35))/(LN(2)/35)*CG17*CH17*VLOOKUP('Données projet'!$B$12,Paramètres!$A$1:$I$89,3,0)*0.475*44/12</f>
        <v>0</v>
      </c>
      <c r="CL17" s="21">
        <f>EXP(-LN(2)/25)*CL16+(1-EXP(-LN(2)/25))/(LN(2)/25)*Calculateur!CG17*Calculateur!CI17*VLOOKUP('Données projet'!$B$12,Paramètres!$A$1:$I$89,3,0)*0.475*44/12</f>
        <v>0</v>
      </c>
      <c r="CM17" s="21">
        <f>EXP(-LN(2)/2)*CM16+(1-EXP(-LN(2)/2))/(LN(2)/2)*CG17*CJ17*VLOOKUP('Données projet'!$B$12,Paramètres!$A$1:$I$89,3,0)*0.475*44/12</f>
        <v>0</v>
      </c>
      <c r="CN17" s="22">
        <f t="shared" si="12"/>
        <v>0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8.6580000000000013</v>
      </c>
      <c r="D18" s="11">
        <f t="shared" si="32"/>
        <v>3.1035177947823605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90.790663679021748</v>
      </c>
      <c r="H18" s="67">
        <f t="shared" si="1"/>
        <v>277.15131015924595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2">
        <f>VLOOKUP(A18,'Données projet'!$A$35:$I$55,2,0)</f>
        <v>140</v>
      </c>
      <c r="L18" s="12">
        <f>VLOOKUP(A18,'Données projet'!$A$35:$I$55,9,0)</f>
        <v>13.8</v>
      </c>
      <c r="M18" s="12">
        <f t="array" ref="M18">INDEX(L:L,MIN(IF(ISNUMBER(L18:L214),ROW(L18:L214),"")))</f>
        <v>13.8</v>
      </c>
      <c r="N18" s="13">
        <f>IF('Données projet'!$A$36&gt;35,N17+M18-V17,IF(A18&lt;'Données projet'!$A$36,$K$205^A18,IF(A18='Données projet'!$A$36,'Données projet'!$B$36,N17+M18-V17)))</f>
        <v>140</v>
      </c>
      <c r="O18" s="13">
        <f>N18*VLOOKUP('Données projet'!$B$9,Paramètres!$A$1:$I$89,3,0)*VLOOKUP('Données projet'!$B$9,Paramètres!$A$1:$I$89,5,0)</f>
        <v>126.67199999999998</v>
      </c>
      <c r="P18" s="13">
        <f t="shared" si="33"/>
        <v>33.226199426361347</v>
      </c>
      <c r="Q18" s="20">
        <f t="shared" si="2"/>
        <v>278.48936400091264</v>
      </c>
      <c r="R18" s="59">
        <f t="shared" si="0"/>
        <v>553.4893640009127</v>
      </c>
      <c r="S18" s="59">
        <f ca="1">AVERAGE(OFFSET($R$3,0,0,'Données projet'!$E$9+1,1))-AVERAGE(OFFSET($H$3,0,0,'Données projet'!$E$9+1,1))</f>
        <v>336.59194805061094</v>
      </c>
      <c r="T18" s="59">
        <f t="shared" si="34"/>
        <v>473.66884161123909</v>
      </c>
      <c r="U18" s="15">
        <f>IF(ISNA(VLOOKUP(A18,'Données projet'!$A$35:$I$55,3,0)),0,VLOOKUP(A18,'Données projet'!$A$35:$I$55,3,0))</f>
        <v>3</v>
      </c>
      <c r="V18" s="15">
        <f>IF(ISNA(VLOOKUP(A18,'Données projet'!$A$35:$I$55,4,0)),0,VLOOKUP(A18,'Données projet'!$A$35:$I$55,4,0))</f>
        <v>23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2">
        <f>VLOOKUP(A18,'Données projet'!$A$61:$I$81,2,0)</f>
        <v>65</v>
      </c>
      <c r="AG18" s="12">
        <f>VLOOKUP(A18,'Données projet'!$A$61:$I$81,9,0)</f>
        <v>10.8</v>
      </c>
      <c r="AH18" s="12">
        <f t="array" ref="AH18">INDEX(AG:AG,MIN(IF(ISNUMBER(AG18:AG214),ROW(AG18:AG214),"")))</f>
        <v>10.8</v>
      </c>
      <c r="AI18" s="13">
        <f>IF('Données projet'!$A$62&gt;35,AI17+AH18-AQ17,IF(A18&lt;'Données projet'!$A$62,$AF$205^A18,IF(A18='Données projet'!$A$62,'Données projet'!$B$62,AI17+AH18-AQ17)))</f>
        <v>65</v>
      </c>
      <c r="AJ18" s="13">
        <f>AI18*VLOOKUP('Données projet'!$B$10,Paramètres!$A$1:$I$89,3,0)*VLOOKUP('Données projet'!$B$10,Paramètres!$A$1:$I$89,5,0)</f>
        <v>42.588000000000001</v>
      </c>
      <c r="AK18" s="13">
        <f t="shared" si="35"/>
        <v>12.682073764365764</v>
      </c>
      <c r="AL18" s="20">
        <f t="shared" si="4"/>
        <v>96.262045139603686</v>
      </c>
      <c r="AM18" s="59">
        <f t="shared" si="5"/>
        <v>371.26204513960369</v>
      </c>
      <c r="AN18" s="59">
        <f ca="1">AVERAGE(OFFSET($AM$3,0,0,'Données projet'!$E$10+1,1))-AVERAGE(OFFSET($H$3,0,0,'Données projet'!$E$10+1,1))</f>
        <v>244.66788784685366</v>
      </c>
      <c r="AO18" s="59">
        <f t="shared" si="36"/>
        <v>252.04429018409274</v>
      </c>
      <c r="AP18" s="15">
        <f>IF(ISNA(VLOOKUP(A18,'Données projet'!$A$61:$I$81,3,0)),0,VLOOKUP(A18,'Données projet'!$A$61:$I$81,3,0))</f>
        <v>1</v>
      </c>
      <c r="AQ18" s="15">
        <f>IF(ISNA(VLOOKUP(A18,'Données projet'!$A$61:$I$81,4,0)),0,VLOOKUP(A18,'Données projet'!$A$61:$I$81,4,0))</f>
        <v>32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2">
        <f>VLOOKUP(A18,'Données projet'!$A$87:$I$107,2,0)</f>
        <v>113</v>
      </c>
      <c r="BB18" s="12">
        <f>VLOOKUP(A18,'Données projet'!$A$87:$I$107,9,0)</f>
        <v>11.6</v>
      </c>
      <c r="BC18" s="12">
        <f t="array" ref="BC18">INDEX(BB:BB,MIN(IF(ISNUMBER(BB18:BB214),ROW(BB18:BB214),"")))</f>
        <v>11.6</v>
      </c>
      <c r="BD18" s="12">
        <f>IF('Données projet'!$A$88&gt;35,BD17+BC18-BL17,IF(A18&lt;'Données projet'!$A$88,$BA$205^A18,IF(A18='Données projet'!$A$88,'Données projet'!$B$88,BD17+BC18-BL17)))</f>
        <v>112.99999999999997</v>
      </c>
      <c r="BE18" s="13">
        <f>BD18*VLOOKUP('Données projet'!$B$11,Paramètres!$A$1:$I$89,3,0)*VLOOKUP('Données projet'!$B$11,Paramètres!$A$1:$I$89,5,0)</f>
        <v>107.53079999999997</v>
      </c>
      <c r="BF18" s="13">
        <f t="shared" si="37"/>
        <v>28.748455335102669</v>
      </c>
      <c r="BG18" s="20">
        <f t="shared" si="7"/>
        <v>237.35303637530376</v>
      </c>
      <c r="BH18" s="59">
        <f t="shared" si="8"/>
        <v>512.35303637530376</v>
      </c>
      <c r="BI18" s="59">
        <f ca="1">AVERAGE(OFFSET($BH$3,0,0,'Données projet'!$E$11+1,1))-AVERAGE(OFFSET($H$3,0,0,'Données projet'!$E$11+1,1))</f>
        <v>373.51596132356536</v>
      </c>
      <c r="BJ18" s="59">
        <f t="shared" si="38"/>
        <v>417.00150517020114</v>
      </c>
      <c r="BK18" s="15">
        <f>IF(ISNA(VLOOKUP(A18,'Données projet'!$A$87:$I$107,3,0)),0,VLOOKUP(A18,'Données projet'!$A$87:$I$107,3,0))</f>
        <v>2</v>
      </c>
      <c r="BL18" s="15">
        <f>IF(ISNA(VLOOKUP(A18,'Données projet'!$A$87:$I$107,4,0)),0,VLOOKUP(A18,'Données projet'!$A$87:$I$107,4,0))</f>
        <v>16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2.1</v>
      </c>
      <c r="BY18" s="12">
        <f>IF('Données projet'!$A$114&gt;35,BY17+BX18-CG17,IF(A18&lt;'Données projet'!$A$114,$BV$205^A18,IF(A18='Données projet'!$A$114,'Données projet'!$B$114,BY17+BX18-CG17)))</f>
        <v>16.498215337821566</v>
      </c>
      <c r="BZ18" s="13">
        <f>BY18*VLOOKUP('Données projet'!$B$12,Paramètres!$A$1:$I$89,3,0)*VLOOKUP('Données projet'!$B$12,Paramètres!$A$1:$I$89,5,0)</f>
        <v>14.927585237660953</v>
      </c>
      <c r="CA18" s="13">
        <f t="shared" si="39"/>
        <v>5.0221449106318534</v>
      </c>
      <c r="CB18" s="20">
        <f t="shared" si="10"/>
        <v>34.745780008276633</v>
      </c>
      <c r="CC18" s="59">
        <f t="shared" si="11"/>
        <v>309.74578000827665</v>
      </c>
      <c r="CD18" s="59">
        <f ca="1">AVERAGE(OFFSET($CC$3,0,0,'Données projet'!$E$12+1,1))-AVERAGE(OFFSET($H$3,0,0,'Données projet'!$E$12+1,1))</f>
        <v>289.19622253646992</v>
      </c>
      <c r="CE18" s="59">
        <f t="shared" si="40"/>
        <v>191.23827338431175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>
        <f>EXP(-LN(2)/35)*CK17+(1-EXP(-LN(2)/35))/(LN(2)/35)*CG18*CH18*VLOOKUP('Données projet'!$B$12,Paramètres!$A$1:$I$89,3,0)*0.475*44/12</f>
        <v>0</v>
      </c>
      <c r="CL18" s="21">
        <f>EXP(-LN(2)/25)*CL17+(1-EXP(-LN(2)/25))/(LN(2)/25)*Calculateur!CG18*Calculateur!CI18*VLOOKUP('Données projet'!$B$12,Paramètres!$A$1:$I$89,3,0)*0.475*44/12</f>
        <v>0</v>
      </c>
      <c r="CM18" s="21">
        <f>EXP(-LN(2)/2)*CM17+(1-EXP(-LN(2)/2))/(LN(2)/2)*CG18*CJ18*VLOOKUP('Données projet'!$B$12,Paramètres!$A$1:$I$89,3,0)*0.475*44/12</f>
        <v>0</v>
      </c>
      <c r="CN18" s="22">
        <f t="shared" si="12"/>
        <v>0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9.2352000000000007</v>
      </c>
      <c r="D19" s="11">
        <f t="shared" si="32"/>
        <v>3.285643351316526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96.652124115425821</v>
      </c>
      <c r="H19" s="67">
        <f t="shared" si="1"/>
        <v>278.47380217020964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12.6</v>
      </c>
      <c r="N19" s="13">
        <f>IF('Données projet'!$A$36&gt;35,N18+M19-V18,IF(A19&lt;'Données projet'!$A$36,$K$205^A19,IF(A19='Données projet'!$A$36,'Données projet'!$B$36,N18+M19-V18)))</f>
        <v>129.6</v>
      </c>
      <c r="O19" s="13">
        <f>N19*VLOOKUP('Données projet'!$B$9,Paramètres!$A$1:$I$89,3,0)*VLOOKUP('Données projet'!$B$9,Paramètres!$A$1:$I$89,5,0)</f>
        <v>117.26208</v>
      </c>
      <c r="P19" s="13">
        <f t="shared" si="33"/>
        <v>31.035569170075775</v>
      </c>
      <c r="Q19" s="20">
        <f t="shared" si="2"/>
        <v>258.28507230454863</v>
      </c>
      <c r="R19" s="59">
        <f t="shared" si="0"/>
        <v>534.50729452677092</v>
      </c>
      <c r="S19" s="59">
        <f ca="1">AVERAGE(OFFSET($R$3,0,0,'Données projet'!$E$9+1,1))-AVERAGE(OFFSET($H$3,0,0,'Données projet'!$E$9+1,1))</f>
        <v>336.59194805061094</v>
      </c>
      <c r="T19" s="59">
        <f t="shared" si="34"/>
        <v>473.66884161123909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13.8</v>
      </c>
      <c r="AI19" s="13">
        <f>IF('Données projet'!$A$62&gt;35,AI18+AH19-AQ18,IF(A19&lt;'Données projet'!$A$62,$AF$205^A19,IF(A19='Données projet'!$A$62,'Données projet'!$B$62,AI18+AH19-AQ18)))</f>
        <v>46.8</v>
      </c>
      <c r="AJ19" s="13">
        <f>AI19*VLOOKUP('Données projet'!$B$10,Paramètres!$A$1:$I$89,3,0)*VLOOKUP('Données projet'!$B$10,Paramètres!$A$1:$I$89,5,0)</f>
        <v>30.663360000000001</v>
      </c>
      <c r="AK19" s="13">
        <f t="shared" si="35"/>
        <v>9.4870080424679557</v>
      </c>
      <c r="AL19" s="20">
        <f t="shared" si="4"/>
        <v>69.928557673965017</v>
      </c>
      <c r="AM19" s="59">
        <f t="shared" si="5"/>
        <v>346.15077989618726</v>
      </c>
      <c r="AN19" s="59">
        <f ca="1">AVERAGE(OFFSET($AM$3,0,0,'Données projet'!$E$10+1,1))-AVERAGE(OFFSET($H$3,0,0,'Données projet'!$E$10+1,1))</f>
        <v>244.66788784685366</v>
      </c>
      <c r="AO19" s="59">
        <f t="shared" si="36"/>
        <v>252.04429018409274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11.2</v>
      </c>
      <c r="BD19" s="12">
        <f>IF('Données projet'!$A$88&gt;35,BD18+BC19-BL18,IF(A19&lt;'Données projet'!$A$88,$BA$205^A19,IF(A19='Données projet'!$A$88,'Données projet'!$B$88,BD18+BC19-BL18)))</f>
        <v>108.19999999999997</v>
      </c>
      <c r="BE19" s="13">
        <f>BD19*VLOOKUP('Données projet'!$B$11,Paramètres!$A$1:$I$89,3,0)*VLOOKUP('Données projet'!$B$11,Paramètres!$A$1:$I$89,5,0)</f>
        <v>102.96311999999998</v>
      </c>
      <c r="BF19" s="13">
        <f t="shared" si="37"/>
        <v>27.666715856510024</v>
      </c>
      <c r="BG19" s="20">
        <f t="shared" si="7"/>
        <v>227.51363078342158</v>
      </c>
      <c r="BH19" s="59">
        <f t="shared" si="8"/>
        <v>503.73585300564378</v>
      </c>
      <c r="BI19" s="59">
        <f ca="1">AVERAGE(OFFSET($BH$3,0,0,'Données projet'!$E$11+1,1))-AVERAGE(OFFSET($H$3,0,0,'Données projet'!$E$11+1,1))</f>
        <v>373.51596132356536</v>
      </c>
      <c r="BJ19" s="59">
        <f t="shared" si="38"/>
        <v>417.00150517020114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2.1</v>
      </c>
      <c r="BY19" s="12">
        <f>IF('Données projet'!$A$114&gt;35,BY18+BX19-CG18,IF(A19&lt;'Données projet'!$A$114,$BV$205^A19,IF(A19='Données projet'!$A$114,'Données projet'!$B$114,BY18+BX19-CG18)))</f>
        <v>19.888381054913147</v>
      </c>
      <c r="BZ19" s="13">
        <f>BY19*VLOOKUP('Données projet'!$B$12,Paramètres!$A$1:$I$89,3,0)*VLOOKUP('Données projet'!$B$12,Paramètres!$A$1:$I$89,5,0)</f>
        <v>17.995007178485412</v>
      </c>
      <c r="CA19" s="13">
        <f t="shared" si="39"/>
        <v>5.9238546434872337</v>
      </c>
      <c r="CB19" s="20">
        <f t="shared" si="10"/>
        <v>41.658684339935689</v>
      </c>
      <c r="CC19" s="59">
        <f t="shared" si="11"/>
        <v>317.88090656215792</v>
      </c>
      <c r="CD19" s="59">
        <f ca="1">AVERAGE(OFFSET($CC$3,0,0,'Données projet'!$E$12+1,1))-AVERAGE(OFFSET($H$3,0,0,'Données projet'!$E$12+1,1))</f>
        <v>289.19622253646992</v>
      </c>
      <c r="CE19" s="59">
        <f t="shared" si="40"/>
        <v>191.23827338431175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>
        <f>EXP(-LN(2)/35)*CK18+(1-EXP(-LN(2)/35))/(LN(2)/35)*CG19*CH19*VLOOKUP('Données projet'!$B$12,Paramètres!$A$1:$I$89,3,0)*0.475*44/12</f>
        <v>0</v>
      </c>
      <c r="CL19" s="21">
        <f>EXP(-LN(2)/25)*CL18+(1-EXP(-LN(2)/25))/(LN(2)/25)*Calculateur!CG19*Calculateur!CI19*VLOOKUP('Données projet'!$B$12,Paramètres!$A$1:$I$89,3,0)*0.475*44/12</f>
        <v>0</v>
      </c>
      <c r="CM19" s="21">
        <f>EXP(-LN(2)/2)*CM18+(1-EXP(-LN(2)/2))/(LN(2)/2)*CG19*CJ19*VLOOKUP('Données projet'!$B$12,Paramètres!$A$1:$I$89,3,0)*0.475*44/12</f>
        <v>0</v>
      </c>
      <c r="CN19" s="22">
        <f t="shared" si="12"/>
        <v>0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9.8124000000000002</v>
      </c>
      <c r="D20" s="11">
        <f t="shared" si="32"/>
        <v>3.4664478446384415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102.50338687089324</v>
      </c>
      <c r="H20" s="67">
        <f t="shared" si="1"/>
        <v>279.79399332941199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12.6</v>
      </c>
      <c r="N20" s="13">
        <f>IF('Données projet'!$A$36&gt;35,N19+M20-V19,IF(A20&lt;'Données projet'!$A$36,$K$205^A20,IF(A20='Données projet'!$A$36,'Données projet'!$B$36,N19+M20-V19)))</f>
        <v>142.19999999999999</v>
      </c>
      <c r="O20" s="13">
        <f>N20*VLOOKUP('Données projet'!$B$9,Paramètres!$A$1:$I$89,3,0)*VLOOKUP('Données projet'!$B$9,Paramètres!$A$1:$I$89,5,0)</f>
        <v>128.66255999999998</v>
      </c>
      <c r="P20" s="13">
        <f t="shared" si="33"/>
        <v>33.687130461083775</v>
      </c>
      <c r="Q20" s="20">
        <f t="shared" si="2"/>
        <v>282.75904421972086</v>
      </c>
      <c r="R20" s="59">
        <f t="shared" si="0"/>
        <v>560.20348866416532</v>
      </c>
      <c r="S20" s="59">
        <f ca="1">AVERAGE(OFFSET($R$3,0,0,'Données projet'!$E$9+1,1))-AVERAGE(OFFSET($H$3,0,0,'Données projet'!$E$9+1,1))</f>
        <v>336.59194805061094</v>
      </c>
      <c r="T20" s="59">
        <f t="shared" si="34"/>
        <v>473.66884161123909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13.8</v>
      </c>
      <c r="AI20" s="13">
        <f>IF('Données projet'!$A$62&gt;35,AI19+AH20-AQ19,IF(A20&lt;'Données projet'!$A$62,$AF$205^A20,IF(A20='Données projet'!$A$62,'Données projet'!$B$62,AI19+AH20-AQ19)))</f>
        <v>60.599999999999994</v>
      </c>
      <c r="AJ20" s="13">
        <f>AI20*VLOOKUP('Données projet'!$B$10,Paramètres!$A$1:$I$89,3,0)*VLOOKUP('Données projet'!$B$10,Paramètres!$A$1:$I$89,5,0)</f>
        <v>39.705120000000001</v>
      </c>
      <c r="AK20" s="13">
        <f t="shared" si="35"/>
        <v>11.920455304143069</v>
      </c>
      <c r="AL20" s="20">
        <f t="shared" si="4"/>
        <v>89.914543654715828</v>
      </c>
      <c r="AM20" s="59">
        <f t="shared" si="5"/>
        <v>367.35898809916029</v>
      </c>
      <c r="AN20" s="59">
        <f ca="1">AVERAGE(OFFSET($AM$3,0,0,'Données projet'!$E$10+1,1))-AVERAGE(OFFSET($H$3,0,0,'Données projet'!$E$10+1,1))</f>
        <v>244.66788784685366</v>
      </c>
      <c r="AO20" s="59">
        <f t="shared" si="36"/>
        <v>252.04429018409274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11.2</v>
      </c>
      <c r="BD20" s="12">
        <f>IF('Données projet'!$A$88&gt;35,BD19+BC20-BL19,IF(A20&lt;'Données projet'!$A$88,$BA$205^A20,IF(A20='Données projet'!$A$88,'Données projet'!$B$88,BD19+BC20-BL19)))</f>
        <v>119.39999999999998</v>
      </c>
      <c r="BE20" s="13">
        <f>BD20*VLOOKUP('Données projet'!$B$11,Paramètres!$A$1:$I$89,3,0)*VLOOKUP('Données projet'!$B$11,Paramètres!$A$1:$I$89,5,0)</f>
        <v>113.62103999999999</v>
      </c>
      <c r="BF20" s="13">
        <f t="shared" si="37"/>
        <v>30.182515014397044</v>
      </c>
      <c r="BG20" s="20">
        <f t="shared" si="7"/>
        <v>250.45785831674149</v>
      </c>
      <c r="BH20" s="59">
        <f t="shared" si="8"/>
        <v>527.90230276118598</v>
      </c>
      <c r="BI20" s="59">
        <f ca="1">AVERAGE(OFFSET($BH$3,0,0,'Données projet'!$E$11+1,1))-AVERAGE(OFFSET($H$3,0,0,'Données projet'!$E$11+1,1))</f>
        <v>373.51596132356536</v>
      </c>
      <c r="BJ20" s="59">
        <f t="shared" si="38"/>
        <v>417.00150517020114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2.1</v>
      </c>
      <c r="BY20" s="12">
        <f>IF('Données projet'!$A$114&gt;35,BY19+BX20-CG19,IF(A20&lt;'Données projet'!$A$114,$BV$205^A20,IF(A20='Données projet'!$A$114,'Données projet'!$B$114,BY19+BX20-CG19)))</f>
        <v>23.975181126327602</v>
      </c>
      <c r="BZ20" s="13">
        <f>BY20*VLOOKUP('Données projet'!$B$12,Paramètres!$A$1:$I$89,3,0)*VLOOKUP('Données projet'!$B$12,Paramètres!$A$1:$I$89,5,0)</f>
        <v>21.692743883101215</v>
      </c>
      <c r="CA20" s="13">
        <f t="shared" si="39"/>
        <v>6.98746341685115</v>
      </c>
      <c r="CB20" s="20">
        <f t="shared" si="10"/>
        <v>49.951361047417038</v>
      </c>
      <c r="CC20" s="59">
        <f t="shared" si="11"/>
        <v>327.39580549186149</v>
      </c>
      <c r="CD20" s="59">
        <f ca="1">AVERAGE(OFFSET($CC$3,0,0,'Données projet'!$E$12+1,1))-AVERAGE(OFFSET($H$3,0,0,'Données projet'!$E$12+1,1))</f>
        <v>289.19622253646992</v>
      </c>
      <c r="CE20" s="59">
        <f t="shared" si="40"/>
        <v>191.23827338431175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>
        <f>EXP(-LN(2)/35)*CK19+(1-EXP(-LN(2)/35))/(LN(2)/35)*CG20*CH20*VLOOKUP('Données projet'!$B$12,Paramètres!$A$1:$I$89,3,0)*0.475*44/12</f>
        <v>0</v>
      </c>
      <c r="CL20" s="21">
        <f>EXP(-LN(2)/25)*CL19+(1-EXP(-LN(2)/25))/(LN(2)/25)*Calculateur!CG20*Calculateur!CI20*VLOOKUP('Données projet'!$B$12,Paramètres!$A$1:$I$89,3,0)*0.475*44/12</f>
        <v>0</v>
      </c>
      <c r="CM20" s="21">
        <f>EXP(-LN(2)/2)*CM19+(1-EXP(-LN(2)/2))/(LN(2)/2)*CG20*CJ20*VLOOKUP('Données projet'!$B$12,Paramètres!$A$1:$I$89,3,0)*0.475*44/12</f>
        <v>0</v>
      </c>
      <c r="CN20" s="22">
        <f t="shared" si="12"/>
        <v>0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10.3896</v>
      </c>
      <c r="D21" s="11">
        <f t="shared" si="32"/>
        <v>3.6460178361318003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108.34512013856126</v>
      </c>
      <c r="H21" s="67">
        <f t="shared" si="1"/>
        <v>281.11203439792956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12.6</v>
      </c>
      <c r="N21" s="13">
        <f>IF('Données projet'!$A$36&gt;35,N20+M21-V20,IF(A21&lt;'Données projet'!$A$36,$K$205^A21,IF(A21='Données projet'!$A$36,'Données projet'!$B$36,N20+M21-V20)))</f>
        <v>154.79999999999998</v>
      </c>
      <c r="O21" s="13">
        <f>N21*VLOOKUP('Données projet'!$B$9,Paramètres!$A$1:$I$89,3,0)*VLOOKUP('Données projet'!$B$9,Paramètres!$A$1:$I$89,5,0)</f>
        <v>140.06303999999997</v>
      </c>
      <c r="P21" s="13">
        <f t="shared" si="33"/>
        <v>36.31144669536954</v>
      </c>
      <c r="Q21" s="20">
        <f t="shared" si="2"/>
        <v>307.18556432776853</v>
      </c>
      <c r="R21" s="59">
        <f t="shared" si="0"/>
        <v>585.85223099443522</v>
      </c>
      <c r="S21" s="59">
        <f ca="1">AVERAGE(OFFSET($R$3,0,0,'Données projet'!$E$9+1,1))-AVERAGE(OFFSET($H$3,0,0,'Données projet'!$E$9+1,1))</f>
        <v>336.59194805061094</v>
      </c>
      <c r="T21" s="59">
        <f t="shared" si="34"/>
        <v>473.66884161123909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13.8</v>
      </c>
      <c r="AI21" s="13">
        <f>IF('Données projet'!$A$62&gt;35,AI20+AH21-AQ20,IF(A21&lt;'Données projet'!$A$62,$AF$205^A21,IF(A21='Données projet'!$A$62,'Données projet'!$B$62,AI20+AH21-AQ20)))</f>
        <v>74.399999999999991</v>
      </c>
      <c r="AJ21" s="13">
        <f>AI21*VLOOKUP('Données projet'!$B$10,Paramètres!$A$1:$I$89,3,0)*VLOOKUP('Données projet'!$B$10,Paramètres!$A$1:$I$89,5,0)</f>
        <v>48.74687999999999</v>
      </c>
      <c r="AK21" s="13">
        <f t="shared" si="35"/>
        <v>14.289659449206793</v>
      </c>
      <c r="AL21" s="20">
        <f t="shared" si="4"/>
        <v>109.78863954070181</v>
      </c>
      <c r="AM21" s="59">
        <f t="shared" si="5"/>
        <v>388.45530620736849</v>
      </c>
      <c r="AN21" s="59">
        <f ca="1">AVERAGE(OFFSET($AM$3,0,0,'Données projet'!$E$10+1,1))-AVERAGE(OFFSET($H$3,0,0,'Données projet'!$E$10+1,1))</f>
        <v>244.66788784685366</v>
      </c>
      <c r="AO21" s="59">
        <f t="shared" si="36"/>
        <v>252.04429018409274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11.2</v>
      </c>
      <c r="BD21" s="12">
        <f>IF('Données projet'!$A$88&gt;35,BD20+BC21-BL20,IF(A21&lt;'Données projet'!$A$88,$BA$205^A21,IF(A21='Données projet'!$A$88,'Données projet'!$B$88,BD20+BC21-BL20)))</f>
        <v>130.59999999999997</v>
      </c>
      <c r="BE21" s="13">
        <f>BD21*VLOOKUP('Données projet'!$B$11,Paramètres!$A$1:$I$89,3,0)*VLOOKUP('Données projet'!$B$11,Paramètres!$A$1:$I$89,5,0)</f>
        <v>124.27895999999998</v>
      </c>
      <c r="BF21" s="13">
        <f t="shared" si="37"/>
        <v>32.670952282304825</v>
      </c>
      <c r="BG21" s="20">
        <f t="shared" si="7"/>
        <v>273.35443055834753</v>
      </c>
      <c r="BH21" s="59">
        <f t="shared" si="8"/>
        <v>552.02109722501427</v>
      </c>
      <c r="BI21" s="59">
        <f ca="1">AVERAGE(OFFSET($BH$3,0,0,'Données projet'!$E$11+1,1))-AVERAGE(OFFSET($H$3,0,0,'Données projet'!$E$11+1,1))</f>
        <v>373.51596132356536</v>
      </c>
      <c r="BJ21" s="59">
        <f t="shared" si="38"/>
        <v>417.00150517020114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0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2.1</v>
      </c>
      <c r="BY21" s="12">
        <f>IF('Données projet'!$A$114&gt;35,BY20+BX21-CG20,IF(A21&lt;'Données projet'!$A$114,$BV$205^A21,IF(A21='Données projet'!$A$114,'Données projet'!$B$114,BY20+BX21-CG20)))</f>
        <v>28.901764726506816</v>
      </c>
      <c r="BZ21" s="13">
        <f>BY21*VLOOKUP('Données projet'!$B$12,Paramètres!$A$1:$I$89,3,0)*VLOOKUP('Données projet'!$B$12,Paramètres!$A$1:$I$89,5,0)</f>
        <v>26.150316724543362</v>
      </c>
      <c r="CA21" s="13">
        <f t="shared" si="39"/>
        <v>8.2420396752158016</v>
      </c>
      <c r="CB21" s="20">
        <f t="shared" si="10"/>
        <v>59.900020729580547</v>
      </c>
      <c r="CC21" s="59">
        <f t="shared" si="11"/>
        <v>338.56668739624723</v>
      </c>
      <c r="CD21" s="59">
        <f ca="1">AVERAGE(OFFSET($CC$3,0,0,'Données projet'!$E$12+1,1))-AVERAGE(OFFSET($H$3,0,0,'Données projet'!$E$12+1,1))</f>
        <v>289.19622253646992</v>
      </c>
      <c r="CE21" s="59">
        <f t="shared" si="40"/>
        <v>191.23827338431175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>
        <f>EXP(-LN(2)/35)*CK20+(1-EXP(-LN(2)/35))/(LN(2)/35)*CG21*CH21*VLOOKUP('Données projet'!$B$12,Paramètres!$A$1:$I$89,3,0)*0.475*44/12</f>
        <v>0</v>
      </c>
      <c r="CL21" s="21">
        <f>EXP(-LN(2)/25)*CL20+(1-EXP(-LN(2)/25))/(LN(2)/25)*Calculateur!CG21*Calculateur!CI21*VLOOKUP('Données projet'!$B$12,Paramètres!$A$1:$I$89,3,0)*0.475*44/12</f>
        <v>0</v>
      </c>
      <c r="CM21" s="21">
        <f>EXP(-LN(2)/2)*CM20+(1-EXP(-LN(2)/2))/(LN(2)/2)*CG21*CJ21*VLOOKUP('Données projet'!$B$12,Paramètres!$A$1:$I$89,3,0)*0.475*44/12</f>
        <v>0</v>
      </c>
      <c r="CN21" s="22">
        <f t="shared" si="12"/>
        <v>0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10.966799999999999</v>
      </c>
      <c r="D22" s="11">
        <f t="shared" si="32"/>
        <v>3.824429726038145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114.17791367468043</v>
      </c>
      <c r="H22" s="67">
        <f t="shared" si="1"/>
        <v>282.42805843951646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12.6</v>
      </c>
      <c r="N22" s="13">
        <f>IF('Données projet'!$A$36&gt;35,N21+M22-V21,IF(A22&lt;'Données projet'!$A$36,$K$205^A22,IF(A22='Données projet'!$A$36,'Données projet'!$B$36,N21+M22-V21)))</f>
        <v>167.39999999999998</v>
      </c>
      <c r="O22" s="13">
        <f>N22*VLOOKUP('Données projet'!$B$9,Paramètres!$A$1:$I$89,3,0)*VLOOKUP('Données projet'!$B$9,Paramètres!$A$1:$I$89,5,0)</f>
        <v>151.46351999999999</v>
      </c>
      <c r="P22" s="13">
        <f t="shared" si="33"/>
        <v>38.910987614777085</v>
      </c>
      <c r="Q22" s="20">
        <f t="shared" si="2"/>
        <v>331.56893409573678</v>
      </c>
      <c r="R22" s="59">
        <f t="shared" si="0"/>
        <v>611.45782298462564</v>
      </c>
      <c r="S22" s="59">
        <f ca="1">AVERAGE(OFFSET($R$3,0,0,'Données projet'!$E$9+1,1))-AVERAGE(OFFSET($H$3,0,0,'Données projet'!$E$9+1,1))</f>
        <v>336.59194805061094</v>
      </c>
      <c r="T22" s="59">
        <f t="shared" si="34"/>
        <v>473.66884161123909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13.8</v>
      </c>
      <c r="AI22" s="13">
        <f>IF('Données projet'!$A$62&gt;35,AI21+AH22-AQ21,IF(A22&lt;'Données projet'!$A$62,$AF$205^A22,IF(A22='Données projet'!$A$62,'Données projet'!$B$62,AI21+AH22-AQ21)))</f>
        <v>88.199999999999989</v>
      </c>
      <c r="AJ22" s="13">
        <f>AI22*VLOOKUP('Données projet'!$B$10,Paramètres!$A$1:$I$89,3,0)*VLOOKUP('Données projet'!$B$10,Paramètres!$A$1:$I$89,5,0)</f>
        <v>57.788639999999994</v>
      </c>
      <c r="AK22" s="13">
        <f t="shared" si="35"/>
        <v>16.607951763417912</v>
      </c>
      <c r="AL22" s="20">
        <f t="shared" si="4"/>
        <v>129.57406398795285</v>
      </c>
      <c r="AM22" s="59">
        <f t="shared" si="5"/>
        <v>409.46295287684171</v>
      </c>
      <c r="AN22" s="59">
        <f ca="1">AVERAGE(OFFSET($AM$3,0,0,'Données projet'!$E$10+1,1))-AVERAGE(OFFSET($H$3,0,0,'Données projet'!$E$10+1,1))</f>
        <v>244.66788784685366</v>
      </c>
      <c r="AO22" s="59">
        <f t="shared" si="36"/>
        <v>252.04429018409274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11.2</v>
      </c>
      <c r="BD22" s="12">
        <f>IF('Données projet'!$A$88&gt;35,BD21+BC22-BL21,IF(A22&lt;'Données projet'!$A$88,$BA$205^A22,IF(A22='Données projet'!$A$88,'Données projet'!$B$88,BD21+BC22-BL21)))</f>
        <v>141.79999999999995</v>
      </c>
      <c r="BE22" s="13">
        <f>BD22*VLOOKUP('Données projet'!$B$11,Paramètres!$A$1:$I$89,3,0)*VLOOKUP('Données projet'!$B$11,Paramètres!$A$1:$I$89,5,0)</f>
        <v>134.93687999999997</v>
      </c>
      <c r="BF22" s="13">
        <f t="shared" si="37"/>
        <v>35.134640953191443</v>
      </c>
      <c r="BG22" s="20">
        <f t="shared" si="7"/>
        <v>296.20789899347506</v>
      </c>
      <c r="BH22" s="59">
        <f t="shared" si="8"/>
        <v>576.09678788236397</v>
      </c>
      <c r="BI22" s="59">
        <f ca="1">AVERAGE(OFFSET($BH$3,0,0,'Données projet'!$E$11+1,1))-AVERAGE(OFFSET($H$3,0,0,'Données projet'!$E$11+1,1))</f>
        <v>373.51596132356536</v>
      </c>
      <c r="BJ22" s="59">
        <f t="shared" si="38"/>
        <v>417.00150517020114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0</v>
      </c>
      <c r="BR22" s="21">
        <f>EXP(-LN(2)/2)*BR21+(1-EXP(-LN(2)/2))/(LN(2)/2)*BL22*BO22*VLOOKUP('Données projet'!$B$11,Paramètres!$A$1:$I$89,3,0)*0.475*44/12</f>
        <v>0</v>
      </c>
      <c r="BS22" s="22">
        <f t="shared" si="9"/>
        <v>0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2.1</v>
      </c>
      <c r="BY22" s="12">
        <f>IF('Données projet'!$A$114&gt;35,BY21+BX22-CG21,IF(A22&lt;'Données projet'!$A$114,$BV$205^A22,IF(A22='Données projet'!$A$114,'Données projet'!$B$114,BY21+BX22-CG21)))</f>
        <v>34.840696297767764</v>
      </c>
      <c r="BZ22" s="13">
        <f>BY22*VLOOKUP('Données projet'!$B$12,Paramètres!$A$1:$I$89,3,0)*VLOOKUP('Données projet'!$B$12,Paramètres!$A$1:$I$89,5,0)</f>
        <v>31.52386201022027</v>
      </c>
      <c r="CA22" s="13">
        <f t="shared" si="39"/>
        <v>9.7218710074397983</v>
      </c>
      <c r="CB22" s="20">
        <f t="shared" si="10"/>
        <v>71.836318339091292</v>
      </c>
      <c r="CC22" s="59">
        <f t="shared" si="11"/>
        <v>351.72520722798015</v>
      </c>
      <c r="CD22" s="59">
        <f ca="1">AVERAGE(OFFSET($CC$3,0,0,'Données projet'!$E$12+1,1))-AVERAGE(OFFSET($H$3,0,0,'Données projet'!$E$12+1,1))</f>
        <v>289.19622253646992</v>
      </c>
      <c r="CE22" s="59">
        <f t="shared" si="40"/>
        <v>191.23827338431175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>
        <f>EXP(-LN(2)/35)*CK21+(1-EXP(-LN(2)/35))/(LN(2)/35)*CG22*CH22*VLOOKUP('Données projet'!$B$12,Paramètres!$A$1:$I$89,3,0)*0.475*44/12</f>
        <v>0</v>
      </c>
      <c r="CL22" s="21">
        <f>EXP(-LN(2)/25)*CL21+(1-EXP(-LN(2)/25))/(LN(2)/25)*Calculateur!CG22*Calculateur!CI22*VLOOKUP('Données projet'!$B$12,Paramètres!$A$1:$I$89,3,0)*0.475*44/12</f>
        <v>0</v>
      </c>
      <c r="CM22" s="21">
        <f>EXP(-LN(2)/2)*CM21+(1-EXP(-LN(2)/2))/(LN(2)/2)*CG22*CJ22*VLOOKUP('Données projet'!$B$12,Paramètres!$A$1:$I$89,3,0)*0.475*44/12</f>
        <v>0</v>
      </c>
      <c r="CN22" s="22">
        <f t="shared" si="12"/>
        <v>0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11.543999999999999</v>
      </c>
      <c r="D23" s="11">
        <f t="shared" si="32"/>
        <v>4.0017514182509002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120.00229164965606</v>
      </c>
      <c r="H23" s="67">
        <f t="shared" si="1"/>
        <v>283.74218372012035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2">
        <f>VLOOKUP(A23,'Données projet'!$A$35:$I$55,2,0)</f>
        <v>180</v>
      </c>
      <c r="L23" s="12">
        <f>VLOOKUP(A23,'Données projet'!$A$35:$I$55,9,0)</f>
        <v>12.6</v>
      </c>
      <c r="M23" s="12">
        <f t="array" ref="M23">INDEX(L:L,MIN(IF(ISNUMBER(L23:L219),ROW(L23:L219),"")))</f>
        <v>12.6</v>
      </c>
      <c r="N23" s="13">
        <f>IF('Données projet'!$A$36&gt;35,N22+M23-V22,IF(A23&lt;'Données projet'!$A$36,$K$205^A23,IF(A23='Données projet'!$A$36,'Données projet'!$B$36,N22+M23-V22)))</f>
        <v>179.99999999999997</v>
      </c>
      <c r="O23" s="13">
        <f>N23*VLOOKUP('Données projet'!$B$9,Paramètres!$A$1:$I$89,3,0)*VLOOKUP('Données projet'!$B$9,Paramètres!$A$1:$I$89,5,0)</f>
        <v>162.86399999999998</v>
      </c>
      <c r="P23" s="13">
        <f t="shared" si="33"/>
        <v>41.487830069509123</v>
      </c>
      <c r="Q23" s="20">
        <f t="shared" si="2"/>
        <v>355.91277070439497</v>
      </c>
      <c r="R23" s="59">
        <f t="shared" si="0"/>
        <v>637.02388181550612</v>
      </c>
      <c r="S23" s="59">
        <f ca="1">AVERAGE(OFFSET($R$3,0,0,'Données projet'!$E$9+1,1))-AVERAGE(OFFSET($H$3,0,0,'Données projet'!$E$9+1,1))</f>
        <v>336.59194805061094</v>
      </c>
      <c r="T23" s="59">
        <f t="shared" si="34"/>
        <v>473.66884161123909</v>
      </c>
      <c r="U23" s="15">
        <f>IF(ISNA(VLOOKUP(A23,'Données projet'!$A$35:$I$55,3,0)),0,VLOOKUP(A23,'Données projet'!$A$35:$I$55,3,0))</f>
        <v>4</v>
      </c>
      <c r="V23" s="15">
        <f>IF(ISNA(VLOOKUP(A23,'Données projet'!$A$35:$I$55,4,0)),0,VLOOKUP(A23,'Données projet'!$A$35:$I$55,4,0))</f>
        <v>19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0</v>
      </c>
      <c r="AB23" s="21">
        <f>EXP(-LN(2)/2)*AB22+(1-EXP(-LN(2)/2))/(LN(2)/2)*V23*Y23*VLOOKUP('Données projet'!$B$9,Paramètres!$A$1:$I$89,3,0)*0.475*44/12</f>
        <v>0</v>
      </c>
      <c r="AC23" s="22">
        <f t="shared" si="3"/>
        <v>0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2">
        <f>VLOOKUP(A23,'Données projet'!$A$61:$I$81,2,0)</f>
        <v>102</v>
      </c>
      <c r="AG23" s="12">
        <f>VLOOKUP(A23,'Données projet'!$A$61:$I$81,9,0)</f>
        <v>13.8</v>
      </c>
      <c r="AH23" s="12">
        <f t="array" ref="AH23">INDEX(AG:AG,MIN(IF(ISNUMBER(AG23:AG219),ROW(AG23:AG219),"")))</f>
        <v>13.8</v>
      </c>
      <c r="AI23" s="13">
        <f>IF('Données projet'!$A$62&gt;35,AI22+AH23-AQ22,IF(A23&lt;'Données projet'!$A$62,$AF$205^A23,IF(A23='Données projet'!$A$62,'Données projet'!$B$62,AI22+AH23-AQ22)))</f>
        <v>101.99999999999999</v>
      </c>
      <c r="AJ23" s="13">
        <f>AI23*VLOOKUP('Données projet'!$B$10,Paramètres!$A$1:$I$89,3,0)*VLOOKUP('Données projet'!$B$10,Paramètres!$A$1:$I$89,5,0)</f>
        <v>66.830399999999983</v>
      </c>
      <c r="AK23" s="13">
        <f t="shared" si="35"/>
        <v>18.884224063325345</v>
      </c>
      <c r="AL23" s="20">
        <f t="shared" si="4"/>
        <v>149.28630357695829</v>
      </c>
      <c r="AM23" s="59">
        <f t="shared" si="5"/>
        <v>430.39741468806943</v>
      </c>
      <c r="AN23" s="59">
        <f ca="1">AVERAGE(OFFSET($AM$3,0,0,'Données projet'!$E$10+1,1))-AVERAGE(OFFSET($H$3,0,0,'Données projet'!$E$10+1,1))</f>
        <v>244.66788784685366</v>
      </c>
      <c r="AO23" s="59">
        <f t="shared" si="36"/>
        <v>252.04429018409274</v>
      </c>
      <c r="AP23" s="15">
        <f>IF(ISNA(VLOOKUP(A23,'Données projet'!$A$61:$I$81,3,0)),0,VLOOKUP(A23,'Données projet'!$A$61:$I$81,3,0))</f>
        <v>2</v>
      </c>
      <c r="AQ23" s="15">
        <f>IF(ISNA(VLOOKUP(A23,'Données projet'!$A$61:$I$81,4,0)),0,VLOOKUP(A23,'Données projet'!$A$61:$I$81,4,0))</f>
        <v>35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0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2">
        <f>VLOOKUP(A23,'Données projet'!$A$87:$I$107,2,0)</f>
        <v>153</v>
      </c>
      <c r="BB23" s="12">
        <f>VLOOKUP(A23,'Données projet'!$A$87:$I$107,9,0)</f>
        <v>11.2</v>
      </c>
      <c r="BC23" s="12">
        <f t="array" ref="BC23">INDEX(BB:BB,MIN(IF(ISNUMBER(BB23:BB219),ROW(BB23:BB219),"")))</f>
        <v>11.2</v>
      </c>
      <c r="BD23" s="12">
        <f>IF('Données projet'!$A$88&gt;35,BD22+BC23-BL22,IF(A23&lt;'Données projet'!$A$88,$BA$205^A23,IF(A23='Données projet'!$A$88,'Données projet'!$B$88,BD22+BC23-BL22)))</f>
        <v>152.99999999999994</v>
      </c>
      <c r="BE23" s="13">
        <f>BD23*VLOOKUP('Données projet'!$B$11,Paramètres!$A$1:$I$89,3,0)*VLOOKUP('Données projet'!$B$11,Paramètres!$A$1:$I$89,5,0)</f>
        <v>145.59479999999996</v>
      </c>
      <c r="BF23" s="13">
        <f t="shared" si="37"/>
        <v>37.575758023691719</v>
      </c>
      <c r="BG23" s="20">
        <f t="shared" si="7"/>
        <v>319.02205522459639</v>
      </c>
      <c r="BH23" s="59">
        <f t="shared" si="8"/>
        <v>600.13316633570753</v>
      </c>
      <c r="BI23" s="59">
        <f ca="1">AVERAGE(OFFSET($BH$3,0,0,'Données projet'!$E$11+1,1))-AVERAGE(OFFSET($H$3,0,0,'Données projet'!$E$11+1,1))</f>
        <v>373.51596132356536</v>
      </c>
      <c r="BJ23" s="59">
        <f t="shared" si="38"/>
        <v>417.00150517020114</v>
      </c>
      <c r="BK23" s="15">
        <f>IF(ISNA(VLOOKUP(A23,'Données projet'!$A$87:$I$107,3,0)),0,VLOOKUP(A23,'Données projet'!$A$87:$I$107,3,0))</f>
        <v>3</v>
      </c>
      <c r="BL23" s="15">
        <f>IF(ISNA(VLOOKUP(A23,'Données projet'!$A$87:$I$107,4,0)),0,VLOOKUP(A23,'Données projet'!$A$87:$I$107,4,0))</f>
        <v>22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0</v>
      </c>
      <c r="BR23" s="21">
        <f>EXP(-LN(2)/2)*BR22+(1-EXP(-LN(2)/2))/(LN(2)/2)*BL23*BO23*VLOOKUP('Données projet'!$B$11,Paramètres!$A$1:$I$89,3,0)*0.475*44/12</f>
        <v>0</v>
      </c>
      <c r="BS23" s="22">
        <f t="shared" si="9"/>
        <v>0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2">
        <f>VLOOKUP(A23,'Données projet'!$A$113:$I$133,2,0)</f>
        <v>42</v>
      </c>
      <c r="BW23" s="12">
        <f>VLOOKUP(A23,'Données projet'!$A$113:$I$133,9,0)</f>
        <v>2.1</v>
      </c>
      <c r="BX23" s="12">
        <f t="array" ref="BX23">INDEX(BW:BW,MIN(IF(ISNUMBER(BW23:BW219),ROW(BW23:BW219),"")))</f>
        <v>2.1</v>
      </c>
      <c r="BY23" s="12">
        <f>IF('Données projet'!$A$114&gt;35,BY22+BX23-CG22,IF(A23&lt;'Données projet'!$A$114,$BV$205^A23,IF(A23='Données projet'!$A$114,'Données projet'!$B$114,BY22+BX23-CG22)))</f>
        <v>42</v>
      </c>
      <c r="BZ23" s="13">
        <f>BY23*VLOOKUP('Données projet'!$B$12,Paramètres!$A$1:$I$89,3,0)*VLOOKUP('Données projet'!$B$12,Paramètres!$A$1:$I$89,5,0)</f>
        <v>38.001600000000003</v>
      </c>
      <c r="CA23" s="13">
        <f t="shared" si="39"/>
        <v>11.467401227090512</v>
      </c>
      <c r="CB23" s="20">
        <f t="shared" si="10"/>
        <v>86.158510470515978</v>
      </c>
      <c r="CC23" s="59">
        <f t="shared" si="11"/>
        <v>367.26962158162712</v>
      </c>
      <c r="CD23" s="59">
        <f ca="1">AVERAGE(OFFSET($CC$3,0,0,'Données projet'!$E$12+1,1))-AVERAGE(OFFSET($H$3,0,0,'Données projet'!$E$12+1,1))</f>
        <v>289.19622253646992</v>
      </c>
      <c r="CE23" s="59">
        <f t="shared" si="40"/>
        <v>191.23827338431175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>
        <f>EXP(-LN(2)/35)*CK22+(1-EXP(-LN(2)/35))/(LN(2)/35)*CG23*CH23*VLOOKUP('Données projet'!$B$12,Paramètres!$A$1:$I$89,3,0)*0.475*44/12</f>
        <v>0</v>
      </c>
      <c r="CL23" s="21">
        <f>EXP(-LN(2)/25)*CL22+(1-EXP(-LN(2)/25))/(LN(2)/25)*Calculateur!CG23*Calculateur!CI23*VLOOKUP('Données projet'!$B$12,Paramètres!$A$1:$I$89,3,0)*0.475*44/12</f>
        <v>0</v>
      </c>
      <c r="CM23" s="21">
        <f>EXP(-LN(2)/2)*CM22+(1-EXP(-LN(2)/2))/(LN(2)/2)*CG23*CJ23*VLOOKUP('Données projet'!$B$12,Paramètres!$A$1:$I$89,3,0)*0.475*44/12</f>
        <v>0</v>
      </c>
      <c r="CN23" s="22">
        <f t="shared" si="12"/>
        <v>0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12.121199999999998</v>
      </c>
      <c r="D24" s="11">
        <f t="shared" si="32"/>
        <v>4.1780436426884888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125.81872285584097</v>
      </c>
      <c r="H24" s="67">
        <f t="shared" si="1"/>
        <v>285.05451601101578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10.6</v>
      </c>
      <c r="N24" s="13">
        <f>IF('Données projet'!$A$36&gt;35,N23+M24-V23,IF(A24&lt;'Données projet'!$A$36,$K$205^A24,IF(A24='Données projet'!$A$36,'Données projet'!$B$36,N23+M24-V23)))</f>
        <v>171.59999999999997</v>
      </c>
      <c r="O24" s="13">
        <f>N24*VLOOKUP('Données projet'!$B$9,Paramètres!$A$1:$I$89,3,0)*VLOOKUP('Données projet'!$B$9,Paramètres!$A$1:$I$89,5,0)</f>
        <v>155.26367999999997</v>
      </c>
      <c r="P24" s="13">
        <f t="shared" si="33"/>
        <v>39.77236412265178</v>
      </c>
      <c r="Q24" s="20">
        <f t="shared" si="2"/>
        <v>339.68777684695175</v>
      </c>
      <c r="R24" s="59">
        <f t="shared" si="0"/>
        <v>622.02111018028506</v>
      </c>
      <c r="S24" s="59">
        <f ca="1">AVERAGE(OFFSET($R$3,0,0,'Données projet'!$E$9+1,1))-AVERAGE(OFFSET($H$3,0,0,'Données projet'!$E$9+1,1))</f>
        <v>336.59194805061094</v>
      </c>
      <c r="T24" s="59">
        <f t="shared" si="34"/>
        <v>473.66884161123909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0</v>
      </c>
      <c r="AB24" s="21">
        <f>EXP(-LN(2)/2)*AB23+(1-EXP(-LN(2)/2))/(LN(2)/2)*V24*Y24*VLOOKUP('Données projet'!$B$9,Paramètres!$A$1:$I$89,3,0)*0.475*44/12</f>
        <v>0</v>
      </c>
      <c r="AC24" s="22">
        <f t="shared" si="3"/>
        <v>0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14.8</v>
      </c>
      <c r="AI24" s="13">
        <f>IF('Données projet'!$A$62&gt;35,AI23+AH24-AQ23,IF(A24&lt;'Données projet'!$A$62,$AF$205^A24,IF(A24='Données projet'!$A$62,'Données projet'!$B$62,AI23+AH24-AQ23)))</f>
        <v>81.799999999999983</v>
      </c>
      <c r="AJ24" s="13">
        <f>AI24*VLOOKUP('Données projet'!$B$10,Paramètres!$A$1:$I$89,3,0)*VLOOKUP('Données projet'!$B$10,Paramètres!$A$1:$I$89,5,0)</f>
        <v>53.595359999999992</v>
      </c>
      <c r="AK24" s="13">
        <f t="shared" si="35"/>
        <v>15.538491412048067</v>
      </c>
      <c r="AL24" s="20">
        <f t="shared" si="4"/>
        <v>120.40812454265038</v>
      </c>
      <c r="AM24" s="59">
        <f t="shared" si="5"/>
        <v>402.74145787598371</v>
      </c>
      <c r="AN24" s="59">
        <f ca="1">AVERAGE(OFFSET($AM$3,0,0,'Données projet'!$E$10+1,1))-AVERAGE(OFFSET($H$3,0,0,'Données projet'!$E$10+1,1))</f>
        <v>244.66788784685366</v>
      </c>
      <c r="AO24" s="59">
        <f t="shared" si="36"/>
        <v>252.04429018409274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0</v>
      </c>
      <c r="AW24" s="21">
        <f>EXP(-LN(2)/2)*AW23+(1-EXP(-LN(2)/2))/(LN(2)/2)*AQ24*AT24*VLOOKUP('Données projet'!$B$10,Paramètres!$A$1:$I$89,3,0)*0.475*44/12</f>
        <v>0</v>
      </c>
      <c r="AX24" s="21">
        <f t="shared" si="6"/>
        <v>0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10.199999999999999</v>
      </c>
      <c r="BD24" s="12">
        <f>IF('Données projet'!$A$88&gt;35,BD23+BC24-BL23,IF(A24&lt;'Données projet'!$A$88,$BA$205^A24,IF(A24='Données projet'!$A$88,'Données projet'!$B$88,BD23+BC24-BL23)))</f>
        <v>141.19999999999993</v>
      </c>
      <c r="BE24" s="13">
        <f>BD24*VLOOKUP('Données projet'!$B$11,Paramètres!$A$1:$I$89,3,0)*VLOOKUP('Données projet'!$B$11,Paramètres!$A$1:$I$89,5,0)</f>
        <v>134.36591999999996</v>
      </c>
      <c r="BF24" s="13">
        <f t="shared" si="37"/>
        <v>35.003247613199107</v>
      </c>
      <c r="BG24" s="20">
        <f t="shared" si="7"/>
        <v>294.98463359298836</v>
      </c>
      <c r="BH24" s="59">
        <f t="shared" si="8"/>
        <v>577.31796692632167</v>
      </c>
      <c r="BI24" s="59">
        <f ca="1">AVERAGE(OFFSET($BH$3,0,0,'Données projet'!$E$11+1,1))-AVERAGE(OFFSET($H$3,0,0,'Données projet'!$E$11+1,1))</f>
        <v>373.51596132356536</v>
      </c>
      <c r="BJ24" s="59">
        <f t="shared" si="38"/>
        <v>417.00150517020114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0</v>
      </c>
      <c r="BR24" s="21">
        <f>EXP(-LN(2)/2)*BR23+(1-EXP(-LN(2)/2))/(LN(2)/2)*BL24*BO24*VLOOKUP('Données projet'!$B$11,Paramètres!$A$1:$I$89,3,0)*0.475*44/12</f>
        <v>0</v>
      </c>
      <c r="BS24" s="22">
        <f t="shared" si="9"/>
        <v>0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5.6</v>
      </c>
      <c r="BY24" s="12">
        <f>IF('Données projet'!$A$114&gt;35,BY23+BX24-CG23,IF(A24&lt;'Données projet'!$A$114,$BV$205^A24,IF(A24='Données projet'!$A$114,'Données projet'!$B$114,BY23+BX24-CG23)))</f>
        <v>47.6</v>
      </c>
      <c r="BZ24" s="13">
        <f>BY24*VLOOKUP('Données projet'!$B$12,Paramètres!$A$1:$I$89,3,0)*VLOOKUP('Données projet'!$B$12,Paramètres!$A$1:$I$89,5,0)</f>
        <v>43.068480000000001</v>
      </c>
      <c r="CA24" s="13">
        <f t="shared" si="39"/>
        <v>12.808416415102187</v>
      </c>
      <c r="CB24" s="20">
        <f t="shared" si="10"/>
        <v>97.318927922969635</v>
      </c>
      <c r="CC24" s="59">
        <f t="shared" si="11"/>
        <v>379.65226125630295</v>
      </c>
      <c r="CD24" s="59">
        <f ca="1">AVERAGE(OFFSET($CC$3,0,0,'Données projet'!$E$12+1,1))-AVERAGE(OFFSET($H$3,0,0,'Données projet'!$E$12+1,1))</f>
        <v>289.19622253646992</v>
      </c>
      <c r="CE24" s="59">
        <f t="shared" si="40"/>
        <v>191.23827338431175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>
        <f>EXP(-LN(2)/35)*CK23+(1-EXP(-LN(2)/35))/(LN(2)/35)*CG24*CH24*VLOOKUP('Données projet'!$B$12,Paramètres!$A$1:$I$89,3,0)*0.475*44/12</f>
        <v>0</v>
      </c>
      <c r="CL24" s="21">
        <f>EXP(-LN(2)/25)*CL23+(1-EXP(-LN(2)/25))/(LN(2)/25)*Calculateur!CG24*Calculateur!CI24*VLOOKUP('Données projet'!$B$12,Paramètres!$A$1:$I$89,3,0)*0.475*44/12</f>
        <v>0</v>
      </c>
      <c r="CM24" s="21">
        <f>EXP(-LN(2)/2)*CM23+(1-EXP(-LN(2)/2))/(LN(2)/2)*CG24*CJ24*VLOOKUP('Données projet'!$B$12,Paramètres!$A$1:$I$89,3,0)*0.475*44/12</f>
        <v>0</v>
      </c>
      <c r="CN24" s="22">
        <f t="shared" si="12"/>
        <v>0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12.698399999999998</v>
      </c>
      <c r="D25" s="11">
        <f t="shared" si="32"/>
        <v>4.3533610186502001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131.62762891589625</v>
      </c>
      <c r="H25" s="67">
        <f t="shared" si="1"/>
        <v>286.3651504408158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10.6</v>
      </c>
      <c r="N25" s="13">
        <f>IF('Données projet'!$A$36&gt;35,N24+M25-V24,IF(A25&lt;'Données projet'!$A$36,$K$205^A25,IF(A25='Données projet'!$A$36,'Données projet'!$B$36,N24+M25-V24)))</f>
        <v>182.19999999999996</v>
      </c>
      <c r="O25" s="13">
        <f>N25*VLOOKUP('Données projet'!$B$9,Paramètres!$A$1:$I$89,3,0)*VLOOKUP('Données projet'!$B$9,Paramètres!$A$1:$I$89,5,0)</f>
        <v>164.85455999999996</v>
      </c>
      <c r="P25" s="13">
        <f t="shared" si="33"/>
        <v>41.935562922532498</v>
      </c>
      <c r="Q25" s="20">
        <f t="shared" si="2"/>
        <v>360.15946409007734</v>
      </c>
      <c r="R25" s="59">
        <f t="shared" si="0"/>
        <v>643.71501964563288</v>
      </c>
      <c r="S25" s="59">
        <f ca="1">AVERAGE(OFFSET($R$3,0,0,'Données projet'!$E$9+1,1))-AVERAGE(OFFSET($H$3,0,0,'Données projet'!$E$9+1,1))</f>
        <v>336.59194805061094</v>
      </c>
      <c r="T25" s="59">
        <f t="shared" si="34"/>
        <v>473.66884161123909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0</v>
      </c>
      <c r="AB25" s="21">
        <f>EXP(-LN(2)/2)*AB24+(1-EXP(-LN(2)/2))/(LN(2)/2)*V25*Y25*VLOOKUP('Données projet'!$B$9,Paramètres!$A$1:$I$89,3,0)*0.475*44/12</f>
        <v>0</v>
      </c>
      <c r="AC25" s="22">
        <f t="shared" si="3"/>
        <v>0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14.8</v>
      </c>
      <c r="AI25" s="13">
        <f>IF('Données projet'!$A$62&gt;35,AI24+AH25-AQ24,IF(A25&lt;'Données projet'!$A$62,$AF$205^A25,IF(A25='Données projet'!$A$62,'Données projet'!$B$62,AI24+AH25-AQ24)))</f>
        <v>96.59999999999998</v>
      </c>
      <c r="AJ25" s="13">
        <f>AI25*VLOOKUP('Données projet'!$B$10,Paramètres!$A$1:$I$89,3,0)*VLOOKUP('Données projet'!$B$10,Paramètres!$A$1:$I$89,5,0)</f>
        <v>63.292319999999982</v>
      </c>
      <c r="AK25" s="13">
        <f t="shared" si="35"/>
        <v>17.998065245956816</v>
      </c>
      <c r="AL25" s="20">
        <f t="shared" si="4"/>
        <v>141.58075430337473</v>
      </c>
      <c r="AM25" s="59">
        <f t="shared" si="5"/>
        <v>425.1363098589303</v>
      </c>
      <c r="AN25" s="59">
        <f ca="1">AVERAGE(OFFSET($AM$3,0,0,'Données projet'!$E$10+1,1))-AVERAGE(OFFSET($H$3,0,0,'Données projet'!$E$10+1,1))</f>
        <v>244.66788784685366</v>
      </c>
      <c r="AO25" s="59">
        <f t="shared" si="36"/>
        <v>252.04429018409274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0</v>
      </c>
      <c r="AW25" s="21">
        <f>EXP(-LN(2)/2)*AW24+(1-EXP(-LN(2)/2))/(LN(2)/2)*AQ25*AT25*VLOOKUP('Données projet'!$B$10,Paramètres!$A$1:$I$89,3,0)*0.475*44/12</f>
        <v>0</v>
      </c>
      <c r="AX25" s="21">
        <f t="shared" si="6"/>
        <v>0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10.199999999999999</v>
      </c>
      <c r="BD25" s="12">
        <f>IF('Données projet'!$A$88&gt;35,BD24+BC25-BL24,IF(A25&lt;'Données projet'!$A$88,$BA$205^A25,IF(A25='Données projet'!$A$88,'Données projet'!$B$88,BD24+BC25-BL24)))</f>
        <v>151.39999999999992</v>
      </c>
      <c r="BE25" s="13">
        <f>BD25*VLOOKUP('Données projet'!$B$11,Paramètres!$A$1:$I$89,3,0)*VLOOKUP('Données projet'!$B$11,Paramètres!$A$1:$I$89,5,0)</f>
        <v>144.07223999999991</v>
      </c>
      <c r="BF25" s="13">
        <f t="shared" si="37"/>
        <v>37.228336047436109</v>
      </c>
      <c r="BG25" s="20">
        <f t="shared" si="7"/>
        <v>315.76516994928437</v>
      </c>
      <c r="BH25" s="59">
        <f t="shared" si="8"/>
        <v>599.32072550483986</v>
      </c>
      <c r="BI25" s="59">
        <f ca="1">AVERAGE(OFFSET($BH$3,0,0,'Données projet'!$E$11+1,1))-AVERAGE(OFFSET($H$3,0,0,'Données projet'!$E$11+1,1))</f>
        <v>373.51596132356536</v>
      </c>
      <c r="BJ25" s="59">
        <f t="shared" si="38"/>
        <v>417.00150517020114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0</v>
      </c>
      <c r="BR25" s="21">
        <f>EXP(-LN(2)/2)*BR24+(1-EXP(-LN(2)/2))/(LN(2)/2)*BL25*BO25*VLOOKUP('Données projet'!$B$11,Paramètres!$A$1:$I$89,3,0)*0.475*44/12</f>
        <v>0</v>
      </c>
      <c r="BS25" s="22">
        <f t="shared" si="9"/>
        <v>0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5.6</v>
      </c>
      <c r="BY25" s="12">
        <f>IF('Données projet'!$A$114&gt;35,BY24+BX25-CG24,IF(A25&lt;'Données projet'!$A$114,$BV$205^A25,IF(A25='Données projet'!$A$114,'Données projet'!$B$114,BY24+BX25-CG24)))</f>
        <v>53.2</v>
      </c>
      <c r="BZ25" s="13">
        <f>BY25*VLOOKUP('Données projet'!$B$12,Paramètres!$A$1:$I$89,3,0)*VLOOKUP('Données projet'!$B$12,Paramètres!$A$1:$I$89,5,0)</f>
        <v>48.135359999999999</v>
      </c>
      <c r="CA25" s="13">
        <f t="shared" si="39"/>
        <v>14.131148275361113</v>
      </c>
      <c r="CB25" s="20">
        <f t="shared" si="10"/>
        <v>108.4475019129206</v>
      </c>
      <c r="CC25" s="59">
        <f t="shared" si="11"/>
        <v>392.00305746847613</v>
      </c>
      <c r="CD25" s="59">
        <f ca="1">AVERAGE(OFFSET($CC$3,0,0,'Données projet'!$E$12+1,1))-AVERAGE(OFFSET($H$3,0,0,'Données projet'!$E$12+1,1))</f>
        <v>289.19622253646992</v>
      </c>
      <c r="CE25" s="59">
        <f t="shared" si="40"/>
        <v>191.23827338431175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>
        <f>EXP(-LN(2)/35)*CK24+(1-EXP(-LN(2)/35))/(LN(2)/35)*CG25*CH25*VLOOKUP('Données projet'!$B$12,Paramètres!$A$1:$I$89,3,0)*0.475*44/12</f>
        <v>0</v>
      </c>
      <c r="CL25" s="21">
        <f>EXP(-LN(2)/25)*CL24+(1-EXP(-LN(2)/25))/(LN(2)/25)*Calculateur!CG25*Calculateur!CI25*VLOOKUP('Données projet'!$B$12,Paramètres!$A$1:$I$89,3,0)*0.475*44/12</f>
        <v>0</v>
      </c>
      <c r="CM25" s="21">
        <f>EXP(-LN(2)/2)*CM24+(1-EXP(-LN(2)/2))/(LN(2)/2)*CG25*CJ25*VLOOKUP('Données projet'!$B$12,Paramètres!$A$1:$I$89,3,0)*0.475*44/12</f>
        <v>0</v>
      </c>
      <c r="CN25" s="22">
        <f t="shared" si="12"/>
        <v>0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13.275599999999997</v>
      </c>
      <c r="D26" s="11">
        <f t="shared" si="32"/>
        <v>4.5277529193694512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137.42939095653611</v>
      </c>
      <c r="H26" s="67">
        <f t="shared" si="1"/>
        <v>287.67417300123515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10.6</v>
      </c>
      <c r="N26" s="13">
        <f>IF('Données projet'!$A$36&gt;35,N25+M26-V25,IF(A26&lt;'Données projet'!$A$36,$K$205^A26,IF(A26='Données projet'!$A$36,'Données projet'!$B$36,N25+M26-V25)))</f>
        <v>192.79999999999995</v>
      </c>
      <c r="O26" s="13">
        <f>N26*VLOOKUP('Données projet'!$B$9,Paramètres!$A$1:$I$89,3,0)*VLOOKUP('Données projet'!$B$9,Paramètres!$A$1:$I$89,5,0)</f>
        <v>174.44543999999996</v>
      </c>
      <c r="P26" s="13">
        <f t="shared" si="33"/>
        <v>44.08415354960767</v>
      </c>
      <c r="Q26" s="20">
        <f t="shared" si="2"/>
        <v>380.60570876556659</v>
      </c>
      <c r="R26" s="59">
        <f t="shared" si="0"/>
        <v>665.38348654334436</v>
      </c>
      <c r="S26" s="59">
        <f ca="1">AVERAGE(OFFSET($R$3,0,0,'Données projet'!$E$9+1,1))-AVERAGE(OFFSET($H$3,0,0,'Données projet'!$E$9+1,1))</f>
        <v>336.59194805061094</v>
      </c>
      <c r="T26" s="59">
        <f t="shared" si="34"/>
        <v>473.66884161123909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0</v>
      </c>
      <c r="AB26" s="21">
        <f>EXP(-LN(2)/2)*AB25+(1-EXP(-LN(2)/2))/(LN(2)/2)*V26*Y26*VLOOKUP('Données projet'!$B$9,Paramètres!$A$1:$I$89,3,0)*0.475*44/12</f>
        <v>0</v>
      </c>
      <c r="AC26" s="22">
        <f t="shared" si="3"/>
        <v>0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14.8</v>
      </c>
      <c r="AI26" s="13">
        <f>IF('Données projet'!$A$62&gt;35,AI25+AH26-AQ25,IF(A26&lt;'Données projet'!$A$62,$AF$205^A26,IF(A26='Données projet'!$A$62,'Données projet'!$B$62,AI25+AH26-AQ25)))</f>
        <v>111.39999999999998</v>
      </c>
      <c r="AJ26" s="13">
        <f>AI26*VLOOKUP('Données projet'!$B$10,Paramètres!$A$1:$I$89,3,0)*VLOOKUP('Données projet'!$B$10,Paramètres!$A$1:$I$89,5,0)</f>
        <v>72.98927999999998</v>
      </c>
      <c r="AK26" s="13">
        <f t="shared" si="35"/>
        <v>20.413984824940087</v>
      </c>
      <c r="AL26" s="20">
        <f t="shared" si="4"/>
        <v>162.67735290343725</v>
      </c>
      <c r="AM26" s="59">
        <f t="shared" si="5"/>
        <v>447.455130681215</v>
      </c>
      <c r="AN26" s="59">
        <f ca="1">AVERAGE(OFFSET($AM$3,0,0,'Données projet'!$E$10+1,1))-AVERAGE(OFFSET($H$3,0,0,'Données projet'!$E$10+1,1))</f>
        <v>244.66788784685366</v>
      </c>
      <c r="AO26" s="59">
        <f t="shared" si="36"/>
        <v>252.04429018409274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0</v>
      </c>
      <c r="AW26" s="21">
        <f>EXP(-LN(2)/2)*AW25+(1-EXP(-LN(2)/2))/(LN(2)/2)*AQ26*AT26*VLOOKUP('Données projet'!$B$10,Paramètres!$A$1:$I$89,3,0)*0.475*44/12</f>
        <v>0</v>
      </c>
      <c r="AX26" s="21">
        <f t="shared" si="6"/>
        <v>0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10.199999999999999</v>
      </c>
      <c r="BD26" s="12">
        <f>IF('Données projet'!$A$88&gt;35,BD25+BC26-BL25,IF(A26&lt;'Données projet'!$A$88,$BA$205^A26,IF(A26='Données projet'!$A$88,'Données projet'!$B$88,BD25+BC26-BL25)))</f>
        <v>161.59999999999991</v>
      </c>
      <c r="BE26" s="13">
        <f>BD26*VLOOKUP('Données projet'!$B$11,Paramètres!$A$1:$I$89,3,0)*VLOOKUP('Données projet'!$B$11,Paramètres!$A$1:$I$89,5,0)</f>
        <v>153.77855999999991</v>
      </c>
      <c r="BF26" s="13">
        <f t="shared" si="37"/>
        <v>39.436029674841912</v>
      </c>
      <c r="BG26" s="20">
        <f t="shared" si="7"/>
        <v>336.51541035034944</v>
      </c>
      <c r="BH26" s="59">
        <f t="shared" si="8"/>
        <v>621.29318812812721</v>
      </c>
      <c r="BI26" s="59">
        <f ca="1">AVERAGE(OFFSET($BH$3,0,0,'Données projet'!$E$11+1,1))-AVERAGE(OFFSET($H$3,0,0,'Données projet'!$E$11+1,1))</f>
        <v>373.51596132356536</v>
      </c>
      <c r="BJ26" s="59">
        <f t="shared" si="38"/>
        <v>417.00150517020114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</v>
      </c>
      <c r="BQ26" s="21">
        <f>EXP(-LN(2)/25)*BQ25+(1-EXP(-LN(2)/25))/(LN(2)/25)*Calculateur!BL26*Calculateur!BN26*VLOOKUP('Données projet'!$B$11,Paramètres!$A$1:$I$89,3,0)*0.475*44/12</f>
        <v>0</v>
      </c>
      <c r="BR26" s="21">
        <f>EXP(-LN(2)/2)*BR25+(1-EXP(-LN(2)/2))/(LN(2)/2)*BL26*BO26*VLOOKUP('Données projet'!$B$11,Paramètres!$A$1:$I$89,3,0)*0.475*44/12</f>
        <v>0</v>
      </c>
      <c r="BS26" s="22">
        <f t="shared" si="9"/>
        <v>0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5.6</v>
      </c>
      <c r="BY26" s="12">
        <f>IF('Données projet'!$A$114&gt;35,BY25+BX26-CG25,IF(A26&lt;'Données projet'!$A$114,$BV$205^A26,IF(A26='Données projet'!$A$114,'Données projet'!$B$114,BY25+BX26-CG25)))</f>
        <v>58.800000000000004</v>
      </c>
      <c r="BZ26" s="13">
        <f>BY26*VLOOKUP('Données projet'!$B$12,Paramètres!$A$1:$I$89,3,0)*VLOOKUP('Données projet'!$B$12,Paramètres!$A$1:$I$89,5,0)</f>
        <v>53.202240000000003</v>
      </c>
      <c r="CA26" s="13">
        <f t="shared" si="39"/>
        <v>15.437740642425908</v>
      </c>
      <c r="CB26" s="20">
        <f t="shared" si="10"/>
        <v>119.54796628555846</v>
      </c>
      <c r="CC26" s="59">
        <f t="shared" si="11"/>
        <v>404.32574406333623</v>
      </c>
      <c r="CD26" s="59">
        <f ca="1">AVERAGE(OFFSET($CC$3,0,0,'Données projet'!$E$12+1,1))-AVERAGE(OFFSET($H$3,0,0,'Données projet'!$E$12+1,1))</f>
        <v>289.19622253646992</v>
      </c>
      <c r="CE26" s="59">
        <f t="shared" si="40"/>
        <v>191.23827338431175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>
        <f>EXP(-LN(2)/35)*CK25+(1-EXP(-LN(2)/35))/(LN(2)/35)*CG26*CH26*VLOOKUP('Données projet'!$B$12,Paramètres!$A$1:$I$89,3,0)*0.475*44/12</f>
        <v>0</v>
      </c>
      <c r="CL26" s="21">
        <f>EXP(-LN(2)/25)*CL25+(1-EXP(-LN(2)/25))/(LN(2)/25)*Calculateur!CG26*Calculateur!CI26*VLOOKUP('Données projet'!$B$12,Paramètres!$A$1:$I$89,3,0)*0.475*44/12</f>
        <v>0</v>
      </c>
      <c r="CM26" s="21">
        <f>EXP(-LN(2)/2)*CM25+(1-EXP(-LN(2)/2))/(LN(2)/2)*CG26*CJ26*VLOOKUP('Données projet'!$B$12,Paramètres!$A$1:$I$89,3,0)*0.475*44/12</f>
        <v>0</v>
      </c>
      <c r="CN26" s="22">
        <f t="shared" si="12"/>
        <v>0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13.852799999999997</v>
      </c>
      <c r="D27" s="11">
        <f t="shared" si="32"/>
        <v>4.7012641819673213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143.22435508887054</v>
      </c>
      <c r="H27" s="67">
        <f t="shared" si="1"/>
        <v>288.9816617835931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10.6</v>
      </c>
      <c r="N27" s="13">
        <f>IF('Données projet'!$A$36&gt;35,N26+M27-V26,IF(A27&lt;'Données projet'!$A$36,$K$205^A27,IF(A27='Données projet'!$A$36,'Données projet'!$B$36,N26+M27-V26)))</f>
        <v>203.39999999999995</v>
      </c>
      <c r="O27" s="13">
        <f>N27*VLOOKUP('Données projet'!$B$9,Paramètres!$A$1:$I$89,3,0)*VLOOKUP('Données projet'!$B$9,Paramètres!$A$1:$I$89,5,0)</f>
        <v>184.03631999999996</v>
      </c>
      <c r="P27" s="13">
        <f t="shared" si="33"/>
        <v>46.219030699200047</v>
      </c>
      <c r="Q27" s="20">
        <f t="shared" si="2"/>
        <v>401.02806913443993</v>
      </c>
      <c r="R27" s="59">
        <f t="shared" si="0"/>
        <v>687.02806913443987</v>
      </c>
      <c r="S27" s="59">
        <f ca="1">AVERAGE(OFFSET($R$3,0,0,'Données projet'!$E$9+1,1))-AVERAGE(OFFSET($H$3,0,0,'Données projet'!$E$9+1,1))</f>
        <v>336.59194805061094</v>
      </c>
      <c r="T27" s="59">
        <f t="shared" si="34"/>
        <v>473.66884161123909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0</v>
      </c>
      <c r="AB27" s="21">
        <f>EXP(-LN(2)/2)*AB26+(1-EXP(-LN(2)/2))/(LN(2)/2)*V27*Y27*VLOOKUP('Données projet'!$B$9,Paramètres!$A$1:$I$89,3,0)*0.475*44/12</f>
        <v>0</v>
      </c>
      <c r="AC27" s="22">
        <f t="shared" si="3"/>
        <v>0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14.8</v>
      </c>
      <c r="AI27" s="13">
        <f>IF('Données projet'!$A$62&gt;35,AI26+AH27-AQ26,IF(A27&lt;'Données projet'!$A$62,$AF$205^A27,IF(A27='Données projet'!$A$62,'Données projet'!$B$62,AI26+AH27-AQ26)))</f>
        <v>126.19999999999997</v>
      </c>
      <c r="AJ27" s="13">
        <f>AI27*VLOOKUP('Données projet'!$B$10,Paramètres!$A$1:$I$89,3,0)*VLOOKUP('Données projet'!$B$10,Paramètres!$A$1:$I$89,5,0)</f>
        <v>82.686239999999984</v>
      </c>
      <c r="AK27" s="13">
        <f t="shared" si="35"/>
        <v>22.79271598914541</v>
      </c>
      <c r="AL27" s="20">
        <f t="shared" si="4"/>
        <v>183.70918168109486</v>
      </c>
      <c r="AM27" s="59">
        <f t="shared" si="5"/>
        <v>469.70918168109483</v>
      </c>
      <c r="AN27" s="59">
        <f ca="1">AVERAGE(OFFSET($AM$3,0,0,'Données projet'!$E$10+1,1))-AVERAGE(OFFSET($H$3,0,0,'Données projet'!$E$10+1,1))</f>
        <v>244.66788784685366</v>
      </c>
      <c r="AO27" s="59">
        <f t="shared" si="36"/>
        <v>252.04429018409274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0</v>
      </c>
      <c r="AW27" s="21">
        <f>EXP(-LN(2)/2)*AW26+(1-EXP(-LN(2)/2))/(LN(2)/2)*AQ27*AT27*VLOOKUP('Données projet'!$B$10,Paramètres!$A$1:$I$89,3,0)*0.475*44/12</f>
        <v>0</v>
      </c>
      <c r="AX27" s="21">
        <f t="shared" si="6"/>
        <v>0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10.199999999999999</v>
      </c>
      <c r="BD27" s="12">
        <f>IF('Données projet'!$A$88&gt;35,BD26+BC27-BL26,IF(A27&lt;'Données projet'!$A$88,$BA$205^A27,IF(A27='Données projet'!$A$88,'Données projet'!$B$88,BD26+BC27-BL26)))</f>
        <v>171.7999999999999</v>
      </c>
      <c r="BE27" s="13">
        <f>BD27*VLOOKUP('Données projet'!$B$11,Paramètres!$A$1:$I$89,3,0)*VLOOKUP('Données projet'!$B$11,Paramètres!$A$1:$I$89,5,0)</f>
        <v>163.48487999999989</v>
      </c>
      <c r="BF27" s="13">
        <f t="shared" si="37"/>
        <v>41.627551418005716</v>
      </c>
      <c r="BG27" s="20">
        <f t="shared" si="7"/>
        <v>357.2374847196931</v>
      </c>
      <c r="BH27" s="59">
        <f t="shared" si="8"/>
        <v>643.23748471969316</v>
      </c>
      <c r="BI27" s="59">
        <f ca="1">AVERAGE(OFFSET($BH$3,0,0,'Données projet'!$E$11+1,1))-AVERAGE(OFFSET($H$3,0,0,'Données projet'!$E$11+1,1))</f>
        <v>373.51596132356536</v>
      </c>
      <c r="BJ27" s="59">
        <f t="shared" si="38"/>
        <v>417.00150517020114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0</v>
      </c>
      <c r="BQ27" s="21">
        <f>EXP(-LN(2)/25)*BQ26+(1-EXP(-LN(2)/25))/(LN(2)/25)*Calculateur!BL27*Calculateur!BN27*VLOOKUP('Données projet'!$B$11,Paramètres!$A$1:$I$89,3,0)*0.475*44/12</f>
        <v>0</v>
      </c>
      <c r="BR27" s="21">
        <f>EXP(-LN(2)/2)*BR26+(1-EXP(-LN(2)/2))/(LN(2)/2)*BL27*BO27*VLOOKUP('Données projet'!$B$11,Paramètres!$A$1:$I$89,3,0)*0.475*44/12</f>
        <v>0</v>
      </c>
      <c r="BS27" s="22">
        <f t="shared" si="9"/>
        <v>0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5.6</v>
      </c>
      <c r="BY27" s="12">
        <f>IF('Données projet'!$A$114&gt;35,BY26+BX27-CG26,IF(A27&lt;'Données projet'!$A$114,$BV$205^A27,IF(A27='Données projet'!$A$114,'Données projet'!$B$114,BY26+BX27-CG26)))</f>
        <v>64.400000000000006</v>
      </c>
      <c r="BZ27" s="13">
        <f>BY27*VLOOKUP('Données projet'!$B$12,Paramètres!$A$1:$I$89,3,0)*VLOOKUP('Données projet'!$B$12,Paramètres!$A$1:$I$89,5,0)</f>
        <v>58.269120000000008</v>
      </c>
      <c r="CA27" s="13">
        <f t="shared" si="39"/>
        <v>16.729905486873804</v>
      </c>
      <c r="CB27" s="20">
        <f t="shared" si="10"/>
        <v>130.62330272297189</v>
      </c>
      <c r="CC27" s="59">
        <f t="shared" si="11"/>
        <v>416.62330272297186</v>
      </c>
      <c r="CD27" s="59">
        <f ca="1">AVERAGE(OFFSET($CC$3,0,0,'Données projet'!$E$12+1,1))-AVERAGE(OFFSET($H$3,0,0,'Données projet'!$E$12+1,1))</f>
        <v>289.19622253646992</v>
      </c>
      <c r="CE27" s="59">
        <f t="shared" si="40"/>
        <v>191.23827338431175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>
        <f>EXP(-LN(2)/35)*CK26+(1-EXP(-LN(2)/35))/(LN(2)/35)*CG27*CH27*VLOOKUP('Données projet'!$B$12,Paramètres!$A$1:$I$89,3,0)*0.475*44/12</f>
        <v>0</v>
      </c>
      <c r="CL27" s="21">
        <f>EXP(-LN(2)/25)*CL26+(1-EXP(-LN(2)/25))/(LN(2)/25)*Calculateur!CG27*Calculateur!CI27*VLOOKUP('Données projet'!$B$12,Paramètres!$A$1:$I$89,3,0)*0.475*44/12</f>
        <v>0</v>
      </c>
      <c r="CM27" s="21">
        <f>EXP(-LN(2)/2)*CM26+(1-EXP(-LN(2)/2))/(LN(2)/2)*CG27*CJ27*VLOOKUP('Données projet'!$B$12,Paramètres!$A$1:$I$89,3,0)*0.475*44/12</f>
        <v>0</v>
      </c>
      <c r="CN27" s="22">
        <f t="shared" si="12"/>
        <v>0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14.429999999999996</v>
      </c>
      <c r="D28" s="11">
        <f t="shared" si="32"/>
        <v>4.8739356957462956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149.01283694962049</v>
      </c>
      <c r="H28" s="67">
        <f t="shared" si="1"/>
        <v>290.28768800342482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2">
        <f>VLOOKUP(A28,'Données projet'!$A$35:$I$55,2,0)</f>
        <v>214</v>
      </c>
      <c r="L28" s="12">
        <f>VLOOKUP(A28,'Données projet'!$A$35:$I$55,9,0)</f>
        <v>10.6</v>
      </c>
      <c r="M28" s="12">
        <f t="array" ref="M28">INDEX(L:L,MIN(IF(ISNUMBER(L28:L224),ROW(L28:L224),"")))</f>
        <v>10.6</v>
      </c>
      <c r="N28" s="13">
        <f>IF('Données projet'!$A$36&gt;35,N27+M28-V27,IF(A28&lt;'Données projet'!$A$36,$K$205^A28,IF(A28='Données projet'!$A$36,'Données projet'!$B$36,N27+M28-V27)))</f>
        <v>213.99999999999994</v>
      </c>
      <c r="O28" s="13">
        <f>N28*VLOOKUP('Données projet'!$B$9,Paramètres!$A$1:$I$89,3,0)*VLOOKUP('Données projet'!$B$9,Paramètres!$A$1:$I$89,5,0)</f>
        <v>193.62719999999996</v>
      </c>
      <c r="P28" s="13">
        <f t="shared" si="33"/>
        <v>48.340990547231193</v>
      </c>
      <c r="Q28" s="20">
        <f t="shared" si="2"/>
        <v>421.42793186976087</v>
      </c>
      <c r="R28" s="59">
        <f t="shared" si="0"/>
        <v>708.65015409198304</v>
      </c>
      <c r="S28" s="59">
        <f ca="1">AVERAGE(OFFSET($R$3,0,0,'Données projet'!$E$9+1,1))-AVERAGE(OFFSET($H$3,0,0,'Données projet'!$E$9+1,1))</f>
        <v>336.59194805061094</v>
      </c>
      <c r="T28" s="59">
        <f t="shared" si="34"/>
        <v>473.66884161123909</v>
      </c>
      <c r="U28" s="15">
        <f>IF(ISNA(VLOOKUP(A28,'Données projet'!$A$35:$I$55,3,0)),0,VLOOKUP(A28,'Données projet'!$A$35:$I$55,3,0))</f>
        <v>5</v>
      </c>
      <c r="V28" s="15">
        <f>IF(ISNA(VLOOKUP(A28,'Données projet'!$A$35:$I$55,4,0)),0,VLOOKUP(A28,'Données projet'!$A$35:$I$55,4,0))</f>
        <v>14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0</v>
      </c>
      <c r="AA28" s="21">
        <f>EXP(-LN(2)/25)*AA27+(1-EXP(-LN(2)/25))/(LN(2)/25)*Calculateur!V28*Calculateur!X28*VLOOKUP('Données projet'!$B$9,Paramètres!$A$1:$I$89,3,0)*0.475*44/12</f>
        <v>0</v>
      </c>
      <c r="AB28" s="21">
        <f>EXP(-LN(2)/2)*AB27+(1-EXP(-LN(2)/2))/(LN(2)/2)*V28*Y28*VLOOKUP('Données projet'!$B$9,Paramètres!$A$1:$I$89,3,0)*0.475*44/12</f>
        <v>0</v>
      </c>
      <c r="AC28" s="22">
        <f t="shared" si="3"/>
        <v>0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2">
        <f>VLOOKUP(A28,'Données projet'!$A$61:$I$81,2,0)</f>
        <v>141</v>
      </c>
      <c r="AG28" s="12">
        <f>VLOOKUP(A28,'Données projet'!$A$61:$I$81,9,0)</f>
        <v>14.8</v>
      </c>
      <c r="AH28" s="12">
        <f t="array" ref="AH28">INDEX(AG:AG,MIN(IF(ISNUMBER(AG28:AG224),ROW(AG28:AG224),"")))</f>
        <v>14.8</v>
      </c>
      <c r="AI28" s="13">
        <f>IF('Données projet'!$A$62&gt;35,AI27+AH28-AQ27,IF(A28&lt;'Données projet'!$A$62,$AF$205^A28,IF(A28='Données projet'!$A$62,'Données projet'!$B$62,AI27+AH28-AQ27)))</f>
        <v>140.99999999999997</v>
      </c>
      <c r="AJ28" s="13">
        <f>AI28*VLOOKUP('Données projet'!$B$10,Paramètres!$A$1:$I$89,3,0)*VLOOKUP('Données projet'!$B$10,Paramètres!$A$1:$I$89,5,0)</f>
        <v>92.383199999999974</v>
      </c>
      <c r="AK28" s="13">
        <f t="shared" si="35"/>
        <v>25.13911825557507</v>
      </c>
      <c r="AL28" s="20">
        <f t="shared" si="4"/>
        <v>204.68470429512652</v>
      </c>
      <c r="AM28" s="59">
        <f t="shared" si="5"/>
        <v>491.90692651734878</v>
      </c>
      <c r="AN28" s="59">
        <f ca="1">AVERAGE(OFFSET($AM$3,0,0,'Données projet'!$E$10+1,1))-AVERAGE(OFFSET($H$3,0,0,'Données projet'!$E$10+1,1))</f>
        <v>244.66788784685366</v>
      </c>
      <c r="AO28" s="59">
        <f t="shared" si="36"/>
        <v>252.04429018409274</v>
      </c>
      <c r="AP28" s="15">
        <f>IF(ISNA(VLOOKUP(A28,'Données projet'!$A$61:$I$81,3,0)),0,VLOOKUP(A28,'Données projet'!$A$61:$I$81,3,0))</f>
        <v>3</v>
      </c>
      <c r="AQ28" s="15">
        <f>IF(ISNA(VLOOKUP(A28,'Données projet'!$A$61:$I$81,4,0)),0,VLOOKUP(A28,'Données projet'!$A$61:$I$81,4,0))</f>
        <v>35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0</v>
      </c>
      <c r="AW28" s="21">
        <f>EXP(-LN(2)/2)*AW27+(1-EXP(-LN(2)/2))/(LN(2)/2)*AQ28*AT28*VLOOKUP('Données projet'!$B$10,Paramètres!$A$1:$I$89,3,0)*0.475*44/12</f>
        <v>0</v>
      </c>
      <c r="AX28" s="21">
        <f t="shared" si="6"/>
        <v>0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2">
        <f>VLOOKUP(A28,'Données projet'!$A$87:$I$107,2,0)</f>
        <v>182</v>
      </c>
      <c r="BB28" s="12">
        <f>VLOOKUP(A28,'Données projet'!$A$87:$I$107,9,0)</f>
        <v>10.199999999999999</v>
      </c>
      <c r="BC28" s="12">
        <f t="array" ref="BC28">INDEX(BB:BB,MIN(IF(ISNUMBER(BB28:BB224),ROW(BB28:BB224),"")))</f>
        <v>10.199999999999999</v>
      </c>
      <c r="BD28" s="12">
        <f>IF('Données projet'!$A$88&gt;35,BD27+BC28-BL27,IF(A28&lt;'Données projet'!$A$88,$BA$205^A28,IF(A28='Données projet'!$A$88,'Données projet'!$B$88,BD27+BC28-BL27)))</f>
        <v>181.99999999999989</v>
      </c>
      <c r="BE28" s="13">
        <f>BD28*VLOOKUP('Données projet'!$B$11,Paramètres!$A$1:$I$89,3,0)*VLOOKUP('Données projet'!$B$11,Paramètres!$A$1:$I$89,5,0)</f>
        <v>173.1911999999999</v>
      </c>
      <c r="BF28" s="13">
        <f t="shared" si="37"/>
        <v>43.803970782681155</v>
      </c>
      <c r="BG28" s="20">
        <f t="shared" si="7"/>
        <v>377.93325577983614</v>
      </c>
      <c r="BH28" s="59">
        <f t="shared" si="8"/>
        <v>665.15547800205832</v>
      </c>
      <c r="BI28" s="59">
        <f ca="1">AVERAGE(OFFSET($BH$3,0,0,'Données projet'!$E$11+1,1))-AVERAGE(OFFSET($H$3,0,0,'Données projet'!$E$11+1,1))</f>
        <v>373.51596132356536</v>
      </c>
      <c r="BJ28" s="59">
        <f t="shared" si="38"/>
        <v>417.00150517020114</v>
      </c>
      <c r="BK28" s="15">
        <f>IF(ISNA(VLOOKUP(A28,'Données projet'!$A$87:$I$107,3,0)),0,VLOOKUP(A28,'Données projet'!$A$87:$I$107,3,0))</f>
        <v>4</v>
      </c>
      <c r="BL28" s="15">
        <f>IF(ISNA(VLOOKUP(A28,'Données projet'!$A$87:$I$107,4,0)),0,VLOOKUP(A28,'Données projet'!$A$87:$I$107,4,0))</f>
        <v>25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0</v>
      </c>
      <c r="BQ28" s="21">
        <f>EXP(-LN(2)/25)*BQ27+(1-EXP(-LN(2)/25))/(LN(2)/25)*Calculateur!BL28*Calculateur!BN28*VLOOKUP('Données projet'!$B$11,Paramètres!$A$1:$I$89,3,0)*0.475*44/12</f>
        <v>0</v>
      </c>
      <c r="BR28" s="21">
        <f>EXP(-LN(2)/2)*BR27+(1-EXP(-LN(2)/2))/(LN(2)/2)*BL28*BO28*VLOOKUP('Données projet'!$B$11,Paramètres!$A$1:$I$89,3,0)*0.475*44/12</f>
        <v>0</v>
      </c>
      <c r="BS28" s="22">
        <f t="shared" si="9"/>
        <v>0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2">
        <f>VLOOKUP(A28,'Données projet'!$A$113:$I$133,2,0)</f>
        <v>70</v>
      </c>
      <c r="BW28" s="12">
        <f>VLOOKUP(A28,'Données projet'!$A$113:$I$133,9,0)</f>
        <v>5.6</v>
      </c>
      <c r="BX28" s="12">
        <f t="array" ref="BX28">INDEX(BW:BW,MIN(IF(ISNUMBER(BW28:BW224),ROW(BW28:BW224),"")))</f>
        <v>5.6</v>
      </c>
      <c r="BY28" s="12">
        <f>IF('Données projet'!$A$114&gt;35,BY27+BX28-CG27,IF(A28&lt;'Données projet'!$A$114,$BV$205^A28,IF(A28='Données projet'!$A$114,'Données projet'!$B$114,BY27+BX28-CG27)))</f>
        <v>70</v>
      </c>
      <c r="BZ28" s="13">
        <f>BY28*VLOOKUP('Données projet'!$B$12,Paramètres!$A$1:$I$89,3,0)*VLOOKUP('Données projet'!$B$12,Paramètres!$A$1:$I$89,5,0)</f>
        <v>63.335999999999991</v>
      </c>
      <c r="CA28" s="13">
        <f t="shared" si="39"/>
        <v>18.009040022946227</v>
      </c>
      <c r="CB28" s="20">
        <f t="shared" si="10"/>
        <v>141.67594470663133</v>
      </c>
      <c r="CC28" s="59">
        <f t="shared" si="11"/>
        <v>428.89816692885358</v>
      </c>
      <c r="CD28" s="59">
        <f ca="1">AVERAGE(OFFSET($CC$3,0,0,'Données projet'!$E$12+1,1))-AVERAGE(OFFSET($H$3,0,0,'Données projet'!$E$12+1,1))</f>
        <v>289.19622253646992</v>
      </c>
      <c r="CE28" s="59">
        <f t="shared" si="40"/>
        <v>191.23827338431175</v>
      </c>
      <c r="CF28" s="15">
        <f>IF(ISNA(VLOOKUP(A28,'Données projet'!$A$113:$I$133,3,0)),0,VLOOKUP(A28,'Données projet'!$A$113:$I$133,3,0))</f>
        <v>1</v>
      </c>
      <c r="CG28" s="15">
        <f>IF(ISNA(VLOOKUP(A28,'Données projet'!$A$113:$I$133,4,0)),0,VLOOKUP(A28,'Données projet'!$A$113:$I$133,4,0))</f>
        <v>8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>
        <f>EXP(-LN(2)/35)*CK27+(1-EXP(-LN(2)/35))/(LN(2)/35)*CG28*CH28*VLOOKUP('Données projet'!$B$12,Paramètres!$A$1:$I$89,3,0)*0.475*44/12</f>
        <v>0</v>
      </c>
      <c r="CL28" s="21">
        <f>EXP(-LN(2)/25)*CL27+(1-EXP(-LN(2)/25))/(LN(2)/25)*Calculateur!CG28*Calculateur!CI28*VLOOKUP('Données projet'!$B$12,Paramètres!$A$1:$I$89,3,0)*0.475*44/12</f>
        <v>0</v>
      </c>
      <c r="CM28" s="21">
        <f>EXP(-LN(2)/2)*CM27+(1-EXP(-LN(2)/2))/(LN(2)/2)*CG28*CJ28*VLOOKUP('Données projet'!$B$12,Paramètres!$A$1:$I$89,3,0)*0.475*44/12</f>
        <v>0</v>
      </c>
      <c r="CN28" s="22">
        <f t="shared" si="12"/>
        <v>0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15.007199999999996</v>
      </c>
      <c r="D29" s="11">
        <f t="shared" si="32"/>
        <v>5.0458048937074587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154.79512549528559</v>
      </c>
      <c r="H29" s="67">
        <f t="shared" si="1"/>
        <v>291.59231685654049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8.6</v>
      </c>
      <c r="N29" s="13">
        <f>IF('Données projet'!$A$36&gt;35,N28+M29-V28,IF(A29&lt;'Données projet'!$A$36,$K$205^A29,IF(A29='Données projet'!$A$36,'Données projet'!$B$36,N28+M29-V28)))</f>
        <v>208.59999999999994</v>
      </c>
      <c r="O29" s="13">
        <f>N29*VLOOKUP('Données projet'!$B$9,Paramètres!$A$1:$I$89,3,0)*VLOOKUP('Données projet'!$B$9,Paramètres!$A$1:$I$89,5,0)</f>
        <v>188.74127999999993</v>
      </c>
      <c r="P29" s="13">
        <f t="shared" si="33"/>
        <v>47.261560168122358</v>
      </c>
      <c r="Q29" s="20">
        <f t="shared" si="2"/>
        <v>411.03827995947967</v>
      </c>
      <c r="R29" s="59">
        <f t="shared" si="0"/>
        <v>699.48272440392407</v>
      </c>
      <c r="S29" s="59">
        <f ca="1">AVERAGE(OFFSET($R$3,0,0,'Données projet'!$E$9+1,1))-AVERAGE(OFFSET($H$3,0,0,'Données projet'!$E$9+1,1))</f>
        <v>336.59194805061094</v>
      </c>
      <c r="T29" s="59">
        <f t="shared" si="34"/>
        <v>473.66884161123909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0</v>
      </c>
      <c r="AA29" s="21">
        <f>EXP(-LN(2)/25)*AA28+(1-EXP(-LN(2)/25))/(LN(2)/25)*Calculateur!V29*Calculateur!X29*VLOOKUP('Données projet'!$B$9,Paramètres!$A$1:$I$89,3,0)*0.475*44/12</f>
        <v>0</v>
      </c>
      <c r="AB29" s="21">
        <f>EXP(-LN(2)/2)*AB28+(1-EXP(-LN(2)/2))/(LN(2)/2)*V29*Y29*VLOOKUP('Données projet'!$B$9,Paramètres!$A$1:$I$89,3,0)*0.475*44/12</f>
        <v>0</v>
      </c>
      <c r="AC29" s="22">
        <f t="shared" si="3"/>
        <v>0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14.2</v>
      </c>
      <c r="AI29" s="13">
        <f>IF('Données projet'!$A$62&gt;35,AI28+AH29-AQ28,IF(A29&lt;'Données projet'!$A$62,$AF$205^A29,IF(A29='Données projet'!$A$62,'Données projet'!$B$62,AI28+AH29-AQ28)))</f>
        <v>120.19999999999996</v>
      </c>
      <c r="AJ29" s="13">
        <f>AI29*VLOOKUP('Données projet'!$B$10,Paramètres!$A$1:$I$89,3,0)*VLOOKUP('Données projet'!$B$10,Paramètres!$A$1:$I$89,5,0)</f>
        <v>78.755039999999966</v>
      </c>
      <c r="AK29" s="13">
        <f t="shared" si="35"/>
        <v>21.832507629707017</v>
      </c>
      <c r="AL29" s="20">
        <f t="shared" si="4"/>
        <v>175.18997878840631</v>
      </c>
      <c r="AM29" s="59">
        <f t="shared" si="5"/>
        <v>463.63442323285074</v>
      </c>
      <c r="AN29" s="59">
        <f ca="1">AVERAGE(OFFSET($AM$3,0,0,'Données projet'!$E$10+1,1))-AVERAGE(OFFSET($H$3,0,0,'Données projet'!$E$10+1,1))</f>
        <v>244.66788784685366</v>
      </c>
      <c r="AO29" s="59">
        <f t="shared" si="36"/>
        <v>252.04429018409274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0</v>
      </c>
      <c r="AW29" s="21">
        <f>EXP(-LN(2)/2)*AW28+(1-EXP(-LN(2)/2))/(LN(2)/2)*AQ29*AT29*VLOOKUP('Données projet'!$B$10,Paramètres!$A$1:$I$89,3,0)*0.475*44/12</f>
        <v>0</v>
      </c>
      <c r="AX29" s="21">
        <f t="shared" si="6"/>
        <v>0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9.1999999999999993</v>
      </c>
      <c r="BD29" s="12">
        <f>IF('Données projet'!$A$88&gt;35,BD28+BC29-BL28,IF(A29&lt;'Données projet'!$A$88,$BA$205^A29,IF(A29='Données projet'!$A$88,'Données projet'!$B$88,BD28+BC29-BL28)))</f>
        <v>166.19999999999987</v>
      </c>
      <c r="BE29" s="13">
        <f>BD29*VLOOKUP('Données projet'!$B$11,Paramètres!$A$1:$I$89,3,0)*VLOOKUP('Données projet'!$B$11,Paramètres!$A$1:$I$89,5,0)</f>
        <v>158.15591999999987</v>
      </c>
      <c r="BF29" s="13">
        <f t="shared" si="37"/>
        <v>40.426297807059264</v>
      </c>
      <c r="BG29" s="20">
        <f t="shared" si="7"/>
        <v>345.86402934729466</v>
      </c>
      <c r="BH29" s="59">
        <f t="shared" si="8"/>
        <v>634.30847379173906</v>
      </c>
      <c r="BI29" s="59">
        <f ca="1">AVERAGE(OFFSET($BH$3,0,0,'Données projet'!$E$11+1,1))-AVERAGE(OFFSET($H$3,0,0,'Données projet'!$E$11+1,1))</f>
        <v>373.51596132356536</v>
      </c>
      <c r="BJ29" s="59">
        <f t="shared" si="38"/>
        <v>417.00150517020114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0</v>
      </c>
      <c r="BQ29" s="21">
        <f>EXP(-LN(2)/25)*BQ28+(1-EXP(-LN(2)/25))/(LN(2)/25)*Calculateur!BL29*Calculateur!BN29*VLOOKUP('Données projet'!$B$11,Paramètres!$A$1:$I$89,3,0)*0.475*44/12</f>
        <v>0</v>
      </c>
      <c r="BR29" s="21">
        <f>EXP(-LN(2)/2)*BR28+(1-EXP(-LN(2)/2))/(LN(2)/2)*BL29*BO29*VLOOKUP('Données projet'!$B$11,Paramètres!$A$1:$I$89,3,0)*0.475*44/12</f>
        <v>0</v>
      </c>
      <c r="BS29" s="22">
        <f t="shared" si="9"/>
        <v>0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7</v>
      </c>
      <c r="BY29" s="12">
        <f>IF('Données projet'!$A$114&gt;35,BY28+BX29-CG28,IF(A29&lt;'Données projet'!$A$114,$BV$205^A29,IF(A29='Données projet'!$A$114,'Données projet'!$B$114,BY28+BX29-CG28)))</f>
        <v>69</v>
      </c>
      <c r="BZ29" s="13">
        <f>BY29*VLOOKUP('Données projet'!$B$12,Paramètres!$A$1:$I$89,3,0)*VLOOKUP('Données projet'!$B$12,Paramètres!$A$1:$I$89,5,0)</f>
        <v>62.431199999999997</v>
      </c>
      <c r="CA29" s="13">
        <f t="shared" si="39"/>
        <v>17.781524466058684</v>
      </c>
      <c r="CB29" s="20">
        <f t="shared" si="10"/>
        <v>139.70382844505221</v>
      </c>
      <c r="CC29" s="59">
        <f t="shared" si="11"/>
        <v>428.14827288949664</v>
      </c>
      <c r="CD29" s="59">
        <f ca="1">AVERAGE(OFFSET($CC$3,0,0,'Données projet'!$E$12+1,1))-AVERAGE(OFFSET($H$3,0,0,'Données projet'!$E$12+1,1))</f>
        <v>289.19622253646992</v>
      </c>
      <c r="CE29" s="59">
        <f t="shared" si="40"/>
        <v>191.23827338431175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>
        <f>EXP(-LN(2)/35)*CK28+(1-EXP(-LN(2)/35))/(LN(2)/35)*CG29*CH29*VLOOKUP('Données projet'!$B$12,Paramètres!$A$1:$I$89,3,0)*0.475*44/12</f>
        <v>0</v>
      </c>
      <c r="CL29" s="21">
        <f>EXP(-LN(2)/25)*CL28+(1-EXP(-LN(2)/25))/(LN(2)/25)*Calculateur!CG29*Calculateur!CI29*VLOOKUP('Données projet'!$B$12,Paramètres!$A$1:$I$89,3,0)*0.475*44/12</f>
        <v>0</v>
      </c>
      <c r="CM29" s="21">
        <f>EXP(-LN(2)/2)*CM28+(1-EXP(-LN(2)/2))/(LN(2)/2)*CG29*CJ29*VLOOKUP('Données projet'!$B$12,Paramètres!$A$1:$I$89,3,0)*0.475*44/12</f>
        <v>0</v>
      </c>
      <c r="CN29" s="22">
        <f t="shared" si="12"/>
        <v>0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15.584399999999995</v>
      </c>
      <c r="D30" s="11">
        <f t="shared" si="32"/>
        <v>5.2169061663227199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160.57148619617533</v>
      </c>
      <c r="H30" s="67">
        <f t="shared" si="1"/>
        <v>292.89560823967872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8.6</v>
      </c>
      <c r="N30" s="13">
        <f>IF('Données projet'!$A$36&gt;35,N29+M30-V29,IF(A30&lt;'Données projet'!$A$36,$K$205^A30,IF(A30='Données projet'!$A$36,'Données projet'!$B$36,N29+M30-V29)))</f>
        <v>217.19999999999993</v>
      </c>
      <c r="O30" s="13">
        <f>N30*VLOOKUP('Données projet'!$B$9,Paramètres!$A$1:$I$89,3,0)*VLOOKUP('Données projet'!$B$9,Paramètres!$A$1:$I$89,5,0)</f>
        <v>196.52255999999994</v>
      </c>
      <c r="P30" s="13">
        <f t="shared" si="33"/>
        <v>48.979153257338155</v>
      </c>
      <c r="Q30" s="20">
        <f t="shared" si="2"/>
        <v>427.58215058986383</v>
      </c>
      <c r="R30" s="59">
        <f t="shared" si="0"/>
        <v>717.24881725653051</v>
      </c>
      <c r="S30" s="59">
        <f ca="1">AVERAGE(OFFSET($R$3,0,0,'Données projet'!$E$9+1,1))-AVERAGE(OFFSET($H$3,0,0,'Données projet'!$E$9+1,1))</f>
        <v>336.59194805061094</v>
      </c>
      <c r="T30" s="59">
        <f t="shared" si="34"/>
        <v>473.66884161123909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0</v>
      </c>
      <c r="AA30" s="21">
        <f>EXP(-LN(2)/25)*AA29+(1-EXP(-LN(2)/25))/(LN(2)/25)*Calculateur!V30*Calculateur!X30*VLOOKUP('Données projet'!$B$9,Paramètres!$A$1:$I$89,3,0)*0.475*44/12</f>
        <v>0</v>
      </c>
      <c r="AB30" s="21">
        <f>EXP(-LN(2)/2)*AB29+(1-EXP(-LN(2)/2))/(LN(2)/2)*V30*Y30*VLOOKUP('Données projet'!$B$9,Paramètres!$A$1:$I$89,3,0)*0.475*44/12</f>
        <v>0</v>
      </c>
      <c r="AC30" s="22">
        <f t="shared" si="3"/>
        <v>0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14.2</v>
      </c>
      <c r="AI30" s="13">
        <f>IF('Données projet'!$A$62&gt;35,AI29+AH30-AQ29,IF(A30&lt;'Données projet'!$A$62,$AF$205^A30,IF(A30='Données projet'!$A$62,'Données projet'!$B$62,AI29+AH30-AQ29)))</f>
        <v>134.39999999999995</v>
      </c>
      <c r="AJ30" s="13">
        <f>AI30*VLOOKUP('Données projet'!$B$10,Paramètres!$A$1:$I$89,3,0)*VLOOKUP('Données projet'!$B$10,Paramètres!$A$1:$I$89,5,0)</f>
        <v>88.058879999999974</v>
      </c>
      <c r="AK30" s="13">
        <f t="shared" si="35"/>
        <v>24.096481170231179</v>
      </c>
      <c r="AL30" s="20">
        <f t="shared" si="4"/>
        <v>195.33725403815257</v>
      </c>
      <c r="AM30" s="59">
        <f t="shared" si="5"/>
        <v>485.00392070481928</v>
      </c>
      <c r="AN30" s="59">
        <f ca="1">AVERAGE(OFFSET($AM$3,0,0,'Données projet'!$E$10+1,1))-AVERAGE(OFFSET($H$3,0,0,'Données projet'!$E$10+1,1))</f>
        <v>244.66788784685366</v>
      </c>
      <c r="AO30" s="59">
        <f t="shared" si="36"/>
        <v>252.04429018409274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0</v>
      </c>
      <c r="AW30" s="21">
        <f>EXP(-LN(2)/2)*AW29+(1-EXP(-LN(2)/2))/(LN(2)/2)*AQ30*AT30*VLOOKUP('Données projet'!$B$10,Paramètres!$A$1:$I$89,3,0)*0.475*44/12</f>
        <v>0</v>
      </c>
      <c r="AX30" s="21">
        <f t="shared" si="6"/>
        <v>0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9.1999999999999993</v>
      </c>
      <c r="BD30" s="12">
        <f>IF('Données projet'!$A$88&gt;35,BD29+BC30-BL29,IF(A30&lt;'Données projet'!$A$88,$BA$205^A30,IF(A30='Données projet'!$A$88,'Données projet'!$B$88,BD29+BC30-BL29)))</f>
        <v>175.39999999999986</v>
      </c>
      <c r="BE30" s="13">
        <f>BD30*VLOOKUP('Données projet'!$B$11,Paramètres!$A$1:$I$89,3,0)*VLOOKUP('Données projet'!$B$11,Paramètres!$A$1:$I$89,5,0)</f>
        <v>166.91063999999986</v>
      </c>
      <c r="BF30" s="13">
        <f t="shared" si="37"/>
        <v>42.397372914063425</v>
      </c>
      <c r="BG30" s="20">
        <f t="shared" si="7"/>
        <v>364.54478915866019</v>
      </c>
      <c r="BH30" s="59">
        <f t="shared" si="8"/>
        <v>654.21145582532688</v>
      </c>
      <c r="BI30" s="59">
        <f ca="1">AVERAGE(OFFSET($BH$3,0,0,'Données projet'!$E$11+1,1))-AVERAGE(OFFSET($H$3,0,0,'Données projet'!$E$11+1,1))</f>
        <v>373.51596132356536</v>
      </c>
      <c r="BJ30" s="59">
        <f t="shared" si="38"/>
        <v>417.00150517020114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0</v>
      </c>
      <c r="BQ30" s="21">
        <f>EXP(-LN(2)/25)*BQ29+(1-EXP(-LN(2)/25))/(LN(2)/25)*Calculateur!BL30*Calculateur!BN30*VLOOKUP('Données projet'!$B$11,Paramètres!$A$1:$I$89,3,0)*0.475*44/12</f>
        <v>0</v>
      </c>
      <c r="BR30" s="21">
        <f>EXP(-LN(2)/2)*BR29+(1-EXP(-LN(2)/2))/(LN(2)/2)*BL30*BO30*VLOOKUP('Données projet'!$B$11,Paramètres!$A$1:$I$89,3,0)*0.475*44/12</f>
        <v>0</v>
      </c>
      <c r="BS30" s="22">
        <f t="shared" si="9"/>
        <v>0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7</v>
      </c>
      <c r="BY30" s="12">
        <f>IF('Données projet'!$A$114&gt;35,BY29+BX30-CG29,IF(A30&lt;'Données projet'!$A$114,$BV$205^A30,IF(A30='Données projet'!$A$114,'Données projet'!$B$114,BY29+BX30-CG29)))</f>
        <v>76</v>
      </c>
      <c r="BZ30" s="13">
        <f>BY30*VLOOKUP('Données projet'!$B$12,Paramètres!$A$1:$I$89,3,0)*VLOOKUP('Données projet'!$B$12,Paramètres!$A$1:$I$89,5,0)</f>
        <v>68.764799999999994</v>
      </c>
      <c r="CA30" s="13">
        <f t="shared" si="39"/>
        <v>19.366396769521369</v>
      </c>
      <c r="CB30" s="20">
        <f t="shared" si="10"/>
        <v>153.49516770691636</v>
      </c>
      <c r="CC30" s="59">
        <f t="shared" si="11"/>
        <v>443.16183437358302</v>
      </c>
      <c r="CD30" s="59">
        <f ca="1">AVERAGE(OFFSET($CC$3,0,0,'Données projet'!$E$12+1,1))-AVERAGE(OFFSET($H$3,0,0,'Données projet'!$E$12+1,1))</f>
        <v>289.19622253646992</v>
      </c>
      <c r="CE30" s="59">
        <f t="shared" si="40"/>
        <v>191.23827338431175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>
        <f>EXP(-LN(2)/35)*CK29+(1-EXP(-LN(2)/35))/(LN(2)/35)*CG30*CH30*VLOOKUP('Données projet'!$B$12,Paramètres!$A$1:$I$89,3,0)*0.475*44/12</f>
        <v>0</v>
      </c>
      <c r="CL30" s="21">
        <f>EXP(-LN(2)/25)*CL29+(1-EXP(-LN(2)/25))/(LN(2)/25)*Calculateur!CG30*Calculateur!CI30*VLOOKUP('Données projet'!$B$12,Paramètres!$A$1:$I$89,3,0)*0.475*44/12</f>
        <v>0</v>
      </c>
      <c r="CM30" s="21">
        <f>EXP(-LN(2)/2)*CM29+(1-EXP(-LN(2)/2))/(LN(2)/2)*CG30*CJ30*VLOOKUP('Données projet'!$B$12,Paramètres!$A$1:$I$89,3,0)*0.475*44/12</f>
        <v>0</v>
      </c>
      <c r="CN30" s="22">
        <f t="shared" si="12"/>
        <v>0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16.161599999999996</v>
      </c>
      <c r="D31" s="11">
        <f t="shared" si="32"/>
        <v>5.3872712122842215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166.34216374394836</v>
      </c>
      <c r="H31" s="67">
        <f t="shared" si="1"/>
        <v>294.19761736139503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8.6</v>
      </c>
      <c r="N31" s="13">
        <f>IF('Données projet'!$A$36&gt;35,N30+M31-V30,IF(A31&lt;'Données projet'!$A$36,$K$205^A31,IF(A31='Données projet'!$A$36,'Données projet'!$B$36,N30+M31-V30)))</f>
        <v>225.79999999999993</v>
      </c>
      <c r="O31" s="13">
        <f>N31*VLOOKUP('Données projet'!$B$9,Paramètres!$A$1:$I$89,3,0)*VLOOKUP('Données projet'!$B$9,Paramètres!$A$1:$I$89,5,0)</f>
        <v>204.30383999999992</v>
      </c>
      <c r="P31" s="13">
        <f t="shared" si="33"/>
        <v>50.688846269088558</v>
      </c>
      <c r="Q31" s="20">
        <f t="shared" si="2"/>
        <v>444.11226191866245</v>
      </c>
      <c r="R31" s="59">
        <f t="shared" si="0"/>
        <v>735.00115080755131</v>
      </c>
      <c r="S31" s="59">
        <f ca="1">AVERAGE(OFFSET($R$3,0,0,'Données projet'!$E$9+1,1))-AVERAGE(OFFSET($H$3,0,0,'Données projet'!$E$9+1,1))</f>
        <v>336.59194805061094</v>
      </c>
      <c r="T31" s="59">
        <f t="shared" si="34"/>
        <v>473.66884161123909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0</v>
      </c>
      <c r="AA31" s="21">
        <f>EXP(-LN(2)/25)*AA30+(1-EXP(-LN(2)/25))/(LN(2)/25)*Calculateur!V31*Calculateur!X31*VLOOKUP('Données projet'!$B$9,Paramètres!$A$1:$I$89,3,0)*0.475*44/12</f>
        <v>0</v>
      </c>
      <c r="AB31" s="21">
        <f>EXP(-LN(2)/2)*AB30+(1-EXP(-LN(2)/2))/(LN(2)/2)*V31*Y31*VLOOKUP('Données projet'!$B$9,Paramètres!$A$1:$I$89,3,0)*0.475*44/12</f>
        <v>0</v>
      </c>
      <c r="AC31" s="22">
        <f t="shared" si="3"/>
        <v>0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14.2</v>
      </c>
      <c r="AI31" s="13">
        <f>IF('Données projet'!$A$62&gt;35,AI30+AH31-AQ30,IF(A31&lt;'Données projet'!$A$62,$AF$205^A31,IF(A31='Données projet'!$A$62,'Données projet'!$B$62,AI30+AH31-AQ30)))</f>
        <v>148.59999999999994</v>
      </c>
      <c r="AJ31" s="13">
        <f>AI31*VLOOKUP('Données projet'!$B$10,Paramètres!$A$1:$I$89,3,0)*VLOOKUP('Données projet'!$B$10,Paramètres!$A$1:$I$89,5,0)</f>
        <v>97.362719999999953</v>
      </c>
      <c r="AK31" s="13">
        <f t="shared" si="35"/>
        <v>26.332727987771989</v>
      </c>
      <c r="AL31" s="20">
        <f t="shared" si="4"/>
        <v>215.43623857870276</v>
      </c>
      <c r="AM31" s="59">
        <f t="shared" si="5"/>
        <v>506.32512746759164</v>
      </c>
      <c r="AN31" s="59">
        <f ca="1">AVERAGE(OFFSET($AM$3,0,0,'Données projet'!$E$10+1,1))-AVERAGE(OFFSET($H$3,0,0,'Données projet'!$E$10+1,1))</f>
        <v>244.66788784685366</v>
      </c>
      <c r="AO31" s="59">
        <f t="shared" si="36"/>
        <v>252.04429018409274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0</v>
      </c>
      <c r="AW31" s="21">
        <f>EXP(-LN(2)/2)*AW30+(1-EXP(-LN(2)/2))/(LN(2)/2)*AQ31*AT31*VLOOKUP('Données projet'!$B$10,Paramètres!$A$1:$I$89,3,0)*0.475*44/12</f>
        <v>0</v>
      </c>
      <c r="AX31" s="21">
        <f t="shared" si="6"/>
        <v>0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9.1999999999999993</v>
      </c>
      <c r="BD31" s="12">
        <f>IF('Données projet'!$A$88&gt;35,BD30+BC31-BL30,IF(A31&lt;'Données projet'!$A$88,$BA$205^A31,IF(A31='Données projet'!$A$88,'Données projet'!$B$88,BD30+BC31-BL30)))</f>
        <v>184.59999999999985</v>
      </c>
      <c r="BE31" s="13">
        <f>BD31*VLOOKUP('Données projet'!$B$11,Paramètres!$A$1:$I$89,3,0)*VLOOKUP('Données projet'!$B$11,Paramètres!$A$1:$I$89,5,0)</f>
        <v>175.66535999999985</v>
      </c>
      <c r="BF31" s="13">
        <f t="shared" si="37"/>
        <v>44.356444750972841</v>
      </c>
      <c r="BG31" s="20">
        <f t="shared" si="7"/>
        <v>383.20464327461076</v>
      </c>
      <c r="BH31" s="59">
        <f t="shared" si="8"/>
        <v>674.09353216349962</v>
      </c>
      <c r="BI31" s="59">
        <f ca="1">AVERAGE(OFFSET($BH$3,0,0,'Données projet'!$E$11+1,1))-AVERAGE(OFFSET($H$3,0,0,'Données projet'!$E$11+1,1))</f>
        <v>373.51596132356536</v>
      </c>
      <c r="BJ31" s="59">
        <f t="shared" si="38"/>
        <v>417.00150517020114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0</v>
      </c>
      <c r="BQ31" s="21">
        <f>EXP(-LN(2)/25)*BQ30+(1-EXP(-LN(2)/25))/(LN(2)/25)*Calculateur!BL31*Calculateur!BN31*VLOOKUP('Données projet'!$B$11,Paramètres!$A$1:$I$89,3,0)*0.475*44/12</f>
        <v>0</v>
      </c>
      <c r="BR31" s="21">
        <f>EXP(-LN(2)/2)*BR30+(1-EXP(-LN(2)/2))/(LN(2)/2)*BL31*BO31*VLOOKUP('Données projet'!$B$11,Paramètres!$A$1:$I$89,3,0)*0.475*44/12</f>
        <v>0</v>
      </c>
      <c r="BS31" s="22">
        <f t="shared" si="9"/>
        <v>0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7</v>
      </c>
      <c r="BY31" s="12">
        <f>IF('Données projet'!$A$114&gt;35,BY30+BX31-CG30,IF(A31&lt;'Données projet'!$A$114,$BV$205^A31,IF(A31='Données projet'!$A$114,'Données projet'!$B$114,BY30+BX31-CG30)))</f>
        <v>83</v>
      </c>
      <c r="BZ31" s="13">
        <f>BY31*VLOOKUP('Données projet'!$B$12,Paramètres!$A$1:$I$89,3,0)*VLOOKUP('Données projet'!$B$12,Paramètres!$A$1:$I$89,5,0)</f>
        <v>75.098399999999998</v>
      </c>
      <c r="CA31" s="13">
        <f t="shared" si="39"/>
        <v>20.934343091450742</v>
      </c>
      <c r="CB31" s="20">
        <f t="shared" si="10"/>
        <v>167.25702755094335</v>
      </c>
      <c r="CC31" s="59">
        <f t="shared" si="11"/>
        <v>458.14591643983221</v>
      </c>
      <c r="CD31" s="59">
        <f ca="1">AVERAGE(OFFSET($CC$3,0,0,'Données projet'!$E$12+1,1))-AVERAGE(OFFSET($H$3,0,0,'Données projet'!$E$12+1,1))</f>
        <v>289.19622253646992</v>
      </c>
      <c r="CE31" s="59">
        <f t="shared" si="40"/>
        <v>191.23827338431175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>
        <f>EXP(-LN(2)/35)*CK30+(1-EXP(-LN(2)/35))/(LN(2)/35)*CG31*CH31*VLOOKUP('Données projet'!$B$12,Paramètres!$A$1:$I$89,3,0)*0.475*44/12</f>
        <v>0</v>
      </c>
      <c r="CL31" s="21">
        <f>EXP(-LN(2)/25)*CL30+(1-EXP(-LN(2)/25))/(LN(2)/25)*Calculateur!CG31*Calculateur!CI31*VLOOKUP('Données projet'!$B$12,Paramètres!$A$1:$I$89,3,0)*0.475*44/12</f>
        <v>0</v>
      </c>
      <c r="CM31" s="21">
        <f>EXP(-LN(2)/2)*CM30+(1-EXP(-LN(2)/2))/(LN(2)/2)*CG31*CJ31*VLOOKUP('Données projet'!$B$12,Paramètres!$A$1:$I$89,3,0)*0.475*44/12</f>
        <v>0</v>
      </c>
      <c r="CN31" s="22">
        <f t="shared" si="12"/>
        <v>0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16.738799999999998</v>
      </c>
      <c r="D32" s="11">
        <f t="shared" si="32"/>
        <v>5.5569293377386115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172.10738436149106</v>
      </c>
      <c r="H32" s="67">
        <f t="shared" si="1"/>
        <v>295.49839526322808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8.6</v>
      </c>
      <c r="N32" s="13">
        <f>IF('Données projet'!$A$36&gt;35,N31+M32-V31,IF(A32&lt;'Données projet'!$A$36,$K$205^A32,IF(A32='Données projet'!$A$36,'Données projet'!$B$36,N31+M32-V31)))</f>
        <v>234.39999999999992</v>
      </c>
      <c r="O32" s="13">
        <f>N32*VLOOKUP('Données projet'!$B$9,Paramètres!$A$1:$I$89,3,0)*VLOOKUP('Données projet'!$B$9,Paramètres!$A$1:$I$89,5,0)</f>
        <v>212.0851199999999</v>
      </c>
      <c r="P32" s="13">
        <f t="shared" si="33"/>
        <v>52.390974537063038</v>
      </c>
      <c r="Q32" s="20">
        <f t="shared" si="2"/>
        <v>460.62919798538456</v>
      </c>
      <c r="R32" s="59">
        <f t="shared" si="0"/>
        <v>752.74030909649571</v>
      </c>
      <c r="S32" s="59">
        <f ca="1">AVERAGE(OFFSET($R$3,0,0,'Données projet'!$E$9+1,1))-AVERAGE(OFFSET($H$3,0,0,'Données projet'!$E$9+1,1))</f>
        <v>336.59194805061094</v>
      </c>
      <c r="T32" s="59">
        <f t="shared" si="34"/>
        <v>473.66884161123909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0</v>
      </c>
      <c r="AA32" s="21">
        <f>EXP(-LN(2)/25)*AA31+(1-EXP(-LN(2)/25))/(LN(2)/25)*Calculateur!V32*Calculateur!X32*VLOOKUP('Données projet'!$B$9,Paramètres!$A$1:$I$89,3,0)*0.475*44/12</f>
        <v>0</v>
      </c>
      <c r="AB32" s="21">
        <f>EXP(-LN(2)/2)*AB31+(1-EXP(-LN(2)/2))/(LN(2)/2)*V32*Y32*VLOOKUP('Données projet'!$B$9,Paramètres!$A$1:$I$89,3,0)*0.475*44/12</f>
        <v>0</v>
      </c>
      <c r="AC32" s="22">
        <f t="shared" si="3"/>
        <v>0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14.2</v>
      </c>
      <c r="AI32" s="13">
        <f>IF('Données projet'!$A$62&gt;35,AI31+AH32-AQ31,IF(A32&lt;'Données projet'!$A$62,$AF$205^A32,IF(A32='Données projet'!$A$62,'Données projet'!$B$62,AI31+AH32-AQ31)))</f>
        <v>162.79999999999993</v>
      </c>
      <c r="AJ32" s="13">
        <f>AI32*VLOOKUP('Données projet'!$B$10,Paramètres!$A$1:$I$89,3,0)*VLOOKUP('Données projet'!$B$10,Paramètres!$A$1:$I$89,5,0)</f>
        <v>106.66655999999995</v>
      </c>
      <c r="AK32" s="13">
        <f t="shared" si="35"/>
        <v>28.544199055651799</v>
      </c>
      <c r="AL32" s="20">
        <f t="shared" si="4"/>
        <v>235.49207202192679</v>
      </c>
      <c r="AM32" s="59">
        <f t="shared" si="5"/>
        <v>527.60318313303787</v>
      </c>
      <c r="AN32" s="59">
        <f ca="1">AVERAGE(OFFSET($AM$3,0,0,'Données projet'!$E$10+1,1))-AVERAGE(OFFSET($H$3,0,0,'Données projet'!$E$10+1,1))</f>
        <v>244.66788784685366</v>
      </c>
      <c r="AO32" s="59">
        <f t="shared" si="36"/>
        <v>252.04429018409274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0</v>
      </c>
      <c r="AW32" s="21">
        <f>EXP(-LN(2)/2)*AW31+(1-EXP(-LN(2)/2))/(LN(2)/2)*AQ32*AT32*VLOOKUP('Données projet'!$B$10,Paramètres!$A$1:$I$89,3,0)*0.475*44/12</f>
        <v>0</v>
      </c>
      <c r="AX32" s="21">
        <f t="shared" si="6"/>
        <v>0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9.1999999999999993</v>
      </c>
      <c r="BD32" s="12">
        <f>IF('Données projet'!$A$88&gt;35,BD31+BC32-BL31,IF(A32&lt;'Données projet'!$A$88,$BA$205^A32,IF(A32='Données projet'!$A$88,'Données projet'!$B$88,BD31+BC32-BL31)))</f>
        <v>193.79999999999984</v>
      </c>
      <c r="BE32" s="13">
        <f>BD32*VLOOKUP('Données projet'!$B$11,Paramètres!$A$1:$I$89,3,0)*VLOOKUP('Données projet'!$B$11,Paramètres!$A$1:$I$89,5,0)</f>
        <v>184.42007999999987</v>
      </c>
      <c r="BF32" s="13">
        <f t="shared" si="37"/>
        <v>46.304179794239104</v>
      </c>
      <c r="BG32" s="20">
        <f t="shared" si="7"/>
        <v>401.84475247496613</v>
      </c>
      <c r="BH32" s="59">
        <f t="shared" si="8"/>
        <v>693.95586358607727</v>
      </c>
      <c r="BI32" s="59">
        <f ca="1">AVERAGE(OFFSET($BH$3,0,0,'Données projet'!$E$11+1,1))-AVERAGE(OFFSET($H$3,0,0,'Données projet'!$E$11+1,1))</f>
        <v>373.51596132356536</v>
      </c>
      <c r="BJ32" s="59">
        <f t="shared" si="38"/>
        <v>417.00150517020114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0</v>
      </c>
      <c r="BQ32" s="21">
        <f>EXP(-LN(2)/25)*BQ31+(1-EXP(-LN(2)/25))/(LN(2)/25)*Calculateur!BL32*Calculateur!BN32*VLOOKUP('Données projet'!$B$11,Paramètres!$A$1:$I$89,3,0)*0.475*44/12</f>
        <v>0</v>
      </c>
      <c r="BR32" s="21">
        <f>EXP(-LN(2)/2)*BR31+(1-EXP(-LN(2)/2))/(LN(2)/2)*BL32*BO32*VLOOKUP('Données projet'!$B$11,Paramètres!$A$1:$I$89,3,0)*0.475*44/12</f>
        <v>0</v>
      </c>
      <c r="BS32" s="22">
        <f t="shared" si="9"/>
        <v>0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7</v>
      </c>
      <c r="BY32" s="12">
        <f>IF('Données projet'!$A$114&gt;35,BY31+BX32-CG31,IF(A32&lt;'Données projet'!$A$114,$BV$205^A32,IF(A32='Données projet'!$A$114,'Données projet'!$B$114,BY31+BX32-CG31)))</f>
        <v>90</v>
      </c>
      <c r="BZ32" s="13">
        <f>BY32*VLOOKUP('Données projet'!$B$12,Paramètres!$A$1:$I$89,3,0)*VLOOKUP('Données projet'!$B$12,Paramètres!$A$1:$I$89,5,0)</f>
        <v>81.432000000000002</v>
      </c>
      <c r="CA32" s="13">
        <f t="shared" si="39"/>
        <v>22.486953220240881</v>
      </c>
      <c r="CB32" s="20">
        <f t="shared" si="10"/>
        <v>180.99217685858619</v>
      </c>
      <c r="CC32" s="59">
        <f t="shared" si="11"/>
        <v>473.10328796969736</v>
      </c>
      <c r="CD32" s="59">
        <f ca="1">AVERAGE(OFFSET($CC$3,0,0,'Données projet'!$E$12+1,1))-AVERAGE(OFFSET($H$3,0,0,'Données projet'!$E$12+1,1))</f>
        <v>289.19622253646992</v>
      </c>
      <c r="CE32" s="59">
        <f t="shared" si="40"/>
        <v>191.23827338431175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>
        <f>EXP(-LN(2)/35)*CK31+(1-EXP(-LN(2)/35))/(LN(2)/35)*CG32*CH32*VLOOKUP('Données projet'!$B$12,Paramètres!$A$1:$I$89,3,0)*0.475*44/12</f>
        <v>0</v>
      </c>
      <c r="CL32" s="21">
        <f>EXP(-LN(2)/25)*CL31+(1-EXP(-LN(2)/25))/(LN(2)/25)*Calculateur!CG32*Calculateur!CI32*VLOOKUP('Données projet'!$B$12,Paramètres!$A$1:$I$89,3,0)*0.475*44/12</f>
        <v>0</v>
      </c>
      <c r="CM32" s="21">
        <f>EXP(-LN(2)/2)*CM31+(1-EXP(-LN(2)/2))/(LN(2)/2)*CG32*CJ32*VLOOKUP('Données projet'!$B$12,Paramètres!$A$1:$I$89,3,0)*0.475*44/12</f>
        <v>0</v>
      </c>
      <c r="CN32" s="22">
        <f t="shared" si="12"/>
        <v>0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17.315999999999999</v>
      </c>
      <c r="D33" s="11">
        <f t="shared" si="32"/>
        <v>5.7259077130880893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177.86735778524135</v>
      </c>
      <c r="H33" s="67">
        <f t="shared" si="1"/>
        <v>296.79798926696179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243</v>
      </c>
      <c r="L33" s="12">
        <f>VLOOKUP(A33,'Données projet'!$A$35:$I$55,9,0)</f>
        <v>8.6</v>
      </c>
      <c r="M33" s="12">
        <f t="array" ref="M33">INDEX(L:L,MIN(IF(ISNUMBER(L33:L229),ROW(L33:L229),"")))</f>
        <v>8.6</v>
      </c>
      <c r="N33" s="13">
        <f>IF('Données projet'!$A$36&gt;35,N32+M33-V32,IF(A33&lt;'Données projet'!$A$36,$K$205^A33,IF(A33='Données projet'!$A$36,'Données projet'!$B$36,N32+M33-V32)))</f>
        <v>242.99999999999991</v>
      </c>
      <c r="O33" s="13">
        <f>N33*VLOOKUP('Données projet'!$B$9,Paramètres!$A$1:$I$89,3,0)*VLOOKUP('Données projet'!$B$9,Paramètres!$A$1:$I$89,5,0)</f>
        <v>219.86639999999991</v>
      </c>
      <c r="P33" s="13">
        <f t="shared" si="33"/>
        <v>54.085847394182416</v>
      </c>
      <c r="Q33" s="20">
        <f t="shared" si="2"/>
        <v>477.13349754486757</v>
      </c>
      <c r="R33" s="59">
        <f t="shared" si="0"/>
        <v>770.46683087820088</v>
      </c>
      <c r="S33" s="59">
        <f ca="1">AVERAGE(OFFSET($R$3,0,0,'Données projet'!$E$9+1,1))-AVERAGE(OFFSET($H$3,0,0,'Données projet'!$E$9+1,1))</f>
        <v>336.59194805061094</v>
      </c>
      <c r="T33" s="59">
        <f t="shared" si="34"/>
        <v>473.66884161123909</v>
      </c>
      <c r="U33" s="15">
        <f>IF(ISNA(VLOOKUP(A33,'Données projet'!$A$35:$I$55,3,0)),0,VLOOKUP(A33,'Données projet'!$A$35:$I$55,3,0))</f>
        <v>6</v>
      </c>
      <c r="V33" s="15">
        <f>IF(ISNA(VLOOKUP(A33,'Données projet'!$A$35:$I$55,4,0)),0,VLOOKUP(A33,'Données projet'!$A$35:$I$55,4,0))</f>
        <v>11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0</v>
      </c>
      <c r="AA33" s="21">
        <f>EXP(-LN(2)/25)*AA32+(1-EXP(-LN(2)/25))/(LN(2)/25)*Calculateur!V33*Calculateur!X33*VLOOKUP('Données projet'!$B$9,Paramètres!$A$1:$I$89,3,0)*0.475*44/12</f>
        <v>0</v>
      </c>
      <c r="AB33" s="21">
        <f>EXP(-LN(2)/2)*AB32+(1-EXP(-LN(2)/2))/(LN(2)/2)*V33*Y33*VLOOKUP('Données projet'!$B$9,Paramètres!$A$1:$I$89,3,0)*0.475*44/12</f>
        <v>0</v>
      </c>
      <c r="AC33" s="22">
        <f t="shared" si="3"/>
        <v>0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177</v>
      </c>
      <c r="AG33" s="12">
        <f>VLOOKUP(A33,'Données projet'!$A$61:$I$81,9,0)</f>
        <v>14.2</v>
      </c>
      <c r="AH33" s="12">
        <f t="array" ref="AH33">INDEX(AG:AG,MIN(IF(ISNUMBER(AG33:AG229),ROW(AG33:AG229),"")))</f>
        <v>14.2</v>
      </c>
      <c r="AI33" s="13">
        <f>IF('Données projet'!$A$62&gt;35,AI32+AH33-AQ32,IF(A33&lt;'Données projet'!$A$62,$AF$205^A33,IF(A33='Données projet'!$A$62,'Données projet'!$B$62,AI32+AH33-AQ32)))</f>
        <v>176.99999999999991</v>
      </c>
      <c r="AJ33" s="13">
        <f>AI33*VLOOKUP('Données projet'!$B$10,Paramètres!$A$1:$I$89,3,0)*VLOOKUP('Données projet'!$B$10,Paramètres!$A$1:$I$89,5,0)</f>
        <v>115.97039999999994</v>
      </c>
      <c r="AK33" s="13">
        <f t="shared" si="35"/>
        <v>30.733301120222766</v>
      </c>
      <c r="AL33" s="20">
        <f t="shared" si="4"/>
        <v>255.50894611772119</v>
      </c>
      <c r="AM33" s="59">
        <f t="shared" si="5"/>
        <v>548.84227945105454</v>
      </c>
      <c r="AN33" s="59">
        <f ca="1">AVERAGE(OFFSET($AM$3,0,0,'Données projet'!$E$10+1,1))-AVERAGE(OFFSET($H$3,0,0,'Données projet'!$E$10+1,1))</f>
        <v>244.66788784685366</v>
      </c>
      <c r="AO33" s="59">
        <f t="shared" si="36"/>
        <v>252.04429018409274</v>
      </c>
      <c r="AP33" s="15">
        <f>IF(ISNA(VLOOKUP(A33,'Données projet'!$A$61:$I$81,3,0)),0,VLOOKUP(A33,'Données projet'!$A$61:$I$81,3,0))</f>
        <v>4</v>
      </c>
      <c r="AQ33" s="15">
        <f>IF(ISNA(VLOOKUP(A33,'Données projet'!$A$61:$I$81,4,0)),0,VLOOKUP(A33,'Données projet'!$A$61:$I$81,4,0))</f>
        <v>35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0</v>
      </c>
      <c r="AV33" s="21">
        <f>EXP(-LN(2)/25)*AV32+(1-EXP(-LN(2)/25))/(LN(2)/25)*Calculateur!AQ33*Calculateur!AS33*VLOOKUP('Données projet'!$B$10,Paramètres!$A$1:$I$89,3,0)*0.475*44/12</f>
        <v>0</v>
      </c>
      <c r="AW33" s="21">
        <f>EXP(-LN(2)/2)*AW32+(1-EXP(-LN(2)/2))/(LN(2)/2)*AQ33*AT33*VLOOKUP('Données projet'!$B$10,Paramètres!$A$1:$I$89,3,0)*0.475*44/12</f>
        <v>0</v>
      </c>
      <c r="AX33" s="21">
        <f t="shared" si="6"/>
        <v>0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>
        <f>VLOOKUP(A33,'Données projet'!$A$87:$I$107,2,0)</f>
        <v>203</v>
      </c>
      <c r="BB33" s="12">
        <f>VLOOKUP(A33,'Données projet'!$A$87:$I$107,9,0)</f>
        <v>9.1999999999999993</v>
      </c>
      <c r="BC33" s="12">
        <f t="array" ref="BC33">INDEX(BB:BB,MIN(IF(ISNUMBER(BB33:BB229),ROW(BB33:BB229),"")))</f>
        <v>9.1999999999999993</v>
      </c>
      <c r="BD33" s="12">
        <f>IF('Données projet'!$A$88&gt;35,BD32+BC33-BL32,IF(A33&lt;'Données projet'!$A$88,$BA$205^A33,IF(A33='Données projet'!$A$88,'Données projet'!$B$88,BD32+BC33-BL32)))</f>
        <v>202.99999999999983</v>
      </c>
      <c r="BE33" s="13">
        <f>BD33*VLOOKUP('Données projet'!$B$11,Paramètres!$A$1:$I$89,3,0)*VLOOKUP('Données projet'!$B$11,Paramètres!$A$1:$I$89,5,0)</f>
        <v>193.17479999999986</v>
      </c>
      <c r="BF33" s="13">
        <f t="shared" si="37"/>
        <v>48.241177667270769</v>
      </c>
      <c r="BG33" s="20">
        <f t="shared" si="7"/>
        <v>420.46616110382962</v>
      </c>
      <c r="BH33" s="59">
        <f t="shared" si="8"/>
        <v>713.79949443716293</v>
      </c>
      <c r="BI33" s="59">
        <f ca="1">AVERAGE(OFFSET($BH$3,0,0,'Données projet'!$E$11+1,1))-AVERAGE(OFFSET($H$3,0,0,'Données projet'!$E$11+1,1))</f>
        <v>373.51596132356536</v>
      </c>
      <c r="BJ33" s="59">
        <f t="shared" si="38"/>
        <v>417.00150517020114</v>
      </c>
      <c r="BK33" s="15">
        <f>IF(ISNA(VLOOKUP(A33,'Données projet'!$A$87:$I$107,3,0)),0,VLOOKUP(A33,'Données projet'!$A$87:$I$107,3,0))</f>
        <v>5</v>
      </c>
      <c r="BL33" s="15">
        <f>IF(ISNA(VLOOKUP(A33,'Données projet'!$A$87:$I$107,4,0)),0,VLOOKUP(A33,'Données projet'!$A$87:$I$107,4,0))</f>
        <v>27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>
        <f>EXP(-LN(2)/35)*BP32+(1-EXP(-LN(2)/35))/(LN(2)/35)*BL33*BM33*VLOOKUP('Données projet'!$B$11,Paramètres!$A$1:$I$89,3,0)*0.475*44/12</f>
        <v>0</v>
      </c>
      <c r="BQ33" s="21">
        <f>EXP(-LN(2)/25)*BQ32+(1-EXP(-LN(2)/25))/(LN(2)/25)*Calculateur!BL33*Calculateur!BN33*VLOOKUP('Données projet'!$B$11,Paramètres!$A$1:$I$89,3,0)*0.475*44/12</f>
        <v>0</v>
      </c>
      <c r="BR33" s="21">
        <f>EXP(-LN(2)/2)*BR32+(1-EXP(-LN(2)/2))/(LN(2)/2)*BL33*BO33*VLOOKUP('Données projet'!$B$11,Paramètres!$A$1:$I$89,3,0)*0.475*44/12</f>
        <v>0</v>
      </c>
      <c r="BS33" s="22">
        <f t="shared" si="9"/>
        <v>0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>
        <f>VLOOKUP(A33,'Données projet'!$A$113:$I$133,2,0)</f>
        <v>97</v>
      </c>
      <c r="BW33" s="12">
        <f>VLOOKUP(A33,'Données projet'!$A$113:$I$133,9,0)</f>
        <v>7</v>
      </c>
      <c r="BX33" s="12">
        <f t="array" ref="BX33">INDEX(BW:BW,MIN(IF(ISNUMBER(BW33:BW229),ROW(BW33:BW229),"")))</f>
        <v>7</v>
      </c>
      <c r="BY33" s="12">
        <f>IF('Données projet'!$A$114&gt;35,BY32+BX33-CG32,IF(A33&lt;'Données projet'!$A$114,$BV$205^A33,IF(A33='Données projet'!$A$114,'Données projet'!$B$114,BY32+BX33-CG32)))</f>
        <v>97</v>
      </c>
      <c r="BZ33" s="13">
        <f>BY33*VLOOKUP('Données projet'!$B$12,Paramètres!$A$1:$I$89,3,0)*VLOOKUP('Données projet'!$B$12,Paramètres!$A$1:$I$89,5,0)</f>
        <v>87.765600000000006</v>
      </c>
      <c r="CA33" s="13">
        <f t="shared" si="39"/>
        <v>24.025555589247954</v>
      </c>
      <c r="CB33" s="20">
        <f t="shared" si="10"/>
        <v>194.7029293179402</v>
      </c>
      <c r="CC33" s="59">
        <f t="shared" si="11"/>
        <v>488.03626265127355</v>
      </c>
      <c r="CD33" s="59">
        <f ca="1">AVERAGE(OFFSET($CC$3,0,0,'Données projet'!$E$12+1,1))-AVERAGE(OFFSET($H$3,0,0,'Données projet'!$E$12+1,1))</f>
        <v>289.19622253646992</v>
      </c>
      <c r="CE33" s="59">
        <f t="shared" si="40"/>
        <v>191.23827338431175</v>
      </c>
      <c r="CF33" s="15">
        <f>IF(ISNA(VLOOKUP(A33,'Données projet'!$A$113:$I$133,3,0)),0,VLOOKUP(A33,'Données projet'!$A$113:$I$133,3,0))</f>
        <v>2</v>
      </c>
      <c r="CG33" s="15">
        <f>IF(ISNA(VLOOKUP(A33,'Données projet'!$A$113:$I$133,4,0)),0,VLOOKUP(A33,'Données projet'!$A$113:$I$133,4,0))</f>
        <v>21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>
        <f>EXP(-LN(2)/35)*CK32+(1-EXP(-LN(2)/35))/(LN(2)/35)*CG33*CH33*VLOOKUP('Données projet'!$B$12,Paramètres!$A$1:$I$89,3,0)*0.475*44/12</f>
        <v>0</v>
      </c>
      <c r="CL33" s="21">
        <f>EXP(-LN(2)/25)*CL32+(1-EXP(-LN(2)/25))/(LN(2)/25)*Calculateur!CG33*Calculateur!CI33*VLOOKUP('Données projet'!$B$12,Paramètres!$A$1:$I$89,3,0)*0.475*44/12</f>
        <v>0</v>
      </c>
      <c r="CM33" s="21">
        <f>EXP(-LN(2)/2)*CM32+(1-EXP(-LN(2)/2))/(LN(2)/2)*CG33*CJ33*VLOOKUP('Données projet'!$B$12,Paramètres!$A$1:$I$89,3,0)*0.475*44/12</f>
        <v>0</v>
      </c>
      <c r="CN33" s="22">
        <f t="shared" si="12"/>
        <v>0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17.8932</v>
      </c>
      <c r="D34" s="11">
        <f t="shared" si="32"/>
        <v>5.8942315945894066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183.6222789757779</v>
      </c>
      <c r="H34" s="67">
        <f t="shared" si="1"/>
        <v>298.09644336057659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7</v>
      </c>
      <c r="N34" s="13">
        <f>IF('Données projet'!$A$36&gt;35,N33+M34-V33,IF(A34&lt;'Données projet'!$A$36,$K$205^A34,IF(A34='Données projet'!$A$36,'Données projet'!$B$36,N33+M34-V33)))</f>
        <v>238.99999999999991</v>
      </c>
      <c r="O34" s="13">
        <f>N34*VLOOKUP('Données projet'!$B$9,Paramètres!$A$1:$I$89,3,0)*VLOOKUP('Données projet'!$B$9,Paramètres!$A$1:$I$89,5,0)</f>
        <v>216.24719999999994</v>
      </c>
      <c r="P34" s="13">
        <f t="shared" si="33"/>
        <v>53.298418226645289</v>
      </c>
      <c r="Q34" s="20">
        <f t="shared" si="2"/>
        <v>469.45861841140703</v>
      </c>
      <c r="R34" s="59">
        <f t="shared" si="0"/>
        <v>762.79195174474035</v>
      </c>
      <c r="S34" s="59">
        <f ca="1">AVERAGE(OFFSET($R$3,0,0,'Données projet'!$E$9+1,1))-AVERAGE(OFFSET($H$3,0,0,'Données projet'!$E$9+1,1))</f>
        <v>336.59194805061094</v>
      </c>
      <c r="T34" s="59">
        <f t="shared" si="34"/>
        <v>473.66884161123909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0</v>
      </c>
      <c r="AA34" s="21">
        <f>EXP(-LN(2)/25)*AA33+(1-EXP(-LN(2)/25))/(LN(2)/25)*Calculateur!V34*Calculateur!X34*VLOOKUP('Données projet'!$B$9,Paramètres!$A$1:$I$89,3,0)*0.475*44/12</f>
        <v>0</v>
      </c>
      <c r="AB34" s="21">
        <f>EXP(-LN(2)/2)*AB33+(1-EXP(-LN(2)/2))/(LN(2)/2)*V34*Y34*VLOOKUP('Données projet'!$B$9,Paramètres!$A$1:$I$89,3,0)*0.475*44/12</f>
        <v>0</v>
      </c>
      <c r="AC34" s="22">
        <f t="shared" si="3"/>
        <v>0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12.8</v>
      </c>
      <c r="AI34" s="13">
        <f>IF('Données projet'!$A$62&gt;35,AI33+AH34-AQ33,IF(A34&lt;'Données projet'!$A$62,$AF$205^A34,IF(A34='Données projet'!$A$62,'Données projet'!$B$62,AI33+AH34-AQ33)))</f>
        <v>154.79999999999993</v>
      </c>
      <c r="AJ34" s="13">
        <f>AI34*VLOOKUP('Données projet'!$B$10,Paramètres!$A$1:$I$89,3,0)*VLOOKUP('Données projet'!$B$10,Paramètres!$A$1:$I$89,5,0)</f>
        <v>101.42495999999994</v>
      </c>
      <c r="AK34" s="13">
        <f t="shared" si="35"/>
        <v>27.301194562993881</v>
      </c>
      <c r="AL34" s="20">
        <f t="shared" si="4"/>
        <v>224.19805253054756</v>
      </c>
      <c r="AM34" s="59">
        <f t="shared" si="5"/>
        <v>517.53138586388081</v>
      </c>
      <c r="AN34" s="59">
        <f ca="1">AVERAGE(OFFSET($AM$3,0,0,'Données projet'!$E$10+1,1))-AVERAGE(OFFSET($H$3,0,0,'Données projet'!$E$10+1,1))</f>
        <v>244.66788784685366</v>
      </c>
      <c r="AO34" s="59">
        <f t="shared" si="36"/>
        <v>252.04429018409274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0</v>
      </c>
      <c r="AV34" s="21">
        <f>EXP(-LN(2)/25)*AV33+(1-EXP(-LN(2)/25))/(LN(2)/25)*Calculateur!AQ34*Calculateur!AS34*VLOOKUP('Données projet'!$B$10,Paramètres!$A$1:$I$89,3,0)*0.475*44/12</f>
        <v>0</v>
      </c>
      <c r="AW34" s="21">
        <f>EXP(-LN(2)/2)*AW33+(1-EXP(-LN(2)/2))/(LN(2)/2)*AQ34*AT34*VLOOKUP('Données projet'!$B$10,Paramètres!$A$1:$I$89,3,0)*0.475*44/12</f>
        <v>0</v>
      </c>
      <c r="AX34" s="21">
        <f t="shared" si="6"/>
        <v>0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8.6</v>
      </c>
      <c r="BD34" s="12">
        <f>IF('Données projet'!$A$88&gt;35,BD33+BC34-BL33,IF(A34&lt;'Données projet'!$A$88,$BA$205^A34,IF(A34='Données projet'!$A$88,'Données projet'!$B$88,BD33+BC34-BL33)))</f>
        <v>184.59999999999982</v>
      </c>
      <c r="BE34" s="13">
        <f>BD34*VLOOKUP('Données projet'!$B$11,Paramètres!$A$1:$I$89,3,0)*VLOOKUP('Données projet'!$B$11,Paramètres!$A$1:$I$89,5,0)</f>
        <v>175.66535999999985</v>
      </c>
      <c r="BF34" s="13">
        <f t="shared" si="37"/>
        <v>44.356444750972841</v>
      </c>
      <c r="BG34" s="20">
        <f t="shared" si="7"/>
        <v>383.20464327461076</v>
      </c>
      <c r="BH34" s="59">
        <f t="shared" si="8"/>
        <v>676.53797660794407</v>
      </c>
      <c r="BI34" s="59">
        <f ca="1">AVERAGE(OFFSET($BH$3,0,0,'Données projet'!$E$11+1,1))-AVERAGE(OFFSET($H$3,0,0,'Données projet'!$E$11+1,1))</f>
        <v>373.51596132356536</v>
      </c>
      <c r="BJ34" s="59">
        <f t="shared" si="38"/>
        <v>417.00150517020114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0</v>
      </c>
      <c r="BQ34" s="21">
        <f>EXP(-LN(2)/25)*BQ33+(1-EXP(-LN(2)/25))/(LN(2)/25)*Calculateur!BL34*Calculateur!BN34*VLOOKUP('Données projet'!$B$11,Paramètres!$A$1:$I$89,3,0)*0.475*44/12</f>
        <v>0</v>
      </c>
      <c r="BR34" s="21">
        <f>EXP(-LN(2)/2)*BR33+(1-EXP(-LN(2)/2))/(LN(2)/2)*BL34*BO34*VLOOKUP('Données projet'!$B$11,Paramètres!$A$1:$I$89,3,0)*0.475*44/12</f>
        <v>0</v>
      </c>
      <c r="BS34" s="22">
        <f t="shared" si="9"/>
        <v>0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8</v>
      </c>
      <c r="BY34" s="12">
        <f>IF('Données projet'!$A$114&gt;35,BY33+BX34-CG33,IF(A34&lt;'Données projet'!$A$114,$BV$205^A34,IF(A34='Données projet'!$A$114,'Données projet'!$B$114,BY33+BX34-CG33)))</f>
        <v>84</v>
      </c>
      <c r="BZ34" s="13">
        <f>BY34*VLOOKUP('Données projet'!$B$12,Paramètres!$A$1:$I$89,3,0)*VLOOKUP('Données projet'!$B$12,Paramètres!$A$1:$I$89,5,0)</f>
        <v>76.003200000000007</v>
      </c>
      <c r="CA34" s="13">
        <f t="shared" si="39"/>
        <v>21.157049992000456</v>
      </c>
      <c r="CB34" s="20">
        <f t="shared" si="10"/>
        <v>169.22076873606747</v>
      </c>
      <c r="CC34" s="59">
        <f t="shared" si="11"/>
        <v>462.55410206940076</v>
      </c>
      <c r="CD34" s="59">
        <f ca="1">AVERAGE(OFFSET($CC$3,0,0,'Données projet'!$E$12+1,1))-AVERAGE(OFFSET($H$3,0,0,'Données projet'!$E$12+1,1))</f>
        <v>289.19622253646992</v>
      </c>
      <c r="CE34" s="59">
        <f t="shared" si="40"/>
        <v>191.23827338431175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>
        <f>EXP(-LN(2)/35)*CK33+(1-EXP(-LN(2)/35))/(LN(2)/35)*CG34*CH34*VLOOKUP('Données projet'!$B$12,Paramètres!$A$1:$I$89,3,0)*0.475*44/12</f>
        <v>0</v>
      </c>
      <c r="CL34" s="21">
        <f>EXP(-LN(2)/25)*CL33+(1-EXP(-LN(2)/25))/(LN(2)/25)*Calculateur!CG34*Calculateur!CI34*VLOOKUP('Données projet'!$B$12,Paramètres!$A$1:$I$89,3,0)*0.475*44/12</f>
        <v>0</v>
      </c>
      <c r="CM34" s="21">
        <f>EXP(-LN(2)/2)*CM33+(1-EXP(-LN(2)/2))/(LN(2)/2)*CG34*CJ34*VLOOKUP('Données projet'!$B$12,Paramètres!$A$1:$I$89,3,0)*0.475*44/12</f>
        <v>0</v>
      </c>
      <c r="CN34" s="22">
        <f t="shared" si="12"/>
        <v>0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18.470400000000001</v>
      </c>
      <c r="D35" s="11">
        <f t="shared" si="32"/>
        <v>6.0619245165562869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189.37232960148711</v>
      </c>
      <c r="H35" s="67">
        <f t="shared" si="1"/>
        <v>299.39379853300221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7</v>
      </c>
      <c r="N35" s="13">
        <f>IF('Données projet'!$A$36&gt;35,N34+M35-V34,IF(A35&lt;'Données projet'!$A$36,$K$205^A35,IF(A35='Données projet'!$A$36,'Données projet'!$B$36,N34+M35-V34)))</f>
        <v>245.99999999999991</v>
      </c>
      <c r="O35" s="13">
        <f>N35*VLOOKUP('Données projet'!$B$9,Paramètres!$A$1:$I$89,3,0)*VLOOKUP('Données projet'!$B$9,Paramètres!$A$1:$I$89,5,0)</f>
        <v>222.58079999999993</v>
      </c>
      <c r="P35" s="13">
        <f t="shared" si="33"/>
        <v>54.675428546153199</v>
      </c>
      <c r="Q35" s="20">
        <f t="shared" ref="Q35:Q66" si="53">(O35+P35)*0.475*44/12</f>
        <v>482.88793138454997</v>
      </c>
      <c r="R35" s="59">
        <f t="shared" si="0"/>
        <v>776.22126471788329</v>
      </c>
      <c r="S35" s="59">
        <f ca="1">AVERAGE(OFFSET($R$3,0,0,'Données projet'!$E$9+1,1))-AVERAGE(OFFSET($H$3,0,0,'Données projet'!$E$9+1,1))</f>
        <v>336.59194805061094</v>
      </c>
      <c r="T35" s="59">
        <f t="shared" si="34"/>
        <v>473.66884161123909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0</v>
      </c>
      <c r="AA35" s="21">
        <f>EXP(-LN(2)/25)*AA34+(1-EXP(-LN(2)/25))/(LN(2)/25)*Calculateur!V35*Calculateur!X35*VLOOKUP('Données projet'!$B$9,Paramètres!$A$1:$I$89,3,0)*0.475*44/12</f>
        <v>0</v>
      </c>
      <c r="AB35" s="21">
        <f>EXP(-LN(2)/2)*AB34+(1-EXP(-LN(2)/2))/(LN(2)/2)*V35*Y35*VLOOKUP('Données projet'!$B$9,Paramètres!$A$1:$I$89,3,0)*0.475*44/12</f>
        <v>0</v>
      </c>
      <c r="AC35" s="22">
        <f t="shared" si="3"/>
        <v>0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12.8</v>
      </c>
      <c r="AI35" s="13">
        <f>IF('Données projet'!$A$62&gt;35,AI34+AH35-AQ34,IF(A35&lt;'Données projet'!$A$62,$AF$205^A35,IF(A35='Données projet'!$A$62,'Données projet'!$B$62,AI34+AH35-AQ34)))</f>
        <v>167.59999999999994</v>
      </c>
      <c r="AJ35" s="13">
        <f>AI35*VLOOKUP('Données projet'!$B$10,Paramètres!$A$1:$I$89,3,0)*VLOOKUP('Données projet'!$B$10,Paramètres!$A$1:$I$89,5,0)</f>
        <v>109.81151999999996</v>
      </c>
      <c r="AK35" s="13">
        <f t="shared" si="35"/>
        <v>29.286572783205639</v>
      </c>
      <c r="AL35" s="20">
        <f t="shared" si="4"/>
        <v>242.26251159741642</v>
      </c>
      <c r="AM35" s="59">
        <f t="shared" si="5"/>
        <v>535.59584493074976</v>
      </c>
      <c r="AN35" s="59">
        <f ca="1">AVERAGE(OFFSET($AM$3,0,0,'Données projet'!$E$10+1,1))-AVERAGE(OFFSET($H$3,0,0,'Données projet'!$E$10+1,1))</f>
        <v>244.66788784685366</v>
      </c>
      <c r="AO35" s="59">
        <f t="shared" si="36"/>
        <v>252.04429018409274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0</v>
      </c>
      <c r="AV35" s="21">
        <f>EXP(-LN(2)/25)*AV34+(1-EXP(-LN(2)/25))/(LN(2)/25)*Calculateur!AQ35*Calculateur!AS35*VLOOKUP('Données projet'!$B$10,Paramètres!$A$1:$I$89,3,0)*0.475*44/12</f>
        <v>0</v>
      </c>
      <c r="AW35" s="21">
        <f>EXP(-LN(2)/2)*AW34+(1-EXP(-LN(2)/2))/(LN(2)/2)*AQ35*AT35*VLOOKUP('Données projet'!$B$10,Paramètres!$A$1:$I$89,3,0)*0.475*44/12</f>
        <v>0</v>
      </c>
      <c r="AX35" s="21">
        <f t="shared" si="6"/>
        <v>0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8.6</v>
      </c>
      <c r="BD35" s="12">
        <f>IF('Données projet'!$A$88&gt;35,BD34+BC35-BL34,IF(A35&lt;'Données projet'!$A$88,$BA$205^A35,IF(A35='Données projet'!$A$88,'Données projet'!$B$88,BD34+BC35-BL34)))</f>
        <v>193.19999999999982</v>
      </c>
      <c r="BE35" s="13">
        <f>BD35*VLOOKUP('Données projet'!$B$11,Paramètres!$A$1:$I$89,3,0)*VLOOKUP('Données projet'!$B$11,Paramètres!$A$1:$I$89,5,0)</f>
        <v>183.84911999999983</v>
      </c>
      <c r="BF35" s="13">
        <f t="shared" si="37"/>
        <v>46.17748705751734</v>
      </c>
      <c r="BG35" s="20">
        <f t="shared" si="7"/>
        <v>400.62967395850904</v>
      </c>
      <c r="BH35" s="59">
        <f t="shared" si="8"/>
        <v>693.96300729184236</v>
      </c>
      <c r="BI35" s="59">
        <f ca="1">AVERAGE(OFFSET($BH$3,0,0,'Données projet'!$E$11+1,1))-AVERAGE(OFFSET($H$3,0,0,'Données projet'!$E$11+1,1))</f>
        <v>373.51596132356536</v>
      </c>
      <c r="BJ35" s="59">
        <f t="shared" si="38"/>
        <v>417.00150517020114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0</v>
      </c>
      <c r="BQ35" s="21">
        <f>EXP(-LN(2)/25)*BQ34+(1-EXP(-LN(2)/25))/(LN(2)/25)*Calculateur!BL35*Calculateur!BN35*VLOOKUP('Données projet'!$B$11,Paramètres!$A$1:$I$89,3,0)*0.475*44/12</f>
        <v>0</v>
      </c>
      <c r="BR35" s="21">
        <f>EXP(-LN(2)/2)*BR34+(1-EXP(-LN(2)/2))/(LN(2)/2)*BL35*BO35*VLOOKUP('Données projet'!$B$11,Paramètres!$A$1:$I$89,3,0)*0.475*44/12</f>
        <v>0</v>
      </c>
      <c r="BS35" s="22">
        <f t="shared" si="9"/>
        <v>0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8</v>
      </c>
      <c r="BY35" s="12">
        <f>IF('Données projet'!$A$114&gt;35,BY34+BX35-CG34,IF(A35&lt;'Données projet'!$A$114,$BV$205^A35,IF(A35='Données projet'!$A$114,'Données projet'!$B$114,BY34+BX35-CG34)))</f>
        <v>92</v>
      </c>
      <c r="BZ35" s="13">
        <f>BY35*VLOOKUP('Données projet'!$B$12,Paramètres!$A$1:$I$89,3,0)*VLOOKUP('Données projet'!$B$12,Paramètres!$A$1:$I$89,5,0)</f>
        <v>83.241600000000005</v>
      </c>
      <c r="CA35" s="13">
        <f t="shared" si="39"/>
        <v>22.927930643846508</v>
      </c>
      <c r="CB35" s="20">
        <f t="shared" si="10"/>
        <v>184.91193253803269</v>
      </c>
      <c r="CC35" s="59">
        <f t="shared" si="11"/>
        <v>478.24526587136597</v>
      </c>
      <c r="CD35" s="59">
        <f ca="1">AVERAGE(OFFSET($CC$3,0,0,'Données projet'!$E$12+1,1))-AVERAGE(OFFSET($H$3,0,0,'Données projet'!$E$12+1,1))</f>
        <v>289.19622253646992</v>
      </c>
      <c r="CE35" s="59">
        <f t="shared" si="40"/>
        <v>191.23827338431175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>
        <f>EXP(-LN(2)/35)*CK34+(1-EXP(-LN(2)/35))/(LN(2)/35)*CG35*CH35*VLOOKUP('Données projet'!$B$12,Paramètres!$A$1:$I$89,3,0)*0.475*44/12</f>
        <v>0</v>
      </c>
      <c r="CL35" s="21">
        <f>EXP(-LN(2)/25)*CL34+(1-EXP(-LN(2)/25))/(LN(2)/25)*Calculateur!CG35*Calculateur!CI35*VLOOKUP('Données projet'!$B$12,Paramètres!$A$1:$I$89,3,0)*0.475*44/12</f>
        <v>0</v>
      </c>
      <c r="CM35" s="21">
        <f>EXP(-LN(2)/2)*CM34+(1-EXP(-LN(2)/2))/(LN(2)/2)*CG35*CJ35*VLOOKUP('Données projet'!$B$12,Paramètres!$A$1:$I$89,3,0)*0.475*44/12</f>
        <v>0</v>
      </c>
      <c r="CN35" s="22">
        <f t="shared" si="12"/>
        <v>0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19.047600000000003</v>
      </c>
      <c r="D36" s="11">
        <f t="shared" si="32"/>
        <v>6.2290084588615819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195.11767933156315</v>
      </c>
      <c r="H36" s="67">
        <f t="shared" si="1"/>
        <v>300.69009306585059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7</v>
      </c>
      <c r="N36" s="13">
        <f>IF('Données projet'!$A$36&gt;35,N35+M36-V35,IF(A36&lt;'Données projet'!$A$36,$K$205^A36,IF(A36='Données projet'!$A$36,'Données projet'!$B$36,N35+M36-V35)))</f>
        <v>252.99999999999991</v>
      </c>
      <c r="O36" s="13">
        <f>N36*VLOOKUP('Données projet'!$B$9,Paramètres!$A$1:$I$89,3,0)*VLOOKUP('Données projet'!$B$9,Paramètres!$A$1:$I$89,5,0)</f>
        <v>228.91439999999994</v>
      </c>
      <c r="P36" s="13">
        <f t="shared" si="33"/>
        <v>56.047884834417424</v>
      </c>
      <c r="Q36" s="20">
        <f t="shared" si="53"/>
        <v>496.30931275327686</v>
      </c>
      <c r="R36" s="59">
        <f t="shared" si="0"/>
        <v>789.64264608661017</v>
      </c>
      <c r="S36" s="59">
        <f ca="1">AVERAGE(OFFSET($R$3,0,0,'Données projet'!$E$9+1,1))-AVERAGE(OFFSET($H$3,0,0,'Données projet'!$E$9+1,1))</f>
        <v>336.59194805061094</v>
      </c>
      <c r="T36" s="59">
        <f t="shared" si="34"/>
        <v>473.66884161123909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0</v>
      </c>
      <c r="AA36" s="21">
        <f>EXP(-LN(2)/25)*AA35+(1-EXP(-LN(2)/25))/(LN(2)/25)*Calculateur!V36*Calculateur!X36*VLOOKUP('Données projet'!$B$9,Paramètres!$A$1:$I$89,3,0)*0.475*44/12</f>
        <v>0</v>
      </c>
      <c r="AB36" s="21">
        <f>EXP(-LN(2)/2)*AB35+(1-EXP(-LN(2)/2))/(LN(2)/2)*V36*Y36*VLOOKUP('Données projet'!$B$9,Paramètres!$A$1:$I$89,3,0)*0.475*44/12</f>
        <v>0</v>
      </c>
      <c r="AC36" s="22">
        <f t="shared" si="3"/>
        <v>0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12.8</v>
      </c>
      <c r="AI36" s="13">
        <f>IF('Données projet'!$A$62&gt;35,AI35+AH36-AQ35,IF(A36&lt;'Données projet'!$A$62,$AF$205^A36,IF(A36='Données projet'!$A$62,'Données projet'!$B$62,AI35+AH36-AQ35)))</f>
        <v>180.39999999999995</v>
      </c>
      <c r="AJ36" s="13">
        <f>AI36*VLOOKUP('Données projet'!$B$10,Paramètres!$A$1:$I$89,3,0)*VLOOKUP('Données projet'!$B$10,Paramètres!$A$1:$I$89,5,0)</f>
        <v>118.19807999999996</v>
      </c>
      <c r="AK36" s="13">
        <f t="shared" si="35"/>
        <v>31.254361690638479</v>
      </c>
      <c r="AL36" s="20">
        <f t="shared" si="4"/>
        <v>260.29633594452861</v>
      </c>
      <c r="AM36" s="59">
        <f t="shared" si="5"/>
        <v>553.62966927786192</v>
      </c>
      <c r="AN36" s="59">
        <f ca="1">AVERAGE(OFFSET($AM$3,0,0,'Données projet'!$E$10+1,1))-AVERAGE(OFFSET($H$3,0,0,'Données projet'!$E$10+1,1))</f>
        <v>244.66788784685366</v>
      </c>
      <c r="AO36" s="59">
        <f t="shared" si="36"/>
        <v>252.04429018409274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0</v>
      </c>
      <c r="AV36" s="21">
        <f>EXP(-LN(2)/25)*AV35+(1-EXP(-LN(2)/25))/(LN(2)/25)*Calculateur!AQ36*Calculateur!AS36*VLOOKUP('Données projet'!$B$10,Paramètres!$A$1:$I$89,3,0)*0.475*44/12</f>
        <v>0</v>
      </c>
      <c r="AW36" s="21">
        <f>EXP(-LN(2)/2)*AW35+(1-EXP(-LN(2)/2))/(LN(2)/2)*AQ36*AT36*VLOOKUP('Données projet'!$B$10,Paramètres!$A$1:$I$89,3,0)*0.475*44/12</f>
        <v>0</v>
      </c>
      <c r="AX36" s="21">
        <f t="shared" si="6"/>
        <v>0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8.6</v>
      </c>
      <c r="BD36" s="12">
        <f>IF('Données projet'!$A$88&gt;35,BD35+BC36-BL35,IF(A36&lt;'Données projet'!$A$88,$BA$205^A36,IF(A36='Données projet'!$A$88,'Données projet'!$B$88,BD35+BC36-BL35)))</f>
        <v>201.79999999999981</v>
      </c>
      <c r="BE36" s="13">
        <f>BD36*VLOOKUP('Données projet'!$B$11,Paramètres!$A$1:$I$89,3,0)*VLOOKUP('Données projet'!$B$11,Paramètres!$A$1:$I$89,5,0)</f>
        <v>192.03287999999984</v>
      </c>
      <c r="BF36" s="13">
        <f t="shared" si="37"/>
        <v>47.989114995709123</v>
      </c>
      <c r="BG36" s="20">
        <f t="shared" si="7"/>
        <v>418.03830795085975</v>
      </c>
      <c r="BH36" s="59">
        <f t="shared" si="8"/>
        <v>711.37164128419306</v>
      </c>
      <c r="BI36" s="59">
        <f ca="1">AVERAGE(OFFSET($BH$3,0,0,'Données projet'!$E$11+1,1))-AVERAGE(OFFSET($H$3,0,0,'Données projet'!$E$11+1,1))</f>
        <v>373.51596132356536</v>
      </c>
      <c r="BJ36" s="59">
        <f t="shared" si="38"/>
        <v>417.00150517020114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0</v>
      </c>
      <c r="BQ36" s="21">
        <f>EXP(-LN(2)/25)*BQ35+(1-EXP(-LN(2)/25))/(LN(2)/25)*Calculateur!BL36*Calculateur!BN36*VLOOKUP('Données projet'!$B$11,Paramètres!$A$1:$I$89,3,0)*0.475*44/12</f>
        <v>0</v>
      </c>
      <c r="BR36" s="21">
        <f>EXP(-LN(2)/2)*BR35+(1-EXP(-LN(2)/2))/(LN(2)/2)*BL36*BO36*VLOOKUP('Données projet'!$B$11,Paramètres!$A$1:$I$89,3,0)*0.475*44/12</f>
        <v>0</v>
      </c>
      <c r="BS36" s="22">
        <f t="shared" si="9"/>
        <v>0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8</v>
      </c>
      <c r="BY36" s="12">
        <f>IF('Données projet'!$A$114&gt;35,BY35+BX36-CG35,IF(A36&lt;'Données projet'!$A$114,$BV$205^A36,IF(A36='Données projet'!$A$114,'Données projet'!$B$114,BY35+BX36-CG35)))</f>
        <v>100</v>
      </c>
      <c r="BZ36" s="13">
        <f>BY36*VLOOKUP('Données projet'!$B$12,Paramètres!$A$1:$I$89,3,0)*VLOOKUP('Données projet'!$B$12,Paramètres!$A$1:$I$89,5,0)</f>
        <v>90.47999999999999</v>
      </c>
      <c r="CA36" s="13">
        <f t="shared" si="39"/>
        <v>24.680953573367994</v>
      </c>
      <c r="CB36" s="20">
        <f t="shared" si="10"/>
        <v>200.57199414028256</v>
      </c>
      <c r="CC36" s="59">
        <f t="shared" si="11"/>
        <v>493.9053274736159</v>
      </c>
      <c r="CD36" s="59">
        <f ca="1">AVERAGE(OFFSET($CC$3,0,0,'Données projet'!$E$12+1,1))-AVERAGE(OFFSET($H$3,0,0,'Données projet'!$E$12+1,1))</f>
        <v>289.19622253646992</v>
      </c>
      <c r="CE36" s="59">
        <f t="shared" si="40"/>
        <v>191.23827338431175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>
        <f>EXP(-LN(2)/35)*CK35+(1-EXP(-LN(2)/35))/(LN(2)/35)*CG36*CH36*VLOOKUP('Données projet'!$B$12,Paramètres!$A$1:$I$89,3,0)*0.475*44/12</f>
        <v>0</v>
      </c>
      <c r="CL36" s="21">
        <f>EXP(-LN(2)/25)*CL35+(1-EXP(-LN(2)/25))/(LN(2)/25)*Calculateur!CG36*Calculateur!CI36*VLOOKUP('Données projet'!$B$12,Paramètres!$A$1:$I$89,3,0)*0.475*44/12</f>
        <v>0</v>
      </c>
      <c r="CM36" s="21">
        <f>EXP(-LN(2)/2)*CM35+(1-EXP(-LN(2)/2))/(LN(2)/2)*CG36*CJ36*VLOOKUP('Données projet'!$B$12,Paramètres!$A$1:$I$89,3,0)*0.475*44/12</f>
        <v>0</v>
      </c>
      <c r="CN36" s="22">
        <f t="shared" si="12"/>
        <v>0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19.624800000000004</v>
      </c>
      <c r="D37" s="11">
        <f t="shared" si="32"/>
        <v>6.3955039935657112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200.85848696787571</v>
      </c>
      <c r="H37" s="67">
        <f t="shared" si="1"/>
        <v>301.98536278879362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7</v>
      </c>
      <c r="N37" s="13">
        <f>IF('Données projet'!$A$36&gt;35,N36+M37-V36,IF(A37&lt;'Données projet'!$A$36,$K$205^A37,IF(A37='Données projet'!$A$36,'Données projet'!$B$36,N36+M37-V36)))</f>
        <v>259.99999999999989</v>
      </c>
      <c r="O37" s="13">
        <f>N37*VLOOKUP('Données projet'!$B$9,Paramètres!$A$1:$I$89,3,0)*VLOOKUP('Données projet'!$B$9,Paramètres!$A$1:$I$89,5,0)</f>
        <v>235.24799999999991</v>
      </c>
      <c r="P37" s="13">
        <f t="shared" si="33"/>
        <v>57.41592756883739</v>
      </c>
      <c r="Q37" s="20">
        <f t="shared" si="53"/>
        <v>509.72300718239154</v>
      </c>
      <c r="R37" s="59">
        <f t="shared" si="0"/>
        <v>803.05634051572486</v>
      </c>
      <c r="S37" s="59">
        <f ca="1">AVERAGE(OFFSET($R$3,0,0,'Données projet'!$E$9+1,1))-AVERAGE(OFFSET($H$3,0,0,'Données projet'!$E$9+1,1))</f>
        <v>336.59194805061094</v>
      </c>
      <c r="T37" s="59">
        <f t="shared" si="34"/>
        <v>473.66884161123909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0</v>
      </c>
      <c r="AA37" s="21">
        <f>EXP(-LN(2)/25)*AA36+(1-EXP(-LN(2)/25))/(LN(2)/25)*Calculateur!V37*Calculateur!X37*VLOOKUP('Données projet'!$B$9,Paramètres!$A$1:$I$89,3,0)*0.475*44/12</f>
        <v>0</v>
      </c>
      <c r="AB37" s="21">
        <f>EXP(-LN(2)/2)*AB36+(1-EXP(-LN(2)/2))/(LN(2)/2)*V37*Y37*VLOOKUP('Données projet'!$B$9,Paramètres!$A$1:$I$89,3,0)*0.475*44/12</f>
        <v>0</v>
      </c>
      <c r="AC37" s="22">
        <f t="shared" si="3"/>
        <v>0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12.8</v>
      </c>
      <c r="AI37" s="13">
        <f>IF('Données projet'!$A$62&gt;35,AI36+AH37-AQ36,IF(A37&lt;'Données projet'!$A$62,$AF$205^A37,IF(A37='Données projet'!$A$62,'Données projet'!$B$62,AI36+AH37-AQ36)))</f>
        <v>193.19999999999996</v>
      </c>
      <c r="AJ37" s="13">
        <f>AI37*VLOOKUP('Données projet'!$B$10,Paramètres!$A$1:$I$89,3,0)*VLOOKUP('Données projet'!$B$10,Paramètres!$A$1:$I$89,5,0)</f>
        <v>126.58463999999996</v>
      </c>
      <c r="AK37" s="13">
        <f t="shared" si="35"/>
        <v>33.205951254973805</v>
      </c>
      <c r="AL37" s="20">
        <f t="shared" si="4"/>
        <v>278.301946435746</v>
      </c>
      <c r="AM37" s="59">
        <f t="shared" si="5"/>
        <v>571.63527976907926</v>
      </c>
      <c r="AN37" s="59">
        <f ca="1">AVERAGE(OFFSET($AM$3,0,0,'Données projet'!$E$10+1,1))-AVERAGE(OFFSET($H$3,0,0,'Données projet'!$E$10+1,1))</f>
        <v>244.66788784685366</v>
      </c>
      <c r="AO37" s="59">
        <f t="shared" si="36"/>
        <v>252.04429018409274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0</v>
      </c>
      <c r="AV37" s="21">
        <f>EXP(-LN(2)/25)*AV36+(1-EXP(-LN(2)/25))/(LN(2)/25)*Calculateur!AQ37*Calculateur!AS37*VLOOKUP('Données projet'!$B$10,Paramètres!$A$1:$I$89,3,0)*0.475*44/12</f>
        <v>0</v>
      </c>
      <c r="AW37" s="21">
        <f>EXP(-LN(2)/2)*AW36+(1-EXP(-LN(2)/2))/(LN(2)/2)*AQ37*AT37*VLOOKUP('Données projet'!$B$10,Paramètres!$A$1:$I$89,3,0)*0.475*44/12</f>
        <v>0</v>
      </c>
      <c r="AX37" s="21">
        <f t="shared" si="6"/>
        <v>0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8.6</v>
      </c>
      <c r="BD37" s="12">
        <f>IF('Données projet'!$A$88&gt;35,BD36+BC37-BL36,IF(A37&lt;'Données projet'!$A$88,$BA$205^A37,IF(A37='Données projet'!$A$88,'Données projet'!$B$88,BD36+BC37-BL36)))</f>
        <v>210.39999999999981</v>
      </c>
      <c r="BE37" s="13">
        <f>BD37*VLOOKUP('Données projet'!$B$11,Paramètres!$A$1:$I$89,3,0)*VLOOKUP('Données projet'!$B$11,Paramètres!$A$1:$I$89,5,0)</f>
        <v>200.21663999999981</v>
      </c>
      <c r="BF37" s="13">
        <f t="shared" si="37"/>
        <v>49.791775640053082</v>
      </c>
      <c r="BG37" s="20">
        <f t="shared" si="7"/>
        <v>435.4313239064254</v>
      </c>
      <c r="BH37" s="59">
        <f t="shared" si="8"/>
        <v>728.76465723975866</v>
      </c>
      <c r="BI37" s="59">
        <f ca="1">AVERAGE(OFFSET($BH$3,0,0,'Données projet'!$E$11+1,1))-AVERAGE(OFFSET($H$3,0,0,'Données projet'!$E$11+1,1))</f>
        <v>373.51596132356536</v>
      </c>
      <c r="BJ37" s="59">
        <f t="shared" si="38"/>
        <v>417.00150517020114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0</v>
      </c>
      <c r="BQ37" s="21">
        <f>EXP(-LN(2)/25)*BQ36+(1-EXP(-LN(2)/25))/(LN(2)/25)*Calculateur!BL37*Calculateur!BN37*VLOOKUP('Données projet'!$B$11,Paramètres!$A$1:$I$89,3,0)*0.475*44/12</f>
        <v>0</v>
      </c>
      <c r="BR37" s="21">
        <f>EXP(-LN(2)/2)*BR36+(1-EXP(-LN(2)/2))/(LN(2)/2)*BL37*BO37*VLOOKUP('Données projet'!$B$11,Paramètres!$A$1:$I$89,3,0)*0.475*44/12</f>
        <v>0</v>
      </c>
      <c r="BS37" s="22">
        <f t="shared" si="9"/>
        <v>0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8</v>
      </c>
      <c r="BY37" s="12">
        <f>IF('Données projet'!$A$114&gt;35,BY36+BX37-CG36,IF(A37&lt;'Données projet'!$A$114,$BV$205^A37,IF(A37='Données projet'!$A$114,'Données projet'!$B$114,BY36+BX37-CG36)))</f>
        <v>108</v>
      </c>
      <c r="BZ37" s="13">
        <f>BY37*VLOOKUP('Données projet'!$B$12,Paramètres!$A$1:$I$89,3,0)*VLOOKUP('Données projet'!$B$12,Paramètres!$A$1:$I$89,5,0)</f>
        <v>97.718399999999988</v>
      </c>
      <c r="CA37" s="13">
        <f t="shared" si="39"/>
        <v>26.417709819192194</v>
      </c>
      <c r="CB37" s="20">
        <f t="shared" si="10"/>
        <v>216.20372460175972</v>
      </c>
      <c r="CC37" s="59">
        <f t="shared" si="11"/>
        <v>509.537057935093</v>
      </c>
      <c r="CD37" s="59">
        <f ca="1">AVERAGE(OFFSET($CC$3,0,0,'Données projet'!$E$12+1,1))-AVERAGE(OFFSET($H$3,0,0,'Données projet'!$E$12+1,1))</f>
        <v>289.19622253646992</v>
      </c>
      <c r="CE37" s="59">
        <f t="shared" si="40"/>
        <v>191.23827338431175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>
        <f>EXP(-LN(2)/35)*CK36+(1-EXP(-LN(2)/35))/(LN(2)/35)*CG37*CH37*VLOOKUP('Données projet'!$B$12,Paramètres!$A$1:$I$89,3,0)*0.475*44/12</f>
        <v>0</v>
      </c>
      <c r="CL37" s="21">
        <f>EXP(-LN(2)/25)*CL36+(1-EXP(-LN(2)/25))/(LN(2)/25)*Calculateur!CG37*Calculateur!CI37*VLOOKUP('Données projet'!$B$12,Paramètres!$A$1:$I$89,3,0)*0.475*44/12</f>
        <v>0</v>
      </c>
      <c r="CM37" s="21">
        <f>EXP(-LN(2)/2)*CM36+(1-EXP(-LN(2)/2))/(LN(2)/2)*CG37*CJ37*VLOOKUP('Données projet'!$B$12,Paramètres!$A$1:$I$89,3,0)*0.475*44/12</f>
        <v>0</v>
      </c>
      <c r="CN37" s="22">
        <f t="shared" si="12"/>
        <v>0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20.202000000000005</v>
      </c>
      <c r="D38" s="11">
        <f t="shared" si="32"/>
        <v>6.5614304138099309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206.59490143993636</v>
      </c>
      <c r="H38" s="67">
        <f t="shared" si="1"/>
        <v>303.27964130405235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>
        <f>VLOOKUP(A38,'Données projet'!$A$35:$I$55,2,0)</f>
        <v>267</v>
      </c>
      <c r="L38" s="12">
        <f>VLOOKUP(A38,'Données projet'!$A$35:$I$55,9,0)</f>
        <v>7</v>
      </c>
      <c r="M38" s="12">
        <f t="array" ref="M38">INDEX(L:L,MIN(IF(ISNUMBER(L38:L234),ROW(L38:L234),"")))</f>
        <v>7</v>
      </c>
      <c r="N38" s="13">
        <f>IF('Données projet'!$A$36&gt;35,N37+M38-V37,IF(A38&lt;'Données projet'!$A$36,$K$205^A38,IF(A38='Données projet'!$A$36,'Données projet'!$B$36,N37+M38-V37)))</f>
        <v>266.99999999999989</v>
      </c>
      <c r="O38" s="13">
        <f>N38*VLOOKUP('Données projet'!$B$9,Paramètres!$A$1:$I$89,3,0)*VLOOKUP('Données projet'!$B$9,Paramètres!$A$1:$I$89,5,0)</f>
        <v>241.5815999999999</v>
      </c>
      <c r="P38" s="13">
        <f t="shared" si="33"/>
        <v>58.779689232021951</v>
      </c>
      <c r="Q38" s="20">
        <f t="shared" si="53"/>
        <v>523.12924541243797</v>
      </c>
      <c r="R38" s="59">
        <f t="shared" si="0"/>
        <v>816.46257874577122</v>
      </c>
      <c r="S38" s="59">
        <f ca="1">AVERAGE(OFFSET($R$3,0,0,'Données projet'!$E$9+1,1))-AVERAGE(OFFSET($H$3,0,0,'Données projet'!$E$9+1,1))</f>
        <v>336.59194805061094</v>
      </c>
      <c r="T38" s="59">
        <f t="shared" si="34"/>
        <v>473.66884161123909</v>
      </c>
      <c r="U38" s="15">
        <f>IF(ISNA(VLOOKUP(A38,'Données projet'!$A$35:$I$55,3,0)),0,VLOOKUP(A38,'Données projet'!$A$35:$I$55,3,0))</f>
        <v>7</v>
      </c>
      <c r="V38" s="15">
        <f>IF(ISNA(VLOOKUP(A38,'Données projet'!$A$35:$I$55,4,0)),0,VLOOKUP(A38,'Données projet'!$A$35:$I$55,4,0))</f>
        <v>9</v>
      </c>
      <c r="W38" s="16">
        <f>IF(ISNA(VLOOKUP(A38,'Données projet'!$A$35:$I$55,5,0)),0%,VLOOKUP(A38,'Données projet'!$A$35:$I$55,5,0)*VLOOKUP('Données projet'!$B$9,Paramètres!$A$1:$I$89,7,0))</f>
        <v>0.3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2.7006199183838153</v>
      </c>
      <c r="AA38" s="21">
        <f>EXP(-LN(2)/25)*AA37+(1-EXP(-LN(2)/25))/(LN(2)/25)*Calculateur!V38*Calculateur!X38*VLOOKUP('Données projet'!$B$9,Paramètres!$A$1:$I$89,3,0)*0.475*44/12</f>
        <v>0</v>
      </c>
      <c r="AB38" s="21">
        <f>EXP(-LN(2)/2)*AB37+(1-EXP(-LN(2)/2))/(LN(2)/2)*V38*Y38*VLOOKUP('Données projet'!$B$9,Paramètres!$A$1:$I$89,3,0)*0.475*44/12</f>
        <v>0</v>
      </c>
      <c r="AC38" s="22">
        <f t="shared" si="3"/>
        <v>2.7006199183838153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>
        <f>VLOOKUP(A38,'Données projet'!$A$61:$I$81,2,0)</f>
        <v>206</v>
      </c>
      <c r="AG38" s="12">
        <f>VLOOKUP(A38,'Données projet'!$A$61:$I$81,9,0)</f>
        <v>12.8</v>
      </c>
      <c r="AH38" s="12">
        <f t="array" ref="AH38">INDEX(AG:AG,MIN(IF(ISNUMBER(AG38:AG234),ROW(AG38:AG234),"")))</f>
        <v>12.8</v>
      </c>
      <c r="AI38" s="13">
        <f>IF('Données projet'!$A$62&gt;35,AI37+AH38-AQ37,IF(A38&lt;'Données projet'!$A$62,$AF$205^A38,IF(A38='Données projet'!$A$62,'Données projet'!$B$62,AI37+AH38-AQ37)))</f>
        <v>205.99999999999997</v>
      </c>
      <c r="AJ38" s="13">
        <f>AI38*VLOOKUP('Données projet'!$B$10,Paramètres!$A$1:$I$89,3,0)*VLOOKUP('Données projet'!$B$10,Paramètres!$A$1:$I$89,5,0)</f>
        <v>134.97119999999998</v>
      </c>
      <c r="AK38" s="13">
        <f t="shared" si="35"/>
        <v>35.142536849088657</v>
      </c>
      <c r="AL38" s="20">
        <f t="shared" si="4"/>
        <v>296.28142501216269</v>
      </c>
      <c r="AM38" s="59">
        <f t="shared" si="5"/>
        <v>589.61475834549606</v>
      </c>
      <c r="AN38" s="59">
        <f ca="1">AVERAGE(OFFSET($AM$3,0,0,'Données projet'!$E$10+1,1))-AVERAGE(OFFSET($H$3,0,0,'Données projet'!$E$10+1,1))</f>
        <v>244.66788784685366</v>
      </c>
      <c r="AO38" s="59">
        <f t="shared" si="36"/>
        <v>252.04429018409274</v>
      </c>
      <c r="AP38" s="15">
        <f>IF(ISNA(VLOOKUP(A38,'Données projet'!$A$61:$I$81,3,0)),0,VLOOKUP(A38,'Données projet'!$A$61:$I$81,3,0))</f>
        <v>5</v>
      </c>
      <c r="AQ38" s="15">
        <f>IF(ISNA(VLOOKUP(A38,'Données projet'!$A$61:$I$81,4,0)),0,VLOOKUP(A38,'Données projet'!$A$61:$I$81,4,0))</f>
        <v>35</v>
      </c>
      <c r="AR38" s="16">
        <f>IF(ISNA(VLOOKUP(A38,'Données projet'!$A$61:$I$81,5,0)),0%,VLOOKUP(A38,'Données projet'!$A$61:$I$81,5,0)*VLOOKUP('Données projet'!$B$10,Paramètres!$A$1:$I$89,7,0))</f>
        <v>0.43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10.900778099683334</v>
      </c>
      <c r="AV38" s="21">
        <f>EXP(-LN(2)/25)*AV37+(1-EXP(-LN(2)/25))/(LN(2)/25)*Calculateur!AQ38*Calculateur!AS38*VLOOKUP('Données projet'!$B$10,Paramètres!$A$1:$I$89,3,0)*0.475*44/12</f>
        <v>0</v>
      </c>
      <c r="AW38" s="21">
        <f>EXP(-LN(2)/2)*AW37+(1-EXP(-LN(2)/2))/(LN(2)/2)*AQ38*AT38*VLOOKUP('Données projet'!$B$10,Paramètres!$A$1:$I$89,3,0)*0.475*44/12</f>
        <v>0</v>
      </c>
      <c r="AX38" s="21">
        <f t="shared" si="6"/>
        <v>10.900778099683334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>
        <f>VLOOKUP(A38,'Données projet'!$A$87:$I$107,2,0)</f>
        <v>219</v>
      </c>
      <c r="BB38" s="12">
        <f>VLOOKUP(A38,'Données projet'!$A$87:$I$107,9,0)</f>
        <v>8.6</v>
      </c>
      <c r="BC38" s="12">
        <f t="array" ref="BC38">INDEX(BB:BB,MIN(IF(ISNUMBER(BB38:BB234),ROW(BB38:BB234),"")))</f>
        <v>8.6</v>
      </c>
      <c r="BD38" s="12">
        <f>IF('Données projet'!$A$88&gt;35,BD37+BC38-BL37,IF(A38&lt;'Données projet'!$A$88,$BA$205^A38,IF(A38='Données projet'!$A$88,'Données projet'!$B$88,BD37+BC38-BL37)))</f>
        <v>218.9999999999998</v>
      </c>
      <c r="BE38" s="13">
        <f>BD38*VLOOKUP('Données projet'!$B$11,Paramètres!$A$1:$I$89,3,0)*VLOOKUP('Données projet'!$B$11,Paramètres!$A$1:$I$89,5,0)</f>
        <v>208.40039999999985</v>
      </c>
      <c r="BF38" s="13">
        <f t="shared" si="37"/>
        <v>51.585877448947201</v>
      </c>
      <c r="BG38" s="20">
        <f t="shared" si="7"/>
        <v>452.80943322358263</v>
      </c>
      <c r="BH38" s="59">
        <f t="shared" si="8"/>
        <v>746.14276655691594</v>
      </c>
      <c r="BI38" s="59">
        <f ca="1">AVERAGE(OFFSET($BH$3,0,0,'Données projet'!$E$11+1,1))-AVERAGE(OFFSET($H$3,0,0,'Données projet'!$E$11+1,1))</f>
        <v>373.51596132356536</v>
      </c>
      <c r="BJ38" s="59">
        <f t="shared" si="38"/>
        <v>417.00150517020114</v>
      </c>
      <c r="BK38" s="15">
        <f>IF(ISNA(VLOOKUP(A38,'Données projet'!$A$87:$I$107,3,0)),0,VLOOKUP(A38,'Données projet'!$A$87:$I$107,3,0))</f>
        <v>6</v>
      </c>
      <c r="BL38" s="15">
        <f>IF(ISNA(VLOOKUP(A38,'Données projet'!$A$87:$I$107,4,0)),0,VLOOKUP(A38,'Données projet'!$A$87:$I$107,4,0))</f>
        <v>29</v>
      </c>
      <c r="BM38" s="16">
        <f>IF(ISNA(VLOOKUP(A38,'Données projet'!$A$87:$I$107,5,0)),0%,VLOOKUP(A38,'Données projet'!$A$87:$I$107,5,0)*VLOOKUP('Données projet'!$B$11,Paramètres!$A$1:$I$89,7,0))</f>
        <v>0.43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13.118011196149537</v>
      </c>
      <c r="BQ38" s="21">
        <f>EXP(-LN(2)/25)*BQ37+(1-EXP(-LN(2)/25))/(LN(2)/25)*Calculateur!BL38*Calculateur!BN38*VLOOKUP('Données projet'!$B$11,Paramètres!$A$1:$I$89,3,0)*0.475*44/12</f>
        <v>0</v>
      </c>
      <c r="BR38" s="21">
        <f>EXP(-LN(2)/2)*BR37+(1-EXP(-LN(2)/2))/(LN(2)/2)*BL38*BO38*VLOOKUP('Données projet'!$B$11,Paramètres!$A$1:$I$89,3,0)*0.475*44/12</f>
        <v>0</v>
      </c>
      <c r="BS38" s="22">
        <f t="shared" si="9"/>
        <v>13.118011196149537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>
        <f>VLOOKUP(A38,'Données projet'!$A$113:$I$133,2,0)</f>
        <v>116</v>
      </c>
      <c r="BW38" s="12">
        <f>VLOOKUP(A38,'Données projet'!$A$113:$I$133,9,0)</f>
        <v>8</v>
      </c>
      <c r="BX38" s="12">
        <f t="array" ref="BX38">INDEX(BW:BW,MIN(IF(ISNUMBER(BW38:BW234),ROW(BW38:BW234),"")))</f>
        <v>8</v>
      </c>
      <c r="BY38" s="12">
        <f>IF('Données projet'!$A$114&gt;35,BY37+BX38-CG37,IF(A38&lt;'Données projet'!$A$114,$BV$205^A38,IF(A38='Données projet'!$A$114,'Données projet'!$B$114,BY37+BX38-CG37)))</f>
        <v>116</v>
      </c>
      <c r="BZ38" s="13">
        <f>BY38*VLOOKUP('Données projet'!$B$12,Paramètres!$A$1:$I$89,3,0)*VLOOKUP('Données projet'!$B$12,Paramètres!$A$1:$I$89,5,0)</f>
        <v>104.9568</v>
      </c>
      <c r="CA38" s="13">
        <f t="shared" si="39"/>
        <v>28.139541339232373</v>
      </c>
      <c r="CB38" s="20">
        <f t="shared" si="10"/>
        <v>231.8094611658297</v>
      </c>
      <c r="CC38" s="59">
        <f t="shared" si="11"/>
        <v>525.14279449916307</v>
      </c>
      <c r="CD38" s="59">
        <f ca="1">AVERAGE(OFFSET($CC$3,0,0,'Données projet'!$E$12+1,1))-AVERAGE(OFFSET($H$3,0,0,'Données projet'!$E$12+1,1))</f>
        <v>289.19622253646992</v>
      </c>
      <c r="CE38" s="59">
        <f t="shared" si="40"/>
        <v>191.23827338431175</v>
      </c>
      <c r="CF38" s="15">
        <f>IF(ISNA(VLOOKUP(A38,'Données projet'!$A$113:$I$133,3,0)),0,VLOOKUP(A38,'Données projet'!$A$113:$I$133,3,0))</f>
        <v>3</v>
      </c>
      <c r="CG38" s="15">
        <f>IF(ISNA(VLOOKUP(A38,'Données projet'!$A$113:$I$133,4,0)),0,VLOOKUP(A38,'Données projet'!$A$113:$I$133,4,0))</f>
        <v>21</v>
      </c>
      <c r="CH38" s="16">
        <f>IF(ISNA(VLOOKUP(A38,'Données projet'!$A$113:$I$133,5,0)),0%,VLOOKUP(A38,'Données projet'!$A$113:$I$133,5,0)*VLOOKUP('Données projet'!$B$12,Paramètres!$A$1:$I$89,7,0))</f>
        <v>0.43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>
        <f>EXP(-LN(2)/35)*CK37+(1-EXP(-LN(2)/35))/(LN(2)/35)*CG38*CH38*VLOOKUP('Données projet'!$B$12,Paramètres!$A$1:$I$89,3,0)*0.475*44/12</f>
        <v>9.0320732825947605</v>
      </c>
      <c r="CL38" s="21">
        <f>EXP(-LN(2)/25)*CL37+(1-EXP(-LN(2)/25))/(LN(2)/25)*Calculateur!CG38*Calculateur!CI38*VLOOKUP('Données projet'!$B$12,Paramètres!$A$1:$I$89,3,0)*0.475*44/12</f>
        <v>0</v>
      </c>
      <c r="CM38" s="21">
        <f>EXP(-LN(2)/2)*CM37+(1-EXP(-LN(2)/2))/(LN(2)/2)*CG38*CJ38*VLOOKUP('Données projet'!$B$12,Paramètres!$A$1:$I$89,3,0)*0.475*44/12</f>
        <v>0</v>
      </c>
      <c r="CN38" s="22">
        <f t="shared" si="12"/>
        <v>9.0320732825947605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20.779200000000007</v>
      </c>
      <c r="D39" s="11">
        <f t="shared" si="32"/>
        <v>6.7268058475649397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212.32706268295749</v>
      </c>
      <c r="H39" s="67">
        <f t="shared" si="1"/>
        <v>304.57296018450899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6.2</v>
      </c>
      <c r="N39" s="13">
        <f>IF('Données projet'!$A$36&gt;35,N38+M39-V38,IF(A39&lt;'Données projet'!$A$36,$K$205^A39,IF(A39='Données projet'!$A$36,'Données projet'!$B$36,N38+M39-V38)))</f>
        <v>264.19999999999987</v>
      </c>
      <c r="O39" s="13">
        <f>N39*VLOOKUP('Données projet'!$B$9,Paramètres!$A$1:$I$89,3,0)*VLOOKUP('Données projet'!$B$9,Paramètres!$A$1:$I$89,5,0)</f>
        <v>239.04815999999985</v>
      </c>
      <c r="P39" s="13">
        <f t="shared" si="33"/>
        <v>58.234690128947292</v>
      </c>
      <c r="Q39" s="20">
        <f t="shared" si="53"/>
        <v>517.76763064124964</v>
      </c>
      <c r="R39" s="59">
        <f t="shared" si="0"/>
        <v>811.10096397458301</v>
      </c>
      <c r="S39" s="59">
        <f ca="1">AVERAGE(OFFSET($R$3,0,0,'Données projet'!$E$9+1,1))-AVERAGE(OFFSET($H$3,0,0,'Données projet'!$E$9+1,1))</f>
        <v>336.59194805061094</v>
      </c>
      <c r="T39" s="59">
        <f t="shared" si="34"/>
        <v>473.66884161123909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2.64766240899981</v>
      </c>
      <c r="AA39" s="21">
        <f>EXP(-LN(2)/25)*AA38+(1-EXP(-LN(2)/25))/(LN(2)/25)*Calculateur!V39*Calculateur!X39*VLOOKUP('Données projet'!$B$9,Paramètres!$A$1:$I$89,3,0)*0.475*44/12</f>
        <v>0</v>
      </c>
      <c r="AB39" s="21">
        <f>EXP(-LN(2)/2)*AB38+(1-EXP(-LN(2)/2))/(LN(2)/2)*V39*Y39*VLOOKUP('Données projet'!$B$9,Paramètres!$A$1:$I$89,3,0)*0.475*44/12</f>
        <v>0</v>
      </c>
      <c r="AC39" s="22">
        <f t="shared" si="3"/>
        <v>2.64766240899981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11.4</v>
      </c>
      <c r="AI39" s="13">
        <f>IF('Données projet'!$A$62&gt;35,AI38+AH39-AQ38,IF(A39&lt;'Données projet'!$A$62,$AF$205^A39,IF(A39='Données projet'!$A$62,'Données projet'!$B$62,AI38+AH39-AQ38)))</f>
        <v>182.39999999999998</v>
      </c>
      <c r="AJ39" s="13">
        <f>AI39*VLOOKUP('Données projet'!$B$10,Paramètres!$A$1:$I$89,3,0)*VLOOKUP('Données projet'!$B$10,Paramètres!$A$1:$I$89,5,0)</f>
        <v>119.50847999999999</v>
      </c>
      <c r="AK39" s="13">
        <f t="shared" si="35"/>
        <v>31.560332955588962</v>
      </c>
      <c r="AL39" s="20">
        <f t="shared" si="4"/>
        <v>263.11151589765069</v>
      </c>
      <c r="AM39" s="59">
        <f t="shared" si="5"/>
        <v>556.444849230984</v>
      </c>
      <c r="AN39" s="59">
        <f ca="1">AVERAGE(OFFSET($AM$3,0,0,'Données projet'!$E$10+1,1))-AVERAGE(OFFSET($H$3,0,0,'Données projet'!$E$10+1,1))</f>
        <v>244.66788784685366</v>
      </c>
      <c r="AO39" s="59">
        <f t="shared" si="36"/>
        <v>252.04429018409274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10.687020489966669</v>
      </c>
      <c r="AV39" s="21">
        <f>EXP(-LN(2)/25)*AV38+(1-EXP(-LN(2)/25))/(LN(2)/25)*Calculateur!AQ39*Calculateur!AS39*VLOOKUP('Données projet'!$B$10,Paramètres!$A$1:$I$89,3,0)*0.475*44/12</f>
        <v>0</v>
      </c>
      <c r="AW39" s="21">
        <f>EXP(-LN(2)/2)*AW38+(1-EXP(-LN(2)/2))/(LN(2)/2)*AQ39*AT39*VLOOKUP('Données projet'!$B$10,Paramètres!$A$1:$I$89,3,0)*0.475*44/12</f>
        <v>0</v>
      </c>
      <c r="AX39" s="21">
        <f t="shared" si="6"/>
        <v>10.687020489966669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8</v>
      </c>
      <c r="BD39" s="12">
        <f>IF('Données projet'!$A$88&gt;35,BD38+BC39-BL38,IF(A39&lt;'Données projet'!$A$88,$BA$205^A39,IF(A39='Données projet'!$A$88,'Données projet'!$B$88,BD38+BC39-BL38)))</f>
        <v>197.9999999999998</v>
      </c>
      <c r="BE39" s="13">
        <f>BD39*VLOOKUP('Données projet'!$B$11,Paramètres!$A$1:$I$89,3,0)*VLOOKUP('Données projet'!$B$11,Paramètres!$A$1:$I$89,5,0)</f>
        <v>188.4167999999998</v>
      </c>
      <c r="BF39" s="13">
        <f t="shared" si="37"/>
        <v>47.189759534268632</v>
      </c>
      <c r="BG39" s="20">
        <f t="shared" si="7"/>
        <v>410.34809118885079</v>
      </c>
      <c r="BH39" s="59">
        <f t="shared" si="8"/>
        <v>703.6814245221841</v>
      </c>
      <c r="BI39" s="59">
        <f ca="1">AVERAGE(OFFSET($BH$3,0,0,'Données projet'!$E$11+1,1))-AVERAGE(OFFSET($H$3,0,0,'Données projet'!$E$11+1,1))</f>
        <v>373.51596132356536</v>
      </c>
      <c r="BJ39" s="59">
        <f t="shared" si="38"/>
        <v>417.00150517020114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12.860774997789822</v>
      </c>
      <c r="BQ39" s="21">
        <f>EXP(-LN(2)/25)*BQ38+(1-EXP(-LN(2)/25))/(LN(2)/25)*Calculateur!BL39*Calculateur!BN39*VLOOKUP('Données projet'!$B$11,Paramètres!$A$1:$I$89,3,0)*0.475*44/12</f>
        <v>0</v>
      </c>
      <c r="BR39" s="21">
        <f>EXP(-LN(2)/2)*BR38+(1-EXP(-LN(2)/2))/(LN(2)/2)*BL39*BO39*VLOOKUP('Données projet'!$B$11,Paramètres!$A$1:$I$89,3,0)*0.475*44/12</f>
        <v>0</v>
      </c>
      <c r="BS39" s="22">
        <f t="shared" si="9"/>
        <v>12.860774997789822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8.4</v>
      </c>
      <c r="BY39" s="12">
        <f>IF('Données projet'!$A$114&gt;35,BY38+BX39-CG38,IF(A39&lt;'Données projet'!$A$114,$BV$205^A39,IF(A39='Données projet'!$A$114,'Données projet'!$B$114,BY38+BX39-CG38)))</f>
        <v>103.4</v>
      </c>
      <c r="BZ39" s="13">
        <f>BY39*VLOOKUP('Données projet'!$B$12,Paramètres!$A$1:$I$89,3,0)*VLOOKUP('Données projet'!$B$12,Paramètres!$A$1:$I$89,5,0)</f>
        <v>93.556319999999999</v>
      </c>
      <c r="CA39" s="13">
        <f t="shared" si="39"/>
        <v>25.420979659258073</v>
      </c>
      <c r="CB39" s="20">
        <f t="shared" si="10"/>
        <v>207.21879690654114</v>
      </c>
      <c r="CC39" s="59">
        <f t="shared" si="11"/>
        <v>500.55213023987449</v>
      </c>
      <c r="CD39" s="59">
        <f ca="1">AVERAGE(OFFSET($CC$3,0,0,'Données projet'!$E$12+1,1))-AVERAGE(OFFSET($H$3,0,0,'Données projet'!$E$12+1,1))</f>
        <v>289.19622253646992</v>
      </c>
      <c r="CE39" s="59">
        <f t="shared" si="40"/>
        <v>191.23827338431175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>
        <f>EXP(-LN(2)/35)*CK38+(1-EXP(-LN(2)/35))/(LN(2)/35)*CG39*CH39*VLOOKUP('Données projet'!$B$12,Paramètres!$A$1:$I$89,3,0)*0.475*44/12</f>
        <v>8.8549598345438092</v>
      </c>
      <c r="CL39" s="21">
        <f>EXP(-LN(2)/25)*CL38+(1-EXP(-LN(2)/25))/(LN(2)/25)*Calculateur!CG39*Calculateur!CI39*VLOOKUP('Données projet'!$B$12,Paramètres!$A$1:$I$89,3,0)*0.475*44/12</f>
        <v>0</v>
      </c>
      <c r="CM39" s="21">
        <f>EXP(-LN(2)/2)*CM38+(1-EXP(-LN(2)/2))/(LN(2)/2)*CG39*CJ39*VLOOKUP('Données projet'!$B$12,Paramètres!$A$1:$I$89,3,0)*0.475*44/12</f>
        <v>0</v>
      </c>
      <c r="CN39" s="22">
        <f t="shared" si="12"/>
        <v>8.8549598345438092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21.356400000000008</v>
      </c>
      <c r="D40" s="11">
        <f t="shared" si="32"/>
        <v>6.8916473583854003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218.05510241560668</v>
      </c>
      <c r="H40" s="67">
        <f t="shared" si="1"/>
        <v>305.86534914918792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6.2</v>
      </c>
      <c r="N40" s="13">
        <f>IF('Données projet'!$A$36&gt;35,N39+M40-V39,IF(A40&lt;'Données projet'!$A$36,$K$205^A40,IF(A40='Données projet'!$A$36,'Données projet'!$B$36,N39+M40-V39)))</f>
        <v>270.39999999999986</v>
      </c>
      <c r="O40" s="13">
        <f>N40*VLOOKUP('Données projet'!$B$9,Paramètres!$A$1:$I$89,3,0)*VLOOKUP('Données projet'!$B$9,Paramètres!$A$1:$I$89,5,0)</f>
        <v>244.65791999999988</v>
      </c>
      <c r="P40" s="13">
        <f t="shared" si="33"/>
        <v>59.44058075210863</v>
      </c>
      <c r="Q40" s="20">
        <f t="shared" si="53"/>
        <v>529.63822214325558</v>
      </c>
      <c r="R40" s="59">
        <f t="shared" si="0"/>
        <v>822.97155547658895</v>
      </c>
      <c r="S40" s="59">
        <f ca="1">AVERAGE(OFFSET($R$3,0,0,'Données projet'!$E$9+1,1))-AVERAGE(OFFSET($H$3,0,0,'Données projet'!$E$9+1,1))</f>
        <v>336.59194805061094</v>
      </c>
      <c r="T40" s="59">
        <f t="shared" si="34"/>
        <v>473.66884161123909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2.5957433640739338</v>
      </c>
      <c r="AA40" s="21">
        <f>EXP(-LN(2)/25)*AA39+(1-EXP(-LN(2)/25))/(LN(2)/25)*Calculateur!V40*Calculateur!X40*VLOOKUP('Données projet'!$B$9,Paramètres!$A$1:$I$89,3,0)*0.475*44/12</f>
        <v>0</v>
      </c>
      <c r="AB40" s="21">
        <f>EXP(-LN(2)/2)*AB39+(1-EXP(-LN(2)/2))/(LN(2)/2)*V40*Y40*VLOOKUP('Données projet'!$B$9,Paramètres!$A$1:$I$89,3,0)*0.475*44/12</f>
        <v>0</v>
      </c>
      <c r="AC40" s="22">
        <f t="shared" si="3"/>
        <v>2.5957433640739338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11.4</v>
      </c>
      <c r="AI40" s="13">
        <f>IF('Données projet'!$A$62&gt;35,AI39+AH40-AQ39,IF(A40&lt;'Données projet'!$A$62,$AF$205^A40,IF(A40='Données projet'!$A$62,'Données projet'!$B$62,AI39+AH40-AQ39)))</f>
        <v>193.79999999999998</v>
      </c>
      <c r="AJ40" s="13">
        <f>AI40*VLOOKUP('Données projet'!$B$10,Paramètres!$A$1:$I$89,3,0)*VLOOKUP('Données projet'!$B$10,Paramètres!$A$1:$I$89,5,0)</f>
        <v>126.97775999999999</v>
      </c>
      <c r="AK40" s="13">
        <f t="shared" si="35"/>
        <v>33.297055234597053</v>
      </c>
      <c r="AL40" s="20">
        <f t="shared" si="4"/>
        <v>279.14530320025654</v>
      </c>
      <c r="AM40" s="59">
        <f t="shared" si="5"/>
        <v>572.47863653358991</v>
      </c>
      <c r="AN40" s="59">
        <f ca="1">AVERAGE(OFFSET($AM$3,0,0,'Données projet'!$E$10+1,1))-AVERAGE(OFFSET($H$3,0,0,'Données projet'!$E$10+1,1))</f>
        <v>244.66788784685366</v>
      </c>
      <c r="AO40" s="59">
        <f t="shared" si="36"/>
        <v>252.04429018409274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10.477454536597278</v>
      </c>
      <c r="AV40" s="21">
        <f>EXP(-LN(2)/25)*AV39+(1-EXP(-LN(2)/25))/(LN(2)/25)*Calculateur!AQ40*Calculateur!AS40*VLOOKUP('Données projet'!$B$10,Paramètres!$A$1:$I$89,3,0)*0.475*44/12</f>
        <v>0</v>
      </c>
      <c r="AW40" s="21">
        <f>EXP(-LN(2)/2)*AW39+(1-EXP(-LN(2)/2))/(LN(2)/2)*AQ40*AT40*VLOOKUP('Données projet'!$B$10,Paramètres!$A$1:$I$89,3,0)*0.475*44/12</f>
        <v>0</v>
      </c>
      <c r="AX40" s="21">
        <f t="shared" si="6"/>
        <v>10.477454536597278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8</v>
      </c>
      <c r="BD40" s="12">
        <f>IF('Données projet'!$A$88&gt;35,BD39+BC40-BL39,IF(A40&lt;'Données projet'!$A$88,$BA$205^A40,IF(A40='Données projet'!$A$88,'Données projet'!$B$88,BD39+BC40-BL39)))</f>
        <v>205.9999999999998</v>
      </c>
      <c r="BE40" s="13">
        <f>BD40*VLOOKUP('Données projet'!$B$11,Paramètres!$A$1:$I$89,3,0)*VLOOKUP('Données projet'!$B$11,Paramètres!$A$1:$I$89,5,0)</f>
        <v>196.02959999999982</v>
      </c>
      <c r="BF40" s="13">
        <f t="shared" si="37"/>
        <v>48.870578290511901</v>
      </c>
      <c r="BG40" s="20">
        <f t="shared" si="7"/>
        <v>426.53447718930789</v>
      </c>
      <c r="BH40" s="59">
        <f t="shared" si="8"/>
        <v>719.86781052264121</v>
      </c>
      <c r="BI40" s="59">
        <f ca="1">AVERAGE(OFFSET($BH$3,0,0,'Données projet'!$E$11+1,1))-AVERAGE(OFFSET($H$3,0,0,'Données projet'!$E$11+1,1))</f>
        <v>373.51596132356536</v>
      </c>
      <c r="BJ40" s="59">
        <f t="shared" si="38"/>
        <v>417.00150517020114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12.608583044381351</v>
      </c>
      <c r="BQ40" s="21">
        <f>EXP(-LN(2)/25)*BQ39+(1-EXP(-LN(2)/25))/(LN(2)/25)*Calculateur!BL40*Calculateur!BN40*VLOOKUP('Données projet'!$B$11,Paramètres!$A$1:$I$89,3,0)*0.475*44/12</f>
        <v>0</v>
      </c>
      <c r="BR40" s="21">
        <f>EXP(-LN(2)/2)*BR39+(1-EXP(-LN(2)/2))/(LN(2)/2)*BL40*BO40*VLOOKUP('Données projet'!$B$11,Paramètres!$A$1:$I$89,3,0)*0.475*44/12</f>
        <v>0</v>
      </c>
      <c r="BS40" s="22">
        <f t="shared" si="9"/>
        <v>12.608583044381351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8.4</v>
      </c>
      <c r="BY40" s="12">
        <f>IF('Données projet'!$A$114&gt;35,BY39+BX40-CG39,IF(A40&lt;'Données projet'!$A$114,$BV$205^A40,IF(A40='Données projet'!$A$114,'Données projet'!$B$114,BY39+BX40-CG39)))</f>
        <v>111.80000000000001</v>
      </c>
      <c r="BZ40" s="13">
        <f>BY40*VLOOKUP('Données projet'!$B$12,Paramètres!$A$1:$I$89,3,0)*VLOOKUP('Données projet'!$B$12,Paramètres!$A$1:$I$89,5,0)</f>
        <v>101.15664000000001</v>
      </c>
      <c r="CA40" s="13">
        <f t="shared" si="39"/>
        <v>27.237366379381644</v>
      </c>
      <c r="CB40" s="20">
        <f t="shared" si="10"/>
        <v>223.61956111075639</v>
      </c>
      <c r="CC40" s="59">
        <f t="shared" si="11"/>
        <v>516.95289444408968</v>
      </c>
      <c r="CD40" s="59">
        <f ca="1">AVERAGE(OFFSET($CC$3,0,0,'Données projet'!$E$12+1,1))-AVERAGE(OFFSET($H$3,0,0,'Données projet'!$E$12+1,1))</f>
        <v>289.19622253646992</v>
      </c>
      <c r="CE40" s="59">
        <f t="shared" si="40"/>
        <v>191.23827338431175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>
        <f>EXP(-LN(2)/35)*CK39+(1-EXP(-LN(2)/35))/(LN(2)/35)*CG40*CH40*VLOOKUP('Données projet'!$B$12,Paramètres!$A$1:$I$89,3,0)*0.475*44/12</f>
        <v>8.6813194731806007</v>
      </c>
      <c r="CL40" s="21">
        <f>EXP(-LN(2)/25)*CL39+(1-EXP(-LN(2)/25))/(LN(2)/25)*Calculateur!CG40*Calculateur!CI40*VLOOKUP('Données projet'!$B$12,Paramètres!$A$1:$I$89,3,0)*0.475*44/12</f>
        <v>0</v>
      </c>
      <c r="CM40" s="21">
        <f>EXP(-LN(2)/2)*CM39+(1-EXP(-LN(2)/2))/(LN(2)/2)*CG40*CJ40*VLOOKUP('Données projet'!$B$12,Paramètres!$A$1:$I$89,3,0)*0.475*44/12</f>
        <v>0</v>
      </c>
      <c r="CN40" s="22">
        <f t="shared" si="12"/>
        <v>8.6813194731806007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21.933600000000009</v>
      </c>
      <c r="D41" s="11">
        <f t="shared" si="32"/>
        <v>7.0559710349657756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223.77914483131485</v>
      </c>
      <c r="H41" s="67">
        <f t="shared" si="1"/>
        <v>307.1568362192321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6.2</v>
      </c>
      <c r="N41" s="13">
        <f>IF('Données projet'!$A$36&gt;35,N40+M41-V40,IF(A41&lt;'Données projet'!$A$36,$K$205^A41,IF(A41='Données projet'!$A$36,'Données projet'!$B$36,N40+M41-V40)))</f>
        <v>276.59999999999985</v>
      </c>
      <c r="O41" s="13">
        <f>N41*VLOOKUP('Données projet'!$B$9,Paramètres!$A$1:$I$89,3,0)*VLOOKUP('Données projet'!$B$9,Paramètres!$A$1:$I$89,5,0)</f>
        <v>250.26767999999987</v>
      </c>
      <c r="P41" s="13">
        <f t="shared" si="33"/>
        <v>60.643256925083385</v>
      </c>
      <c r="Q41" s="20">
        <f t="shared" si="53"/>
        <v>541.50321514451991</v>
      </c>
      <c r="R41" s="59">
        <f t="shared" si="0"/>
        <v>834.83654847785328</v>
      </c>
      <c r="S41" s="59">
        <f ca="1">AVERAGE(OFFSET($R$3,0,0,'Données projet'!$E$9+1,1))-AVERAGE(OFFSET($H$3,0,0,'Données projet'!$E$9+1,1))</f>
        <v>336.59194805061094</v>
      </c>
      <c r="T41" s="59">
        <f t="shared" si="34"/>
        <v>473.66884161123909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2.5448424199515634</v>
      </c>
      <c r="AA41" s="21">
        <f>EXP(-LN(2)/25)*AA40+(1-EXP(-LN(2)/25))/(LN(2)/25)*Calculateur!V41*Calculateur!X41*VLOOKUP('Données projet'!$B$9,Paramètres!$A$1:$I$89,3,0)*0.475*44/12</f>
        <v>0</v>
      </c>
      <c r="AB41" s="21">
        <f>EXP(-LN(2)/2)*AB40+(1-EXP(-LN(2)/2))/(LN(2)/2)*V41*Y41*VLOOKUP('Données projet'!$B$9,Paramètres!$A$1:$I$89,3,0)*0.475*44/12</f>
        <v>0</v>
      </c>
      <c r="AC41" s="22">
        <f t="shared" si="3"/>
        <v>2.5448424199515634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11.4</v>
      </c>
      <c r="AI41" s="13">
        <f>IF('Données projet'!$A$62&gt;35,AI40+AH41-AQ40,IF(A41&lt;'Données projet'!$A$62,$AF$205^A41,IF(A41='Données projet'!$A$62,'Données projet'!$B$62,AI40+AH41-AQ40)))</f>
        <v>205.2</v>
      </c>
      <c r="AJ41" s="13">
        <f>AI41*VLOOKUP('Données projet'!$B$10,Paramètres!$A$1:$I$89,3,0)*VLOOKUP('Données projet'!$B$10,Paramètres!$A$1:$I$89,5,0)</f>
        <v>134.44703999999999</v>
      </c>
      <c r="AK41" s="13">
        <f t="shared" si="35"/>
        <v>35.021919474074494</v>
      </c>
      <c r="AL41" s="20">
        <f t="shared" si="4"/>
        <v>295.1584377506797</v>
      </c>
      <c r="AM41" s="59">
        <f t="shared" si="5"/>
        <v>588.49177108401295</v>
      </c>
      <c r="AN41" s="59">
        <f ca="1">AVERAGE(OFFSET($AM$3,0,0,'Données projet'!$E$10+1,1))-AVERAGE(OFFSET($H$3,0,0,'Données projet'!$E$10+1,1))</f>
        <v>244.66788784685366</v>
      </c>
      <c r="AO41" s="59">
        <f t="shared" si="36"/>
        <v>252.04429018409274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10.271998043750852</v>
      </c>
      <c r="AV41" s="21">
        <f>EXP(-LN(2)/25)*AV40+(1-EXP(-LN(2)/25))/(LN(2)/25)*Calculateur!AQ41*Calculateur!AS41*VLOOKUP('Données projet'!$B$10,Paramètres!$A$1:$I$89,3,0)*0.475*44/12</f>
        <v>0</v>
      </c>
      <c r="AW41" s="21">
        <f>EXP(-LN(2)/2)*AW40+(1-EXP(-LN(2)/2))/(LN(2)/2)*AQ41*AT41*VLOOKUP('Données projet'!$B$10,Paramètres!$A$1:$I$89,3,0)*0.475*44/12</f>
        <v>0</v>
      </c>
      <c r="AX41" s="21">
        <f t="shared" si="6"/>
        <v>10.271998043750852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8</v>
      </c>
      <c r="BD41" s="12">
        <f>IF('Données projet'!$A$88&gt;35,BD40+BC41-BL40,IF(A41&lt;'Données projet'!$A$88,$BA$205^A41,IF(A41='Données projet'!$A$88,'Données projet'!$B$88,BD40+BC41-BL40)))</f>
        <v>213.9999999999998</v>
      </c>
      <c r="BE41" s="13">
        <f>BD41*VLOOKUP('Données projet'!$B$11,Paramètres!$A$1:$I$89,3,0)*VLOOKUP('Données projet'!$B$11,Paramètres!$A$1:$I$89,5,0)</f>
        <v>203.64239999999981</v>
      </c>
      <c r="BF41" s="13">
        <f t="shared" si="37"/>
        <v>50.543814227115405</v>
      </c>
      <c r="BG41" s="20">
        <f t="shared" si="7"/>
        <v>442.70765644555894</v>
      </c>
      <c r="BH41" s="59">
        <f t="shared" si="8"/>
        <v>736.04098977889225</v>
      </c>
      <c r="BI41" s="59">
        <f ca="1">AVERAGE(OFFSET($BH$3,0,0,'Données projet'!$E$11+1,1))-AVERAGE(OFFSET($H$3,0,0,'Données projet'!$E$11+1,1))</f>
        <v>373.51596132356536</v>
      </c>
      <c r="BJ41" s="59">
        <f t="shared" si="38"/>
        <v>417.00150517020114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12.361336421357318</v>
      </c>
      <c r="BQ41" s="21">
        <f>EXP(-LN(2)/25)*BQ40+(1-EXP(-LN(2)/25))/(LN(2)/25)*Calculateur!BL41*Calculateur!BN41*VLOOKUP('Données projet'!$B$11,Paramètres!$A$1:$I$89,3,0)*0.475*44/12</f>
        <v>0</v>
      </c>
      <c r="BR41" s="21">
        <f>EXP(-LN(2)/2)*BR40+(1-EXP(-LN(2)/2))/(LN(2)/2)*BL41*BO41*VLOOKUP('Données projet'!$B$11,Paramètres!$A$1:$I$89,3,0)*0.475*44/12</f>
        <v>0</v>
      </c>
      <c r="BS41" s="22">
        <f t="shared" si="9"/>
        <v>12.361336421357318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8.4</v>
      </c>
      <c r="BY41" s="12">
        <f>IF('Données projet'!$A$114&gt;35,BY40+BX41-CG40,IF(A41&lt;'Données projet'!$A$114,$BV$205^A41,IF(A41='Données projet'!$A$114,'Données projet'!$B$114,BY40+BX41-CG40)))</f>
        <v>120.20000000000002</v>
      </c>
      <c r="BZ41" s="13">
        <f>BY41*VLOOKUP('Données projet'!$B$12,Paramètres!$A$1:$I$89,3,0)*VLOOKUP('Données projet'!$B$12,Paramètres!$A$1:$I$89,5,0)</f>
        <v>108.75696000000002</v>
      </c>
      <c r="CA41" s="13">
        <f t="shared" si="39"/>
        <v>29.037921223305609</v>
      </c>
      <c r="CB41" s="20">
        <f t="shared" si="10"/>
        <v>239.99275146392395</v>
      </c>
      <c r="CC41" s="59">
        <f t="shared" si="11"/>
        <v>533.32608479725729</v>
      </c>
      <c r="CD41" s="59">
        <f ca="1">AVERAGE(OFFSET($CC$3,0,0,'Données projet'!$E$12+1,1))-AVERAGE(OFFSET($H$3,0,0,'Données projet'!$E$12+1,1))</f>
        <v>289.19622253646992</v>
      </c>
      <c r="CE41" s="59">
        <f t="shared" si="40"/>
        <v>191.23827338431175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>
        <f>EXP(-LN(2)/35)*CK40+(1-EXP(-LN(2)/35))/(LN(2)/35)*CG41*CH41*VLOOKUP('Données projet'!$B$12,Paramètres!$A$1:$I$89,3,0)*0.475*44/12</f>
        <v>8.5110840933935616</v>
      </c>
      <c r="CL41" s="21">
        <f>EXP(-LN(2)/25)*CL40+(1-EXP(-LN(2)/25))/(LN(2)/25)*Calculateur!CG41*Calculateur!CI41*VLOOKUP('Données projet'!$B$12,Paramètres!$A$1:$I$89,3,0)*0.475*44/12</f>
        <v>0</v>
      </c>
      <c r="CM41" s="21">
        <f>EXP(-LN(2)/2)*CM40+(1-EXP(-LN(2)/2))/(LN(2)/2)*CG41*CJ41*VLOOKUP('Données projet'!$B$12,Paramètres!$A$1:$I$89,3,0)*0.475*44/12</f>
        <v>0</v>
      </c>
      <c r="CN41" s="22">
        <f t="shared" si="12"/>
        <v>8.5110840933935616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22.51080000000001</v>
      </c>
      <c r="D42" s="11">
        <f t="shared" si="32"/>
        <v>7.2197920710040782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229.49930721476844</v>
      </c>
      <c r="H42" s="67">
        <f t="shared" si="1"/>
        <v>308.44744785699879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6.2</v>
      </c>
      <c r="N42" s="13">
        <f>IF('Données projet'!$A$36&gt;35,N41+M42-V41,IF(A42&lt;'Données projet'!$A$36,$K$205^A42,IF(A42='Données projet'!$A$36,'Données projet'!$B$36,N41+M42-V41)))</f>
        <v>282.79999999999984</v>
      </c>
      <c r="O42" s="13">
        <f>N42*VLOOKUP('Données projet'!$B$9,Paramètres!$A$1:$I$89,3,0)*VLOOKUP('Données projet'!$B$9,Paramètres!$A$1:$I$89,5,0)</f>
        <v>255.87743999999984</v>
      </c>
      <c r="P42" s="13">
        <f t="shared" si="33"/>
        <v>61.842798995505277</v>
      </c>
      <c r="Q42" s="20">
        <f t="shared" si="53"/>
        <v>553.36274958383808</v>
      </c>
      <c r="R42" s="59">
        <f t="shared" si="0"/>
        <v>846.69608291717145</v>
      </c>
      <c r="S42" s="59">
        <f ca="1">AVERAGE(OFFSET($R$3,0,0,'Données projet'!$E$9+1,1))-AVERAGE(OFFSET($H$3,0,0,'Données projet'!$E$9+1,1))</f>
        <v>336.59194805061094</v>
      </c>
      <c r="T42" s="59">
        <f t="shared" si="34"/>
        <v>473.66884161123909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2.4949396122969221</v>
      </c>
      <c r="AA42" s="21">
        <f>EXP(-LN(2)/25)*AA41+(1-EXP(-LN(2)/25))/(LN(2)/25)*Calculateur!V42*Calculateur!X42*VLOOKUP('Données projet'!$B$9,Paramètres!$A$1:$I$89,3,0)*0.475*44/12</f>
        <v>0</v>
      </c>
      <c r="AB42" s="21">
        <f>EXP(-LN(2)/2)*AB41+(1-EXP(-LN(2)/2))/(LN(2)/2)*V42*Y42*VLOOKUP('Données projet'!$B$9,Paramètres!$A$1:$I$89,3,0)*0.475*44/12</f>
        <v>0</v>
      </c>
      <c r="AC42" s="22">
        <f t="shared" si="3"/>
        <v>2.4949396122969221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11.4</v>
      </c>
      <c r="AI42" s="13">
        <f>IF('Données projet'!$A$62&gt;35,AI41+AH42-AQ41,IF(A42&lt;'Données projet'!$A$62,$AF$205^A42,IF(A42='Données projet'!$A$62,'Données projet'!$B$62,AI41+AH42-AQ41)))</f>
        <v>216.6</v>
      </c>
      <c r="AJ42" s="13">
        <f>AI42*VLOOKUP('Données projet'!$B$10,Paramètres!$A$1:$I$89,3,0)*VLOOKUP('Données projet'!$B$10,Paramètres!$A$1:$I$89,5,0)</f>
        <v>141.91631999999998</v>
      </c>
      <c r="AK42" s="13">
        <f t="shared" si="35"/>
        <v>36.735659538535209</v>
      </c>
      <c r="AL42" s="20">
        <f t="shared" si="4"/>
        <v>311.15219769628214</v>
      </c>
      <c r="AM42" s="59">
        <f t="shared" si="5"/>
        <v>604.48553102961546</v>
      </c>
      <c r="AN42" s="59">
        <f ca="1">AVERAGE(OFFSET($AM$3,0,0,'Données projet'!$E$10+1,1))-AVERAGE(OFFSET($H$3,0,0,'Données projet'!$E$10+1,1))</f>
        <v>244.66788784685366</v>
      </c>
      <c r="AO42" s="59">
        <f t="shared" si="36"/>
        <v>252.04429018409274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10.070570427413058</v>
      </c>
      <c r="AV42" s="21">
        <f>EXP(-LN(2)/25)*AV41+(1-EXP(-LN(2)/25))/(LN(2)/25)*Calculateur!AQ42*Calculateur!AS42*VLOOKUP('Données projet'!$B$10,Paramètres!$A$1:$I$89,3,0)*0.475*44/12</f>
        <v>0</v>
      </c>
      <c r="AW42" s="21">
        <f>EXP(-LN(2)/2)*AW41+(1-EXP(-LN(2)/2))/(LN(2)/2)*AQ42*AT42*VLOOKUP('Données projet'!$B$10,Paramètres!$A$1:$I$89,3,0)*0.475*44/12</f>
        <v>0</v>
      </c>
      <c r="AX42" s="21">
        <f t="shared" si="6"/>
        <v>10.070570427413058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8</v>
      </c>
      <c r="BD42" s="12">
        <f>IF('Données projet'!$A$88&gt;35,BD41+BC42-BL41,IF(A42&lt;'Données projet'!$A$88,$BA$205^A42,IF(A42='Données projet'!$A$88,'Données projet'!$B$88,BD41+BC42-BL41)))</f>
        <v>221.9999999999998</v>
      </c>
      <c r="BE42" s="13">
        <f>BD42*VLOOKUP('Données projet'!$B$11,Paramètres!$A$1:$I$89,3,0)*VLOOKUP('Données projet'!$B$11,Paramètres!$A$1:$I$89,5,0)</f>
        <v>211.2551999999998</v>
      </c>
      <c r="BF42" s="13">
        <f t="shared" si="37"/>
        <v>52.209783272090966</v>
      </c>
      <c r="BG42" s="20">
        <f t="shared" si="7"/>
        <v>458.86817919889137</v>
      </c>
      <c r="BH42" s="59">
        <f t="shared" si="8"/>
        <v>752.20151253222468</v>
      </c>
      <c r="BI42" s="59">
        <f ca="1">AVERAGE(OFFSET($BH$3,0,0,'Données projet'!$E$11+1,1))-AVERAGE(OFFSET($H$3,0,0,'Données projet'!$E$11+1,1))</f>
        <v>373.51596132356536</v>
      </c>
      <c r="BJ42" s="59">
        <f t="shared" si="38"/>
        <v>417.00150517020114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12.118938153805237</v>
      </c>
      <c r="BQ42" s="21">
        <f>EXP(-LN(2)/25)*BQ41+(1-EXP(-LN(2)/25))/(LN(2)/25)*Calculateur!BL42*Calculateur!BN42*VLOOKUP('Données projet'!$B$11,Paramètres!$A$1:$I$89,3,0)*0.475*44/12</f>
        <v>0</v>
      </c>
      <c r="BR42" s="21">
        <f>EXP(-LN(2)/2)*BR41+(1-EXP(-LN(2)/2))/(LN(2)/2)*BL42*BO42*VLOOKUP('Données projet'!$B$11,Paramètres!$A$1:$I$89,3,0)*0.475*44/12</f>
        <v>0</v>
      </c>
      <c r="BS42" s="22">
        <f t="shared" si="9"/>
        <v>12.118938153805237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8.4</v>
      </c>
      <c r="BY42" s="12">
        <f>IF('Données projet'!$A$114&gt;35,BY41+BX42-CG41,IF(A42&lt;'Données projet'!$A$114,$BV$205^A42,IF(A42='Données projet'!$A$114,'Données projet'!$B$114,BY41+BX42-CG41)))</f>
        <v>128.60000000000002</v>
      </c>
      <c r="BZ42" s="13">
        <f>BY42*VLOOKUP('Données projet'!$B$12,Paramètres!$A$1:$I$89,3,0)*VLOOKUP('Données projet'!$B$12,Paramètres!$A$1:$I$89,5,0)</f>
        <v>116.35728000000002</v>
      </c>
      <c r="CA42" s="13">
        <f t="shared" si="39"/>
        <v>30.823876427820704</v>
      </c>
      <c r="CB42" s="20">
        <f t="shared" si="10"/>
        <v>256.34051411178774</v>
      </c>
      <c r="CC42" s="59">
        <f t="shared" si="11"/>
        <v>549.67384744512105</v>
      </c>
      <c r="CD42" s="59">
        <f ca="1">AVERAGE(OFFSET($CC$3,0,0,'Données projet'!$E$12+1,1))-AVERAGE(OFFSET($H$3,0,0,'Données projet'!$E$12+1,1))</f>
        <v>289.19622253646992</v>
      </c>
      <c r="CE42" s="59">
        <f t="shared" si="40"/>
        <v>191.23827338431175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>
        <f>EXP(-LN(2)/35)*CK41+(1-EXP(-LN(2)/35))/(LN(2)/35)*CG42*CH42*VLOOKUP('Données projet'!$B$12,Paramètres!$A$1:$I$89,3,0)*0.475*44/12</f>
        <v>8.344186925570817</v>
      </c>
      <c r="CL42" s="21">
        <f>EXP(-LN(2)/25)*CL41+(1-EXP(-LN(2)/25))/(LN(2)/25)*Calculateur!CG42*Calculateur!CI42*VLOOKUP('Données projet'!$B$12,Paramètres!$A$1:$I$89,3,0)*0.475*44/12</f>
        <v>0</v>
      </c>
      <c r="CM42" s="21">
        <f>EXP(-LN(2)/2)*CM41+(1-EXP(-LN(2)/2))/(LN(2)/2)*CG42*CJ42*VLOOKUP('Données projet'!$B$12,Paramètres!$A$1:$I$89,3,0)*0.475*44/12</f>
        <v>0</v>
      </c>
      <c r="CN42" s="22">
        <f t="shared" si="12"/>
        <v>8.344186925570817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23.088000000000012</v>
      </c>
      <c r="D43" s="11">
        <f t="shared" si="32"/>
        <v>7.3831248366439288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235.21570049339184</v>
      </c>
      <c r="H43" s="67">
        <f t="shared" si="1"/>
        <v>309.73720909048819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>
        <f>VLOOKUP(A43,'Données projet'!$A$35:$I$55,2,0)</f>
        <v>289</v>
      </c>
      <c r="L43" s="12">
        <f>VLOOKUP(A43,'Données projet'!$A$35:$I$55,9,0)</f>
        <v>6.2</v>
      </c>
      <c r="M43" s="12">
        <f t="array" ref="M43">INDEX(L:L,MIN(IF(ISNUMBER(L43:L239),ROW(L43:L239),"")))</f>
        <v>6.2</v>
      </c>
      <c r="N43" s="13">
        <f>IF('Données projet'!$A$36&gt;35,N42+M43-V42,IF(A43&lt;'Données projet'!$A$36,$K$205^A43,IF(A43='Données projet'!$A$36,'Données projet'!$B$36,N42+M43-V42)))</f>
        <v>288.99999999999983</v>
      </c>
      <c r="O43" s="13">
        <f>N43*VLOOKUP('Données projet'!$B$9,Paramètres!$A$1:$I$89,3,0)*VLOOKUP('Données projet'!$B$9,Paramètres!$A$1:$I$89,5,0)</f>
        <v>261.48719999999986</v>
      </c>
      <c r="P43" s="13">
        <f t="shared" si="33"/>
        <v>63.039283586802334</v>
      </c>
      <c r="Q43" s="20">
        <f t="shared" si="53"/>
        <v>565.21695891368051</v>
      </c>
      <c r="R43" s="59">
        <f t="shared" si="0"/>
        <v>858.55029224701389</v>
      </c>
      <c r="S43" s="59">
        <f ca="1">AVERAGE(OFFSET($R$3,0,0,'Données projet'!$E$9+1,1))-AVERAGE(OFFSET($H$3,0,0,'Données projet'!$E$9+1,1))</f>
        <v>336.59194805061094</v>
      </c>
      <c r="T43" s="59">
        <f t="shared" si="34"/>
        <v>473.66884161123909</v>
      </c>
      <c r="U43" s="15">
        <f>IF(ISNA(VLOOKUP(A43,'Données projet'!$A$35:$I$55,3,0)),0,VLOOKUP(A43,'Données projet'!$A$35:$I$55,3,0))</f>
        <v>8</v>
      </c>
      <c r="V43" s="15">
        <f>IF(ISNA(VLOOKUP(A43,'Données projet'!$A$35:$I$55,4,0)),0,VLOOKUP(A43,'Données projet'!$A$35:$I$55,4,0))</f>
        <v>7</v>
      </c>
      <c r="W43" s="16">
        <f>IF(ISNA(VLOOKUP(A43,'Données projet'!$A$35:$I$55,5,0)),0%,VLOOKUP(A43,'Données projet'!$A$35:$I$55,5,0)*VLOOKUP('Données projet'!$B$9,Paramètres!$A$1:$I$89,7,0))</f>
        <v>0.3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4.5464975270056485</v>
      </c>
      <c r="AA43" s="21">
        <f>EXP(-LN(2)/25)*AA42+(1-EXP(-LN(2)/25))/(LN(2)/25)*Calculateur!V43*Calculateur!X43*VLOOKUP('Données projet'!$B$9,Paramètres!$A$1:$I$89,3,0)*0.475*44/12</f>
        <v>0</v>
      </c>
      <c r="AB43" s="21">
        <f>EXP(-LN(2)/2)*AB42+(1-EXP(-LN(2)/2))/(LN(2)/2)*V43*Y43*VLOOKUP('Données projet'!$B$9,Paramètres!$A$1:$I$89,3,0)*0.475*44/12</f>
        <v>0</v>
      </c>
      <c r="AC43" s="22">
        <f t="shared" si="3"/>
        <v>4.5464975270056485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>
        <f>VLOOKUP(A43,'Données projet'!$A$61:$I$81,2,0)</f>
        <v>228</v>
      </c>
      <c r="AG43" s="12">
        <f>VLOOKUP(A43,'Données projet'!$A$61:$I$81,9,0)</f>
        <v>11.4</v>
      </c>
      <c r="AH43" s="12">
        <f t="array" ref="AH43">INDEX(AG:AG,MIN(IF(ISNUMBER(AG43:AG239),ROW(AG43:AG239),"")))</f>
        <v>11.4</v>
      </c>
      <c r="AI43" s="13">
        <f>IF('Données projet'!$A$62&gt;35,AI42+AH43-AQ42,IF(A43&lt;'Données projet'!$A$62,$AF$205^A43,IF(A43='Données projet'!$A$62,'Données projet'!$B$62,AI42+AH43-AQ42)))</f>
        <v>228</v>
      </c>
      <c r="AJ43" s="13">
        <f>AI43*VLOOKUP('Données projet'!$B$10,Paramètres!$A$1:$I$89,3,0)*VLOOKUP('Données projet'!$B$10,Paramètres!$A$1:$I$89,5,0)</f>
        <v>149.38559999999998</v>
      </c>
      <c r="AK43" s="13">
        <f t="shared" si="35"/>
        <v>38.438927680599591</v>
      </c>
      <c r="AL43" s="20">
        <f t="shared" si="4"/>
        <v>327.1277190437109</v>
      </c>
      <c r="AM43" s="59">
        <f t="shared" si="5"/>
        <v>620.46105237704421</v>
      </c>
      <c r="AN43" s="59">
        <f ca="1">AVERAGE(OFFSET($AM$3,0,0,'Données projet'!$E$10+1,1))-AVERAGE(OFFSET($H$3,0,0,'Données projet'!$E$10+1,1))</f>
        <v>244.66788784685366</v>
      </c>
      <c r="AO43" s="59">
        <f t="shared" si="36"/>
        <v>252.04429018409274</v>
      </c>
      <c r="AP43" s="15">
        <f>IF(ISNA(VLOOKUP(A43,'Données projet'!$A$61:$I$81,3,0)),0,VLOOKUP(A43,'Données projet'!$A$61:$I$81,3,0))</f>
        <v>6</v>
      </c>
      <c r="AQ43" s="15">
        <f>IF(ISNA(VLOOKUP(A43,'Données projet'!$A$61:$I$81,4,0)),0,VLOOKUP(A43,'Données projet'!$A$61:$I$81,4,0))</f>
        <v>35</v>
      </c>
      <c r="AR43" s="16">
        <f>IF(ISNA(VLOOKUP(A43,'Données projet'!$A$61:$I$81,5,0)),0%,VLOOKUP(A43,'Données projet'!$A$61:$I$81,5,0)*VLOOKUP('Données projet'!$B$10,Paramètres!$A$1:$I$89,7,0))</f>
        <v>0.43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20.773870783456267</v>
      </c>
      <c r="AV43" s="21">
        <f>EXP(-LN(2)/25)*AV42+(1-EXP(-LN(2)/25))/(LN(2)/25)*Calculateur!AQ43*Calculateur!AS43*VLOOKUP('Données projet'!$B$10,Paramètres!$A$1:$I$89,3,0)*0.475*44/12</f>
        <v>0</v>
      </c>
      <c r="AW43" s="21">
        <f>EXP(-LN(2)/2)*AW42+(1-EXP(-LN(2)/2))/(LN(2)/2)*AQ43*AT43*VLOOKUP('Données projet'!$B$10,Paramètres!$A$1:$I$89,3,0)*0.475*44/12</f>
        <v>0</v>
      </c>
      <c r="AX43" s="21">
        <f t="shared" si="6"/>
        <v>20.773870783456267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>
        <f>VLOOKUP(A43,'Données projet'!$A$87:$I$107,2,0)</f>
        <v>230</v>
      </c>
      <c r="BB43" s="12">
        <f>VLOOKUP(A43,'Données projet'!$A$87:$I$107,9,0)</f>
        <v>8</v>
      </c>
      <c r="BC43" s="12">
        <f t="array" ref="BC43">INDEX(BB:BB,MIN(IF(ISNUMBER(BB43:BB239),ROW(BB43:BB239),"")))</f>
        <v>8</v>
      </c>
      <c r="BD43" s="12">
        <f>IF('Données projet'!$A$88&gt;35,BD42+BC43-BL42,IF(A43&lt;'Données projet'!$A$88,$BA$205^A43,IF(A43='Données projet'!$A$88,'Données projet'!$B$88,BD42+BC43-BL42)))</f>
        <v>229.9999999999998</v>
      </c>
      <c r="BE43" s="13">
        <f>BD43*VLOOKUP('Données projet'!$B$11,Paramètres!$A$1:$I$89,3,0)*VLOOKUP('Données projet'!$B$11,Paramètres!$A$1:$I$89,5,0)</f>
        <v>218.8679999999998</v>
      </c>
      <c r="BF43" s="13">
        <f t="shared" si="37"/>
        <v>53.868777293257502</v>
      </c>
      <c r="BG43" s="20">
        <f t="shared" si="7"/>
        <v>475.01655378575651</v>
      </c>
      <c r="BH43" s="59">
        <f t="shared" si="8"/>
        <v>768.34988711908977</v>
      </c>
      <c r="BI43" s="59">
        <f ca="1">AVERAGE(OFFSET($BH$3,0,0,'Données projet'!$E$11+1,1))-AVERAGE(OFFSET($H$3,0,0,'Données projet'!$E$11+1,1))</f>
        <v>373.51596132356536</v>
      </c>
      <c r="BJ43" s="59">
        <f t="shared" si="38"/>
        <v>417.00150517020114</v>
      </c>
      <c r="BK43" s="15">
        <f>IF(ISNA(VLOOKUP(A43,'Données projet'!$A$87:$I$107,3,0)),0,VLOOKUP(A43,'Données projet'!$A$87:$I$107,3,0))</f>
        <v>7</v>
      </c>
      <c r="BL43" s="15">
        <f>IF(ISNA(VLOOKUP(A43,'Données projet'!$A$87:$I$107,4,0)),0,VLOOKUP(A43,'Données projet'!$A$87:$I$107,4,0))</f>
        <v>29</v>
      </c>
      <c r="BM43" s="16">
        <f>IF(ISNA(VLOOKUP(A43,'Données projet'!$A$87:$I$107,5,0)),0%,VLOOKUP(A43,'Données projet'!$A$87:$I$107,5,0)*VLOOKUP('Données projet'!$B$11,Paramètres!$A$1:$I$89,7,0))</f>
        <v>0.43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24.999304364581043</v>
      </c>
      <c r="BQ43" s="21">
        <f>EXP(-LN(2)/25)*BQ42+(1-EXP(-LN(2)/25))/(LN(2)/25)*Calculateur!BL43*Calculateur!BN43*VLOOKUP('Données projet'!$B$11,Paramètres!$A$1:$I$89,3,0)*0.475*44/12</f>
        <v>0</v>
      </c>
      <c r="BR43" s="21">
        <f>EXP(-LN(2)/2)*BR42+(1-EXP(-LN(2)/2))/(LN(2)/2)*BL43*BO43*VLOOKUP('Données projet'!$B$11,Paramètres!$A$1:$I$89,3,0)*0.475*44/12</f>
        <v>0</v>
      </c>
      <c r="BS43" s="22">
        <f t="shared" si="9"/>
        <v>24.999304364581043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>
        <f>VLOOKUP(A43,'Données projet'!$A$113:$I$133,2,0)</f>
        <v>137</v>
      </c>
      <c r="BW43" s="12">
        <f>VLOOKUP(A43,'Données projet'!$A$113:$I$133,9,0)</f>
        <v>8.4</v>
      </c>
      <c r="BX43" s="12">
        <f t="array" ref="BX43">INDEX(BW:BW,MIN(IF(ISNUMBER(BW43:BW239),ROW(BW43:BW239),"")))</f>
        <v>8.4</v>
      </c>
      <c r="BY43" s="12">
        <f>IF('Données projet'!$A$114&gt;35,BY42+BX43-CG42,IF(A43&lt;'Données projet'!$A$114,$BV$205^A43,IF(A43='Données projet'!$A$114,'Données projet'!$B$114,BY42+BX43-CG42)))</f>
        <v>137.00000000000003</v>
      </c>
      <c r="BZ43" s="13">
        <f>BY43*VLOOKUP('Données projet'!$B$12,Paramètres!$A$1:$I$89,3,0)*VLOOKUP('Données projet'!$B$12,Paramètres!$A$1:$I$89,5,0)</f>
        <v>123.95760000000001</v>
      </c>
      <c r="CA43" s="13">
        <f t="shared" si="39"/>
        <v>32.59629414926458</v>
      </c>
      <c r="CB43" s="20">
        <f t="shared" si="10"/>
        <v>272.6646989766358</v>
      </c>
      <c r="CC43" s="59">
        <f t="shared" si="11"/>
        <v>565.99803230996918</v>
      </c>
      <c r="CD43" s="59">
        <f ca="1">AVERAGE(OFFSET($CC$3,0,0,'Données projet'!$E$12+1,1))-AVERAGE(OFFSET($H$3,0,0,'Données projet'!$E$12+1,1))</f>
        <v>289.19622253646992</v>
      </c>
      <c r="CE43" s="59">
        <f t="shared" si="40"/>
        <v>191.23827338431175</v>
      </c>
      <c r="CF43" s="15">
        <f>IF(ISNA(VLOOKUP(A43,'Données projet'!$A$113:$I$133,3,0)),0,VLOOKUP(A43,'Données projet'!$A$113:$I$133,3,0))</f>
        <v>4</v>
      </c>
      <c r="CG43" s="15">
        <f>IF(ISNA(VLOOKUP(A43,'Données projet'!$A$113:$I$133,4,0)),0,VLOOKUP(A43,'Données projet'!$A$113:$I$133,4,0))</f>
        <v>21</v>
      </c>
      <c r="CH43" s="16">
        <f>IF(ISNA(VLOOKUP(A43,'Données projet'!$A$113:$I$133,5,0)),0%,VLOOKUP(A43,'Données projet'!$A$113:$I$133,5,0)*VLOOKUP('Données projet'!$B$12,Paramètres!$A$1:$I$89,7,0))</f>
        <v>0.43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>
        <f>EXP(-LN(2)/35)*CK42+(1-EXP(-LN(2)/35))/(LN(2)/35)*CG43*CH43*VLOOKUP('Données projet'!$B$12,Paramètres!$A$1:$I$89,3,0)*0.475*44/12</f>
        <v>17.212635792006616</v>
      </c>
      <c r="CL43" s="21">
        <f>EXP(-LN(2)/25)*CL42+(1-EXP(-LN(2)/25))/(LN(2)/25)*Calculateur!CG43*Calculateur!CI43*VLOOKUP('Données projet'!$B$12,Paramètres!$A$1:$I$89,3,0)*0.475*44/12</f>
        <v>0</v>
      </c>
      <c r="CM43" s="21">
        <f>EXP(-LN(2)/2)*CM42+(1-EXP(-LN(2)/2))/(LN(2)/2)*CG43*CJ43*VLOOKUP('Données projet'!$B$12,Paramètres!$A$1:$I$89,3,0)*0.475*44/12</f>
        <v>0</v>
      </c>
      <c r="CN43" s="22">
        <f t="shared" si="12"/>
        <v>17.212635792006616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23.665200000000013</v>
      </c>
      <c r="D44" s="11">
        <f t="shared" si="32"/>
        <v>7.5459829425713734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240.92842973213001</v>
      </c>
      <c r="H44" s="67">
        <f t="shared" si="1"/>
        <v>311.02614362497854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6</v>
      </c>
      <c r="N44" s="13">
        <f>IF('Données projet'!$A$36&gt;35,N43+M44-V43,IF(A44&lt;'Données projet'!$A$36,$K$205^A44,IF(A44='Données projet'!$A$36,'Données projet'!$B$36,N43+M44-V43)))</f>
        <v>287.99999999999983</v>
      </c>
      <c r="O44" s="13">
        <f>N44*VLOOKUP('Données projet'!$B$9,Paramètres!$A$1:$I$89,3,0)*VLOOKUP('Données projet'!$B$9,Paramètres!$A$1:$I$89,5,0)</f>
        <v>260.58239999999984</v>
      </c>
      <c r="P44" s="13">
        <f t="shared" si="33"/>
        <v>62.84650592989685</v>
      </c>
      <c r="Q44" s="20">
        <f t="shared" si="53"/>
        <v>563.30534449457014</v>
      </c>
      <c r="R44" s="59">
        <f t="shared" si="0"/>
        <v>856.63867782790339</v>
      </c>
      <c r="S44" s="59">
        <f ca="1">AVERAGE(OFFSET($R$3,0,0,'Données projet'!$E$9+1,1))-AVERAGE(OFFSET($H$3,0,0,'Données projet'!$E$9+1,1))</f>
        <v>336.59194805061094</v>
      </c>
      <c r="T44" s="59">
        <f t="shared" si="34"/>
        <v>473.66884161123909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4.4573434835907397</v>
      </c>
      <c r="AA44" s="21">
        <f>EXP(-LN(2)/25)*AA43+(1-EXP(-LN(2)/25))/(LN(2)/25)*Calculateur!V44*Calculateur!X44*VLOOKUP('Données projet'!$B$9,Paramètres!$A$1:$I$89,3,0)*0.475*44/12</f>
        <v>0</v>
      </c>
      <c r="AB44" s="21">
        <f>EXP(-LN(2)/2)*AB43+(1-EXP(-LN(2)/2))/(LN(2)/2)*V44*Y44*VLOOKUP('Données projet'!$B$9,Paramètres!$A$1:$I$89,3,0)*0.475*44/12</f>
        <v>0</v>
      </c>
      <c r="AC44" s="22">
        <f t="shared" si="3"/>
        <v>4.4573434835907397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9.8000000000000007</v>
      </c>
      <c r="AI44" s="13">
        <f>IF('Données projet'!$A$62&gt;35,AI43+AH44-AQ43,IF(A44&lt;'Données projet'!$A$62,$AF$205^A44,IF(A44='Données projet'!$A$62,'Données projet'!$B$62,AI43+AH44-AQ43)))</f>
        <v>202.8</v>
      </c>
      <c r="AJ44" s="13">
        <f>AI44*VLOOKUP('Données projet'!$B$10,Paramètres!$A$1:$I$89,3,0)*VLOOKUP('Données projet'!$B$10,Paramètres!$A$1:$I$89,5,0)</f>
        <v>132.87456</v>
      </c>
      <c r="AK44" s="13">
        <f t="shared" si="35"/>
        <v>34.659737896678863</v>
      </c>
      <c r="AL44" s="20">
        <f t="shared" si="4"/>
        <v>291.78890217004903</v>
      </c>
      <c r="AM44" s="59">
        <f t="shared" si="5"/>
        <v>585.1222355033824</v>
      </c>
      <c r="AN44" s="59">
        <f ca="1">AVERAGE(OFFSET($AM$3,0,0,'Données projet'!$E$10+1,1))-AVERAGE(OFFSET($H$3,0,0,'Données projet'!$E$10+1,1))</f>
        <v>244.66788784685366</v>
      </c>
      <c r="AO44" s="59">
        <f t="shared" si="36"/>
        <v>252.04429018409274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20.36650784820273</v>
      </c>
      <c r="AV44" s="21">
        <f>EXP(-LN(2)/25)*AV43+(1-EXP(-LN(2)/25))/(LN(2)/25)*Calculateur!AQ44*Calculateur!AS44*VLOOKUP('Données projet'!$B$10,Paramètres!$A$1:$I$89,3,0)*0.475*44/12</f>
        <v>0</v>
      </c>
      <c r="AW44" s="21">
        <f>EXP(-LN(2)/2)*AW43+(1-EXP(-LN(2)/2))/(LN(2)/2)*AQ44*AT44*VLOOKUP('Données projet'!$B$10,Paramètres!$A$1:$I$89,3,0)*0.475*44/12</f>
        <v>0</v>
      </c>
      <c r="AX44" s="21">
        <f t="shared" si="6"/>
        <v>20.36650784820273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7.6</v>
      </c>
      <c r="BD44" s="12">
        <f>IF('Données projet'!$A$88&gt;35,BD43+BC44-BL43,IF(A44&lt;'Données projet'!$A$88,$BA$205^A44,IF(A44='Données projet'!$A$88,'Données projet'!$B$88,BD43+BC44-BL43)))</f>
        <v>208.5999999999998</v>
      </c>
      <c r="BE44" s="13">
        <f>BD44*VLOOKUP('Données projet'!$B$11,Paramètres!$A$1:$I$89,3,0)*VLOOKUP('Données projet'!$B$11,Paramètres!$A$1:$I$89,5,0)</f>
        <v>198.5037599999998</v>
      </c>
      <c r="BF44" s="13">
        <f t="shared" si="37"/>
        <v>49.415195886134661</v>
      </c>
      <c r="BG44" s="20">
        <f t="shared" si="7"/>
        <v>431.79218150168418</v>
      </c>
      <c r="BH44" s="59">
        <f t="shared" si="8"/>
        <v>725.1255148350175</v>
      </c>
      <c r="BI44" s="59">
        <f ca="1">AVERAGE(OFFSET($BH$3,0,0,'Données projet'!$E$11+1,1))-AVERAGE(OFFSET($H$3,0,0,'Données projet'!$E$11+1,1))</f>
        <v>373.51596132356536</v>
      </c>
      <c r="BJ44" s="59">
        <f t="shared" si="38"/>
        <v>417.00150517020114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24.50908325406165</v>
      </c>
      <c r="BQ44" s="21">
        <f>EXP(-LN(2)/25)*BQ43+(1-EXP(-LN(2)/25))/(LN(2)/25)*Calculateur!BL44*Calculateur!BN44*VLOOKUP('Données projet'!$B$11,Paramètres!$A$1:$I$89,3,0)*0.475*44/12</f>
        <v>0</v>
      </c>
      <c r="BR44" s="21">
        <f>EXP(-LN(2)/2)*BR43+(1-EXP(-LN(2)/2))/(LN(2)/2)*BL44*BO44*VLOOKUP('Données projet'!$B$11,Paramètres!$A$1:$I$89,3,0)*0.475*44/12</f>
        <v>0</v>
      </c>
      <c r="BS44" s="22">
        <f t="shared" si="9"/>
        <v>24.50908325406165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8.4</v>
      </c>
      <c r="BY44" s="12">
        <f>IF('Données projet'!$A$114&gt;35,BY43+BX44-CG43,IF(A44&lt;'Données projet'!$A$114,$BV$205^A44,IF(A44='Données projet'!$A$114,'Données projet'!$B$114,BY43+BX44-CG43)))</f>
        <v>124.40000000000003</v>
      </c>
      <c r="BZ44" s="13">
        <f>BY44*VLOOKUP('Données projet'!$B$12,Paramètres!$A$1:$I$89,3,0)*VLOOKUP('Données projet'!$B$12,Paramètres!$A$1:$I$89,5,0)</f>
        <v>112.55712000000003</v>
      </c>
      <c r="CA44" s="13">
        <f t="shared" si="39"/>
        <v>29.932653834140599</v>
      </c>
      <c r="CB44" s="20">
        <f t="shared" si="10"/>
        <v>248.16968942779496</v>
      </c>
      <c r="CC44" s="59">
        <f t="shared" si="11"/>
        <v>541.50302276112825</v>
      </c>
      <c r="CD44" s="59">
        <f ca="1">AVERAGE(OFFSET($CC$3,0,0,'Données projet'!$E$12+1,1))-AVERAGE(OFFSET($H$3,0,0,'Données projet'!$E$12+1,1))</f>
        <v>289.19622253646992</v>
      </c>
      <c r="CE44" s="59">
        <f t="shared" si="40"/>
        <v>191.23827338431175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>
        <f>EXP(-LN(2)/35)*CK43+(1-EXP(-LN(2)/35))/(LN(2)/35)*CG44*CH44*VLOOKUP('Données projet'!$B$12,Paramètres!$A$1:$I$89,3,0)*0.475*44/12</f>
        <v>16.875106502796541</v>
      </c>
      <c r="CL44" s="21">
        <f>EXP(-LN(2)/25)*CL43+(1-EXP(-LN(2)/25))/(LN(2)/25)*Calculateur!CG44*Calculateur!CI44*VLOOKUP('Données projet'!$B$12,Paramètres!$A$1:$I$89,3,0)*0.475*44/12</f>
        <v>0</v>
      </c>
      <c r="CM44" s="21">
        <f>EXP(-LN(2)/2)*CM43+(1-EXP(-LN(2)/2))/(LN(2)/2)*CG44*CJ44*VLOOKUP('Données projet'!$B$12,Paramètres!$A$1:$I$89,3,0)*0.475*44/12</f>
        <v>0</v>
      </c>
      <c r="CN44" s="22">
        <f t="shared" si="12"/>
        <v>16.875106502796541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24.242400000000014</v>
      </c>
      <c r="D45" s="11">
        <f t="shared" si="32"/>
        <v>7.7083792976822068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246.63759457859965</v>
      </c>
      <c r="H45" s="67">
        <f t="shared" si="1"/>
        <v>312.31427394346321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6</v>
      </c>
      <c r="N45" s="13">
        <f>IF('Données projet'!$A$36&gt;35,N44+M45-V44,IF(A45&lt;'Données projet'!$A$36,$K$205^A45,IF(A45='Données projet'!$A$36,'Données projet'!$B$36,N44+M45-V44)))</f>
        <v>293.99999999999983</v>
      </c>
      <c r="O45" s="13">
        <f>N45*VLOOKUP('Données projet'!$B$9,Paramètres!$A$1:$I$89,3,0)*VLOOKUP('Données projet'!$B$9,Paramètres!$A$1:$I$89,5,0)</f>
        <v>266.01119999999986</v>
      </c>
      <c r="P45" s="13">
        <f t="shared" si="33"/>
        <v>64.00201337612566</v>
      </c>
      <c r="Q45" s="20">
        <f t="shared" si="53"/>
        <v>574.77301329675186</v>
      </c>
      <c r="R45" s="59">
        <f t="shared" si="0"/>
        <v>868.10634663008523</v>
      </c>
      <c r="S45" s="59">
        <f ca="1">AVERAGE(OFFSET($R$3,0,0,'Données projet'!$E$9+1,1))-AVERAGE(OFFSET($H$3,0,0,'Données projet'!$E$9+1,1))</f>
        <v>336.59194805061094</v>
      </c>
      <c r="T45" s="59">
        <f t="shared" si="34"/>
        <v>473.66884161123909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4.3699376965886003</v>
      </c>
      <c r="AA45" s="21">
        <f>EXP(-LN(2)/25)*AA44+(1-EXP(-LN(2)/25))/(LN(2)/25)*Calculateur!V45*Calculateur!X45*VLOOKUP('Données projet'!$B$9,Paramètres!$A$1:$I$89,3,0)*0.475*44/12</f>
        <v>0</v>
      </c>
      <c r="AB45" s="21">
        <f>EXP(-LN(2)/2)*AB44+(1-EXP(-LN(2)/2))/(LN(2)/2)*V45*Y45*VLOOKUP('Données projet'!$B$9,Paramètres!$A$1:$I$89,3,0)*0.475*44/12</f>
        <v>0</v>
      </c>
      <c r="AC45" s="22">
        <f t="shared" si="3"/>
        <v>4.3699376965886003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9.8000000000000007</v>
      </c>
      <c r="AI45" s="13">
        <f>IF('Données projet'!$A$62&gt;35,AI44+AH45-AQ44,IF(A45&lt;'Données projet'!$A$62,$AF$205^A45,IF(A45='Données projet'!$A$62,'Données projet'!$B$62,AI44+AH45-AQ44)))</f>
        <v>212.60000000000002</v>
      </c>
      <c r="AJ45" s="13">
        <f>AI45*VLOOKUP('Données projet'!$B$10,Paramètres!$A$1:$I$89,3,0)*VLOOKUP('Données projet'!$B$10,Paramètres!$A$1:$I$89,5,0)</f>
        <v>139.29552000000001</v>
      </c>
      <c r="AK45" s="13">
        <f t="shared" si="35"/>
        <v>36.135571666868977</v>
      </c>
      <c r="AL45" s="20">
        <f t="shared" si="4"/>
        <v>305.54248465313009</v>
      </c>
      <c r="AM45" s="59">
        <f t="shared" si="5"/>
        <v>598.8758179864634</v>
      </c>
      <c r="AN45" s="59">
        <f ca="1">AVERAGE(OFFSET($AM$3,0,0,'Données projet'!$E$10+1,1))-AVERAGE(OFFSET($H$3,0,0,'Données projet'!$E$10+1,1))</f>
        <v>244.66788784685366</v>
      </c>
      <c r="AO45" s="59">
        <f t="shared" si="36"/>
        <v>252.04429018409274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19.967133051642659</v>
      </c>
      <c r="AV45" s="21">
        <f>EXP(-LN(2)/25)*AV44+(1-EXP(-LN(2)/25))/(LN(2)/25)*Calculateur!AQ45*Calculateur!AS45*VLOOKUP('Données projet'!$B$10,Paramètres!$A$1:$I$89,3,0)*0.475*44/12</f>
        <v>0</v>
      </c>
      <c r="AW45" s="21">
        <f>EXP(-LN(2)/2)*AW44+(1-EXP(-LN(2)/2))/(LN(2)/2)*AQ45*AT45*VLOOKUP('Données projet'!$B$10,Paramètres!$A$1:$I$89,3,0)*0.475*44/12</f>
        <v>0</v>
      </c>
      <c r="AX45" s="21">
        <f t="shared" si="6"/>
        <v>19.967133051642659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7.6</v>
      </c>
      <c r="BD45" s="12">
        <f>IF('Données projet'!$A$88&gt;35,BD44+BC45-BL44,IF(A45&lt;'Données projet'!$A$88,$BA$205^A45,IF(A45='Données projet'!$A$88,'Données projet'!$B$88,BD44+BC45-BL44)))</f>
        <v>216.19999999999979</v>
      </c>
      <c r="BE45" s="13">
        <f>BD45*VLOOKUP('Données projet'!$B$11,Paramètres!$A$1:$I$89,3,0)*VLOOKUP('Données projet'!$B$11,Paramètres!$A$1:$I$89,5,0)</f>
        <v>205.73591999999979</v>
      </c>
      <c r="BF45" s="13">
        <f t="shared" si="37"/>
        <v>51.002667350675125</v>
      </c>
      <c r="BG45" s="20">
        <f t="shared" si="7"/>
        <v>447.15303963575883</v>
      </c>
      <c r="BH45" s="59">
        <f t="shared" si="8"/>
        <v>740.48637296909214</v>
      </c>
      <c r="BI45" s="59">
        <f ca="1">AVERAGE(OFFSET($BH$3,0,0,'Données projet'!$E$11+1,1))-AVERAGE(OFFSET($H$3,0,0,'Données projet'!$E$11+1,1))</f>
        <v>373.51596132356536</v>
      </c>
      <c r="BJ45" s="59">
        <f t="shared" si="38"/>
        <v>417.00150517020114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24.028475080514188</v>
      </c>
      <c r="BQ45" s="21">
        <f>EXP(-LN(2)/25)*BQ44+(1-EXP(-LN(2)/25))/(LN(2)/25)*Calculateur!BL45*Calculateur!BN45*VLOOKUP('Données projet'!$B$11,Paramètres!$A$1:$I$89,3,0)*0.475*44/12</f>
        <v>0</v>
      </c>
      <c r="BR45" s="21">
        <f>EXP(-LN(2)/2)*BR44+(1-EXP(-LN(2)/2))/(LN(2)/2)*BL45*BO45*VLOOKUP('Données projet'!$B$11,Paramètres!$A$1:$I$89,3,0)*0.475*44/12</f>
        <v>0</v>
      </c>
      <c r="BS45" s="22">
        <f t="shared" si="9"/>
        <v>24.028475080514188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8.4</v>
      </c>
      <c r="BY45" s="12">
        <f>IF('Données projet'!$A$114&gt;35,BY44+BX45-CG44,IF(A45&lt;'Données projet'!$A$114,$BV$205^A45,IF(A45='Données projet'!$A$114,'Données projet'!$B$114,BY44+BX45-CG44)))</f>
        <v>132.80000000000004</v>
      </c>
      <c r="BZ45" s="13">
        <f>BY45*VLOOKUP('Données projet'!$B$12,Paramètres!$A$1:$I$89,3,0)*VLOOKUP('Données projet'!$B$12,Paramètres!$A$1:$I$89,5,0)</f>
        <v>120.15744000000002</v>
      </c>
      <c r="CA45" s="13">
        <f t="shared" si="39"/>
        <v>31.711716786129845</v>
      </c>
      <c r="CB45" s="20">
        <f t="shared" si="10"/>
        <v>264.50544806917623</v>
      </c>
      <c r="CC45" s="59">
        <f t="shared" si="11"/>
        <v>557.83878140250954</v>
      </c>
      <c r="CD45" s="59">
        <f ca="1">AVERAGE(OFFSET($CC$3,0,0,'Données projet'!$E$12+1,1))-AVERAGE(OFFSET($H$3,0,0,'Données projet'!$E$12+1,1))</f>
        <v>289.19622253646992</v>
      </c>
      <c r="CE45" s="59">
        <f t="shared" si="40"/>
        <v>191.23827338431175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>
        <f>EXP(-LN(2)/35)*CK44+(1-EXP(-LN(2)/35))/(LN(2)/35)*CG45*CH45*VLOOKUP('Données projet'!$B$12,Paramètres!$A$1:$I$89,3,0)*0.475*44/12</f>
        <v>16.544195957075338</v>
      </c>
      <c r="CL45" s="21">
        <f>EXP(-LN(2)/25)*CL44+(1-EXP(-LN(2)/25))/(LN(2)/25)*Calculateur!CG45*Calculateur!CI45*VLOOKUP('Données projet'!$B$12,Paramètres!$A$1:$I$89,3,0)*0.475*44/12</f>
        <v>0</v>
      </c>
      <c r="CM45" s="21">
        <f>EXP(-LN(2)/2)*CM44+(1-EXP(-LN(2)/2))/(LN(2)/2)*CG45*CJ45*VLOOKUP('Données projet'!$B$12,Paramètres!$A$1:$I$89,3,0)*0.475*44/12</f>
        <v>0</v>
      </c>
      <c r="CN45" s="22">
        <f t="shared" si="12"/>
        <v>16.544195957075338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24.819600000000015</v>
      </c>
      <c r="D46" s="11">
        <f t="shared" si="32"/>
        <v>7.870326161102529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252.34328966465125</v>
      </c>
      <c r="H46" s="67">
        <f t="shared" si="1"/>
        <v>313.60162139725361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6</v>
      </c>
      <c r="N46" s="13">
        <f>IF('Données projet'!$A$36&gt;35,N45+M46-V45,IF(A46&lt;'Données projet'!$A$36,$K$205^A46,IF(A46='Données projet'!$A$36,'Données projet'!$B$36,N45+M46-V45)))</f>
        <v>299.99999999999983</v>
      </c>
      <c r="O46" s="13">
        <f>N46*VLOOKUP('Données projet'!$B$9,Paramètres!$A$1:$I$89,3,0)*VLOOKUP('Données projet'!$B$9,Paramètres!$A$1:$I$89,5,0)</f>
        <v>271.43999999999983</v>
      </c>
      <c r="P46" s="13">
        <f t="shared" si="33"/>
        <v>65.154778959151173</v>
      </c>
      <c r="Q46" s="20">
        <f t="shared" si="53"/>
        <v>586.23590668718793</v>
      </c>
      <c r="R46" s="59">
        <f t="shared" si="0"/>
        <v>879.56924002052119</v>
      </c>
      <c r="S46" s="59">
        <f ca="1">AVERAGE(OFFSET($R$3,0,0,'Données projet'!$E$9+1,1))-AVERAGE(OFFSET($H$3,0,0,'Données projet'!$E$9+1,1))</f>
        <v>336.59194805061094</v>
      </c>
      <c r="T46" s="59">
        <f t="shared" si="34"/>
        <v>473.66884161123909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4.2842458837573067</v>
      </c>
      <c r="AA46" s="21">
        <f>EXP(-LN(2)/25)*AA45+(1-EXP(-LN(2)/25))/(LN(2)/25)*Calculateur!V46*Calculateur!X46*VLOOKUP('Données projet'!$B$9,Paramètres!$A$1:$I$89,3,0)*0.475*44/12</f>
        <v>0</v>
      </c>
      <c r="AB46" s="21">
        <f>EXP(-LN(2)/2)*AB45+(1-EXP(-LN(2)/2))/(LN(2)/2)*V46*Y46*VLOOKUP('Données projet'!$B$9,Paramètres!$A$1:$I$89,3,0)*0.475*44/12</f>
        <v>0</v>
      </c>
      <c r="AC46" s="22">
        <f t="shared" si="3"/>
        <v>4.2842458837573067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9.8000000000000007</v>
      </c>
      <c r="AI46" s="13">
        <f>IF('Données projet'!$A$62&gt;35,AI45+AH46-AQ45,IF(A46&lt;'Données projet'!$A$62,$AF$205^A46,IF(A46='Données projet'!$A$62,'Données projet'!$B$62,AI45+AH46-AQ45)))</f>
        <v>222.40000000000003</v>
      </c>
      <c r="AJ46" s="13">
        <f>AI46*VLOOKUP('Données projet'!$B$10,Paramètres!$A$1:$I$89,3,0)*VLOOKUP('Données projet'!$B$10,Paramètres!$A$1:$I$89,5,0)</f>
        <v>145.71648000000002</v>
      </c>
      <c r="AK46" s="13">
        <f t="shared" si="35"/>
        <v>37.60350500083149</v>
      </c>
      <c r="AL46" s="20">
        <f t="shared" si="4"/>
        <v>319.28230720978155</v>
      </c>
      <c r="AM46" s="59">
        <f t="shared" si="5"/>
        <v>612.61564054311486</v>
      </c>
      <c r="AN46" s="59">
        <f ca="1">AVERAGE(OFFSET($AM$3,0,0,'Données projet'!$E$10+1,1))-AVERAGE(OFFSET($H$3,0,0,'Données projet'!$E$10+1,1))</f>
        <v>244.66788784685366</v>
      </c>
      <c r="AO46" s="59">
        <f t="shared" si="36"/>
        <v>252.04429018409274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19.575589751248557</v>
      </c>
      <c r="AV46" s="21">
        <f>EXP(-LN(2)/25)*AV45+(1-EXP(-LN(2)/25))/(LN(2)/25)*Calculateur!AQ46*Calculateur!AS46*VLOOKUP('Données projet'!$B$10,Paramètres!$A$1:$I$89,3,0)*0.475*44/12</f>
        <v>0</v>
      </c>
      <c r="AW46" s="21">
        <f>EXP(-LN(2)/2)*AW45+(1-EXP(-LN(2)/2))/(LN(2)/2)*AQ46*AT46*VLOOKUP('Données projet'!$B$10,Paramètres!$A$1:$I$89,3,0)*0.475*44/12</f>
        <v>0</v>
      </c>
      <c r="AX46" s="21">
        <f t="shared" si="6"/>
        <v>19.575589751248557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7.6</v>
      </c>
      <c r="BD46" s="12">
        <f>IF('Données projet'!$A$88&gt;35,BD45+BC46-BL45,IF(A46&lt;'Données projet'!$A$88,$BA$205^A46,IF(A46='Données projet'!$A$88,'Données projet'!$B$88,BD45+BC46-BL45)))</f>
        <v>223.79999999999978</v>
      </c>
      <c r="BE46" s="13">
        <f>BD46*VLOOKUP('Données projet'!$B$11,Paramètres!$A$1:$I$89,3,0)*VLOOKUP('Données projet'!$B$11,Paramètres!$A$1:$I$89,5,0)</f>
        <v>212.96807999999979</v>
      </c>
      <c r="BF46" s="13">
        <f t="shared" si="37"/>
        <v>52.583655112531559</v>
      </c>
      <c r="BG46" s="20">
        <f t="shared" si="7"/>
        <v>462.50260532099202</v>
      </c>
      <c r="BH46" s="59">
        <f t="shared" si="8"/>
        <v>755.83593865432533</v>
      </c>
      <c r="BI46" s="59">
        <f ca="1">AVERAGE(OFFSET($BH$3,0,0,'Données projet'!$E$11+1,1))-AVERAGE(OFFSET($H$3,0,0,'Données projet'!$E$11+1,1))</f>
        <v>373.51596132356536</v>
      </c>
      <c r="BJ46" s="59">
        <f t="shared" si="38"/>
        <v>417.00150517020114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23.557291340107952</v>
      </c>
      <c r="BQ46" s="21">
        <f>EXP(-LN(2)/25)*BQ45+(1-EXP(-LN(2)/25))/(LN(2)/25)*Calculateur!BL46*Calculateur!BN46*VLOOKUP('Données projet'!$B$11,Paramètres!$A$1:$I$89,3,0)*0.475*44/12</f>
        <v>0</v>
      </c>
      <c r="BR46" s="21">
        <f>EXP(-LN(2)/2)*BR45+(1-EXP(-LN(2)/2))/(LN(2)/2)*BL46*BO46*VLOOKUP('Données projet'!$B$11,Paramètres!$A$1:$I$89,3,0)*0.475*44/12</f>
        <v>0</v>
      </c>
      <c r="BS46" s="22">
        <f t="shared" si="9"/>
        <v>23.557291340107952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8.4</v>
      </c>
      <c r="BY46" s="12">
        <f>IF('Données projet'!$A$114&gt;35,BY45+BX46-CG45,IF(A46&lt;'Données projet'!$A$114,$BV$205^A46,IF(A46='Données projet'!$A$114,'Données projet'!$B$114,BY45+BX46-CG45)))</f>
        <v>141.20000000000005</v>
      </c>
      <c r="BZ46" s="13">
        <f>BY46*VLOOKUP('Données projet'!$B$12,Paramètres!$A$1:$I$89,3,0)*VLOOKUP('Données projet'!$B$12,Paramètres!$A$1:$I$89,5,0)</f>
        <v>127.75776000000003</v>
      </c>
      <c r="CA46" s="13">
        <f t="shared" si="39"/>
        <v>33.477720030956604</v>
      </c>
      <c r="CB46" s="20">
        <f t="shared" si="10"/>
        <v>280.81846105391611</v>
      </c>
      <c r="CC46" s="59">
        <f t="shared" si="11"/>
        <v>574.15179438724942</v>
      </c>
      <c r="CD46" s="59">
        <f ca="1">AVERAGE(OFFSET($CC$3,0,0,'Données projet'!$E$12+1,1))-AVERAGE(OFFSET($H$3,0,0,'Données projet'!$E$12+1,1))</f>
        <v>289.19622253646992</v>
      </c>
      <c r="CE46" s="59">
        <f t="shared" si="40"/>
        <v>191.23827338431175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>
        <f>EXP(-LN(2)/35)*CK45+(1-EXP(-LN(2)/35))/(LN(2)/35)*CG46*CH46*VLOOKUP('Données projet'!$B$12,Paramètres!$A$1:$I$89,3,0)*0.475*44/12</f>
        <v>16.219774365320227</v>
      </c>
      <c r="CL46" s="21">
        <f>EXP(-LN(2)/25)*CL45+(1-EXP(-LN(2)/25))/(LN(2)/25)*Calculateur!CG46*Calculateur!CI46*VLOOKUP('Données projet'!$B$12,Paramètres!$A$1:$I$89,3,0)*0.475*44/12</f>
        <v>0</v>
      </c>
      <c r="CM46" s="21">
        <f>EXP(-LN(2)/2)*CM45+(1-EXP(-LN(2)/2))/(LN(2)/2)*CG46*CJ46*VLOOKUP('Données projet'!$B$12,Paramètres!$A$1:$I$89,3,0)*0.475*44/12</f>
        <v>0</v>
      </c>
      <c r="CN46" s="22">
        <f t="shared" si="12"/>
        <v>16.219774365320227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25.396800000000017</v>
      </c>
      <c r="D47" s="11">
        <f t="shared" si="32"/>
        <v>8.0318351892337905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258.04560496952416</v>
      </c>
      <c r="H47" s="67">
        <f t="shared" si="1"/>
        <v>314.88820628791558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6</v>
      </c>
      <c r="N47" s="13">
        <f>IF('Données projet'!$A$36&gt;35,N46+M47-V46,IF(A47&lt;'Données projet'!$A$36,$K$205^A47,IF(A47='Données projet'!$A$36,'Données projet'!$B$36,N46+M47-V46)))</f>
        <v>305.99999999999983</v>
      </c>
      <c r="O47" s="13">
        <f>N47*VLOOKUP('Données projet'!$B$9,Paramètres!$A$1:$I$89,3,0)*VLOOKUP('Données projet'!$B$9,Paramètres!$A$1:$I$89,5,0)</f>
        <v>276.86879999999979</v>
      </c>
      <c r="P47" s="13">
        <f t="shared" si="33"/>
        <v>66.304863836318603</v>
      </c>
      <c r="Q47" s="20">
        <f t="shared" si="53"/>
        <v>597.69413118158775</v>
      </c>
      <c r="R47" s="59">
        <f t="shared" si="0"/>
        <v>891.02746451492112</v>
      </c>
      <c r="S47" s="59">
        <f ca="1">AVERAGE(OFFSET($R$3,0,0,'Données projet'!$E$9+1,1))-AVERAGE(OFFSET($H$3,0,0,'Données projet'!$E$9+1,1))</f>
        <v>336.59194805061094</v>
      </c>
      <c r="T47" s="59">
        <f t="shared" si="34"/>
        <v>473.66884161123909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4.2002344351087899</v>
      </c>
      <c r="AA47" s="21">
        <f>EXP(-LN(2)/25)*AA46+(1-EXP(-LN(2)/25))/(LN(2)/25)*Calculateur!V47*Calculateur!X47*VLOOKUP('Données projet'!$B$9,Paramètres!$A$1:$I$89,3,0)*0.475*44/12</f>
        <v>0</v>
      </c>
      <c r="AB47" s="21">
        <f>EXP(-LN(2)/2)*AB46+(1-EXP(-LN(2)/2))/(LN(2)/2)*V47*Y47*VLOOKUP('Données projet'!$B$9,Paramètres!$A$1:$I$89,3,0)*0.475*44/12</f>
        <v>0</v>
      </c>
      <c r="AC47" s="22">
        <f t="shared" si="3"/>
        <v>4.2002344351087899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9.8000000000000007</v>
      </c>
      <c r="AI47" s="13">
        <f>IF('Données projet'!$A$62&gt;35,AI46+AH47-AQ46,IF(A47&lt;'Données projet'!$A$62,$AF$205^A47,IF(A47='Données projet'!$A$62,'Données projet'!$B$62,AI46+AH47-AQ46)))</f>
        <v>232.20000000000005</v>
      </c>
      <c r="AJ47" s="13">
        <f>AI47*VLOOKUP('Données projet'!$B$10,Paramètres!$A$1:$I$89,3,0)*VLOOKUP('Données projet'!$B$10,Paramètres!$A$1:$I$89,5,0)</f>
        <v>152.13744000000003</v>
      </c>
      <c r="AK47" s="13">
        <f t="shared" si="35"/>
        <v>39.063925813036093</v>
      </c>
      <c r="AL47" s="20">
        <f t="shared" si="4"/>
        <v>333.00904545770453</v>
      </c>
      <c r="AM47" s="59">
        <f t="shared" si="5"/>
        <v>626.34237879103785</v>
      </c>
      <c r="AN47" s="59">
        <f ca="1">AVERAGE(OFFSET($AM$3,0,0,'Données projet'!$E$10+1,1))-AVERAGE(OFFSET($H$3,0,0,'Données projet'!$E$10+1,1))</f>
        <v>244.66788784685366</v>
      </c>
      <c r="AO47" s="59">
        <f t="shared" si="36"/>
        <v>252.04429018409274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19.191724376157353</v>
      </c>
      <c r="AV47" s="21">
        <f>EXP(-LN(2)/25)*AV46+(1-EXP(-LN(2)/25))/(LN(2)/25)*Calculateur!AQ47*Calculateur!AS47*VLOOKUP('Données projet'!$B$10,Paramètres!$A$1:$I$89,3,0)*0.475*44/12</f>
        <v>0</v>
      </c>
      <c r="AW47" s="21">
        <f>EXP(-LN(2)/2)*AW46+(1-EXP(-LN(2)/2))/(LN(2)/2)*AQ47*AT47*VLOOKUP('Données projet'!$B$10,Paramètres!$A$1:$I$89,3,0)*0.475*44/12</f>
        <v>0</v>
      </c>
      <c r="AX47" s="21">
        <f t="shared" si="6"/>
        <v>19.191724376157353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7.6</v>
      </c>
      <c r="BD47" s="12">
        <f>IF('Données projet'!$A$88&gt;35,BD46+BC47-BL46,IF(A47&lt;'Données projet'!$A$88,$BA$205^A47,IF(A47='Données projet'!$A$88,'Données projet'!$B$88,BD46+BC47-BL46)))</f>
        <v>231.39999999999978</v>
      </c>
      <c r="BE47" s="13">
        <f>BD47*VLOOKUP('Données projet'!$B$11,Paramètres!$A$1:$I$89,3,0)*VLOOKUP('Données projet'!$B$11,Paramètres!$A$1:$I$89,5,0)</f>
        <v>220.20023999999978</v>
      </c>
      <c r="BF47" s="13">
        <f t="shared" si="37"/>
        <v>54.158404590600504</v>
      </c>
      <c r="BG47" s="20">
        <f t="shared" si="7"/>
        <v>477.84130599529544</v>
      </c>
      <c r="BH47" s="59">
        <f t="shared" si="8"/>
        <v>771.1746393286287</v>
      </c>
      <c r="BI47" s="59">
        <f ca="1">AVERAGE(OFFSET($BH$3,0,0,'Données projet'!$E$11+1,1))-AVERAGE(OFFSET($H$3,0,0,'Données projet'!$E$11+1,1))</f>
        <v>373.51596132356536</v>
      </c>
      <c r="BJ47" s="59">
        <f t="shared" si="38"/>
        <v>417.00150517020114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23.095347225457378</v>
      </c>
      <c r="BQ47" s="21">
        <f>EXP(-LN(2)/25)*BQ46+(1-EXP(-LN(2)/25))/(LN(2)/25)*Calculateur!BL47*Calculateur!BN47*VLOOKUP('Données projet'!$B$11,Paramètres!$A$1:$I$89,3,0)*0.475*44/12</f>
        <v>0</v>
      </c>
      <c r="BR47" s="21">
        <f>EXP(-LN(2)/2)*BR46+(1-EXP(-LN(2)/2))/(LN(2)/2)*BL47*BO47*VLOOKUP('Données projet'!$B$11,Paramètres!$A$1:$I$89,3,0)*0.475*44/12</f>
        <v>0</v>
      </c>
      <c r="BS47" s="22">
        <f t="shared" si="9"/>
        <v>23.095347225457378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8.4</v>
      </c>
      <c r="BY47" s="12">
        <f>IF('Données projet'!$A$114&gt;35,BY46+BX47-CG46,IF(A47&lt;'Données projet'!$A$114,$BV$205^A47,IF(A47='Données projet'!$A$114,'Données projet'!$B$114,BY46+BX47-CG46)))</f>
        <v>149.60000000000005</v>
      </c>
      <c r="BZ47" s="13">
        <f>BY47*VLOOKUP('Données projet'!$B$12,Paramètres!$A$1:$I$89,3,0)*VLOOKUP('Données projet'!$B$12,Paramètres!$A$1:$I$89,5,0)</f>
        <v>135.35808000000006</v>
      </c>
      <c r="CA47" s="13">
        <f t="shared" si="39"/>
        <v>35.231528980112834</v>
      </c>
      <c r="CB47" s="20">
        <f t="shared" si="10"/>
        <v>297.11023564036327</v>
      </c>
      <c r="CC47" s="59">
        <f t="shared" si="11"/>
        <v>590.44356897369653</v>
      </c>
      <c r="CD47" s="59">
        <f ca="1">AVERAGE(OFFSET($CC$3,0,0,'Données projet'!$E$12+1,1))-AVERAGE(OFFSET($H$3,0,0,'Données projet'!$E$12+1,1))</f>
        <v>289.19622253646992</v>
      </c>
      <c r="CE47" s="59">
        <f t="shared" si="40"/>
        <v>191.23827338431175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>
        <f>EXP(-LN(2)/35)*CK46+(1-EXP(-LN(2)/35))/(LN(2)/35)*CG47*CH47*VLOOKUP('Données projet'!$B$12,Paramètres!$A$1:$I$89,3,0)*0.475*44/12</f>
        <v>15.901714483101799</v>
      </c>
      <c r="CL47" s="21">
        <f>EXP(-LN(2)/25)*CL46+(1-EXP(-LN(2)/25))/(LN(2)/25)*Calculateur!CG47*Calculateur!CI47*VLOOKUP('Données projet'!$B$12,Paramètres!$A$1:$I$89,3,0)*0.475*44/12</f>
        <v>0</v>
      </c>
      <c r="CM47" s="21">
        <f>EXP(-LN(2)/2)*CM46+(1-EXP(-LN(2)/2))/(LN(2)/2)*CG47*CJ47*VLOOKUP('Données projet'!$B$12,Paramètres!$A$1:$I$89,3,0)*0.475*44/12</f>
        <v>0</v>
      </c>
      <c r="CN47" s="22">
        <f t="shared" si="12"/>
        <v>15.901714483101799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25.974000000000018</v>
      </c>
      <c r="D48" s="11">
        <f t="shared" si="32"/>
        <v>8.1929174784004726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263.7446261490565</v>
      </c>
      <c r="H48" s="67">
        <f t="shared" si="1"/>
        <v>316.17404794154754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>
        <f>VLOOKUP(A48,'Données projet'!$A$35:$I$55,2,0)</f>
        <v>312</v>
      </c>
      <c r="L48" s="12">
        <f>VLOOKUP(A48,'Données projet'!$A$35:$I$55,9,0)</f>
        <v>6</v>
      </c>
      <c r="M48" s="12">
        <f t="array" ref="M48">INDEX(L:L,MIN(IF(ISNUMBER(L48:L244),ROW(L48:L244),"")))</f>
        <v>6</v>
      </c>
      <c r="N48" s="13">
        <f>IF('Données projet'!$A$36&gt;35,N47+M48-V47,IF(A48&lt;'Données projet'!$A$36,$K$205^A48,IF(A48='Données projet'!$A$36,'Données projet'!$B$36,N47+M48-V47)))</f>
        <v>311.99999999999983</v>
      </c>
      <c r="O48" s="13">
        <f>N48*VLOOKUP('Données projet'!$B$9,Paramètres!$A$1:$I$89,3,0)*VLOOKUP('Données projet'!$B$9,Paramètres!$A$1:$I$89,5,0)</f>
        <v>282.29759999999982</v>
      </c>
      <c r="P48" s="13">
        <f t="shared" si="33"/>
        <v>67.452326629470107</v>
      </c>
      <c r="Q48" s="20">
        <f t="shared" si="53"/>
        <v>609.1477888796602</v>
      </c>
      <c r="R48" s="59">
        <f t="shared" si="0"/>
        <v>902.48112221299357</v>
      </c>
      <c r="S48" s="59">
        <f ca="1">AVERAGE(OFFSET($R$3,0,0,'Données projet'!$E$9+1,1))-AVERAGE(OFFSET($H$3,0,0,'Données projet'!$E$9+1,1))</f>
        <v>336.59194805061094</v>
      </c>
      <c r="T48" s="59">
        <f t="shared" si="34"/>
        <v>473.66884161123909</v>
      </c>
      <c r="U48" s="15">
        <f>IF(ISNA(VLOOKUP(A48,'Données projet'!$A$35:$I$55,3,0)),0,VLOOKUP(A48,'Données projet'!$A$35:$I$55,3,0))</f>
        <v>9</v>
      </c>
      <c r="V48" s="15">
        <f>IF(ISNA(VLOOKUP(A48,'Données projet'!$A$35:$I$55,4,0)),0,VLOOKUP(A48,'Données projet'!$A$35:$I$55,4,0))</f>
        <v>7</v>
      </c>
      <c r="W48" s="16">
        <f>IF(ISNA(VLOOKUP(A48,'Données projet'!$A$35:$I$55,5,0)),0%,VLOOKUP(A48,'Données projet'!$A$35:$I$55,5,0)*VLOOKUP('Données projet'!$B$9,Paramètres!$A$1:$I$89,7,0))</f>
        <v>0.3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6.2183525584693138</v>
      </c>
      <c r="AA48" s="21">
        <f>EXP(-LN(2)/25)*AA47+(1-EXP(-LN(2)/25))/(LN(2)/25)*Calculateur!V48*Calculateur!X48*VLOOKUP('Données projet'!$B$9,Paramètres!$A$1:$I$89,3,0)*0.475*44/12</f>
        <v>0</v>
      </c>
      <c r="AB48" s="21">
        <f>EXP(-LN(2)/2)*AB47+(1-EXP(-LN(2)/2))/(LN(2)/2)*V48*Y48*VLOOKUP('Données projet'!$B$9,Paramètres!$A$1:$I$89,3,0)*0.475*44/12</f>
        <v>0</v>
      </c>
      <c r="AC48" s="22">
        <f t="shared" si="3"/>
        <v>6.2183525584693138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>
        <f>VLOOKUP(A48,'Données projet'!$A$61:$I$81,2,0)</f>
        <v>242</v>
      </c>
      <c r="AG48" s="12">
        <f>VLOOKUP(A48,'Données projet'!$A$61:$I$81,9,0)</f>
        <v>9.8000000000000007</v>
      </c>
      <c r="AH48" s="12">
        <f t="array" ref="AH48">INDEX(AG:AG,MIN(IF(ISNUMBER(AG48:AG244),ROW(AG48:AG244),"")))</f>
        <v>9.8000000000000007</v>
      </c>
      <c r="AI48" s="13">
        <f>IF('Données projet'!$A$62&gt;35,AI47+AH48-AQ47,IF(A48&lt;'Données projet'!$A$62,$AF$205^A48,IF(A48='Données projet'!$A$62,'Données projet'!$B$62,AI47+AH48-AQ47)))</f>
        <v>242.00000000000006</v>
      </c>
      <c r="AJ48" s="13">
        <f>AI48*VLOOKUP('Données projet'!$B$10,Paramètres!$A$1:$I$89,3,0)*VLOOKUP('Données projet'!$B$10,Paramètres!$A$1:$I$89,5,0)</f>
        <v>158.55840000000003</v>
      </c>
      <c r="AK48" s="13">
        <f t="shared" si="35"/>
        <v>40.517187421846444</v>
      </c>
      <c r="AL48" s="20">
        <f t="shared" si="4"/>
        <v>346.72331475971595</v>
      </c>
      <c r="AM48" s="59">
        <f t="shared" si="5"/>
        <v>640.05664809304926</v>
      </c>
      <c r="AN48" s="59">
        <f ca="1">AVERAGE(OFFSET($AM$3,0,0,'Données projet'!$E$10+1,1))-AVERAGE(OFFSET($H$3,0,0,'Données projet'!$E$10+1,1))</f>
        <v>244.66788784685366</v>
      </c>
      <c r="AO48" s="59">
        <f t="shared" si="36"/>
        <v>252.04429018409274</v>
      </c>
      <c r="AP48" s="15">
        <f>IF(ISNA(VLOOKUP(A48,'Données projet'!$A$61:$I$81,3,0)),0,VLOOKUP(A48,'Données projet'!$A$61:$I$81,3,0))</f>
        <v>7</v>
      </c>
      <c r="AQ48" s="15">
        <f>IF(ISNA(VLOOKUP(A48,'Données projet'!$A$61:$I$81,4,0)),0,VLOOKUP(A48,'Données projet'!$A$61:$I$81,4,0))</f>
        <v>24</v>
      </c>
      <c r="AR48" s="16">
        <f>IF(ISNA(VLOOKUP(A48,'Données projet'!$A$61:$I$81,5,0)),0%,VLOOKUP(A48,'Données projet'!$A$61:$I$81,5,0)*VLOOKUP('Données projet'!$B$10,Paramètres!$A$1:$I$89,7,0))</f>
        <v>0.43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26.290205635291212</v>
      </c>
      <c r="AV48" s="21">
        <f>EXP(-LN(2)/25)*AV47+(1-EXP(-LN(2)/25))/(LN(2)/25)*Calculateur!AQ48*Calculateur!AS48*VLOOKUP('Données projet'!$B$10,Paramètres!$A$1:$I$89,3,0)*0.475*44/12</f>
        <v>0</v>
      </c>
      <c r="AW48" s="21">
        <f>EXP(-LN(2)/2)*AW47+(1-EXP(-LN(2)/2))/(LN(2)/2)*AQ48*AT48*VLOOKUP('Données projet'!$B$10,Paramètres!$A$1:$I$89,3,0)*0.475*44/12</f>
        <v>0</v>
      </c>
      <c r="AX48" s="21">
        <f t="shared" si="6"/>
        <v>26.290205635291212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>
        <f>VLOOKUP(A48,'Données projet'!$A$87:$I$107,2,0)</f>
        <v>239</v>
      </c>
      <c r="BB48" s="12">
        <f>VLOOKUP(A48,'Données projet'!$A$87:$I$107,9,0)</f>
        <v>7.6</v>
      </c>
      <c r="BC48" s="12">
        <f t="array" ref="BC48">INDEX(BB:BB,MIN(IF(ISNUMBER(BB48:BB244),ROW(BB48:BB244),"")))</f>
        <v>7.6</v>
      </c>
      <c r="BD48" s="12">
        <f>IF('Données projet'!$A$88&gt;35,BD47+BC48-BL47,IF(A48&lt;'Données projet'!$A$88,$BA$205^A48,IF(A48='Données projet'!$A$88,'Données projet'!$B$88,BD47+BC48-BL47)))</f>
        <v>238.99999999999977</v>
      </c>
      <c r="BE48" s="13">
        <f>BD48*VLOOKUP('Données projet'!$B$11,Paramètres!$A$1:$I$89,3,0)*VLOOKUP('Données projet'!$B$11,Paramètres!$A$1:$I$89,5,0)</f>
        <v>227.43239999999977</v>
      </c>
      <c r="BF48" s="13">
        <f t="shared" si="37"/>
        <v>55.727144167941731</v>
      </c>
      <c r="BG48" s="20">
        <f t="shared" si="7"/>
        <v>493.16953942583137</v>
      </c>
      <c r="BH48" s="59">
        <f t="shared" si="8"/>
        <v>786.50287275916469</v>
      </c>
      <c r="BI48" s="59">
        <f ca="1">AVERAGE(OFFSET($BH$3,0,0,'Données projet'!$E$11+1,1))-AVERAGE(OFFSET($H$3,0,0,'Données projet'!$E$11+1,1))</f>
        <v>373.51596132356536</v>
      </c>
      <c r="BJ48" s="59">
        <f t="shared" si="38"/>
        <v>417.00150517020114</v>
      </c>
      <c r="BK48" s="15">
        <f>IF(ISNA(VLOOKUP(A48,'Données projet'!$A$87:$I$107,3,0)),0,VLOOKUP(A48,'Données projet'!$A$87:$I$107,3,0))</f>
        <v>8</v>
      </c>
      <c r="BL48" s="15">
        <f>IF(ISNA(VLOOKUP(A48,'Données projet'!$A$87:$I$107,4,0)),0,VLOOKUP(A48,'Données projet'!$A$87:$I$107,4,0))</f>
        <v>30</v>
      </c>
      <c r="BM48" s="16">
        <f>IF(ISNA(VLOOKUP(A48,'Données projet'!$A$87:$I$107,5,0)),0%,VLOOKUP(A48,'Données projet'!$A$87:$I$107,5,0)*VLOOKUP('Données projet'!$B$11,Paramètres!$A$1:$I$89,7,0))</f>
        <v>0.43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36.212817962946879</v>
      </c>
      <c r="BQ48" s="21">
        <f>EXP(-LN(2)/25)*BQ47+(1-EXP(-LN(2)/25))/(LN(2)/25)*Calculateur!BL48*Calculateur!BN48*VLOOKUP('Données projet'!$B$11,Paramètres!$A$1:$I$89,3,0)*0.475*44/12</f>
        <v>0</v>
      </c>
      <c r="BR48" s="21">
        <f>EXP(-LN(2)/2)*BR47+(1-EXP(-LN(2)/2))/(LN(2)/2)*BL48*BO48*VLOOKUP('Données projet'!$B$11,Paramètres!$A$1:$I$89,3,0)*0.475*44/12</f>
        <v>0</v>
      </c>
      <c r="BS48" s="22">
        <f t="shared" si="9"/>
        <v>36.212817962946879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>
        <f>VLOOKUP(A48,'Données projet'!$A$113:$I$133,2,0)</f>
        <v>158</v>
      </c>
      <c r="BW48" s="12">
        <f>VLOOKUP(A48,'Données projet'!$A$113:$I$133,9,0)</f>
        <v>8.4</v>
      </c>
      <c r="BX48" s="12">
        <f t="array" ref="BX48">INDEX(BW:BW,MIN(IF(ISNUMBER(BW48:BW244),ROW(BW48:BW244),"")))</f>
        <v>8.4</v>
      </c>
      <c r="BY48" s="12">
        <f>IF('Données projet'!$A$114&gt;35,BY47+BX48-CG47,IF(A48&lt;'Données projet'!$A$114,$BV$205^A48,IF(A48='Données projet'!$A$114,'Données projet'!$B$114,BY47+BX48-CG47)))</f>
        <v>158.00000000000006</v>
      </c>
      <c r="BZ48" s="13">
        <f>BY48*VLOOKUP('Données projet'!$B$12,Paramètres!$A$1:$I$89,3,0)*VLOOKUP('Données projet'!$B$12,Paramètres!$A$1:$I$89,5,0)</f>
        <v>142.95840000000004</v>
      </c>
      <c r="CA48" s="13">
        <f t="shared" si="39"/>
        <v>36.973906370811264</v>
      </c>
      <c r="CB48" s="20">
        <f t="shared" si="10"/>
        <v>313.38210026249641</v>
      </c>
      <c r="CC48" s="59">
        <f t="shared" si="11"/>
        <v>606.71543359582972</v>
      </c>
      <c r="CD48" s="59">
        <f ca="1">AVERAGE(OFFSET($CC$3,0,0,'Données projet'!$E$12+1,1))-AVERAGE(OFFSET($H$3,0,0,'Données projet'!$E$12+1,1))</f>
        <v>289.19622253646992</v>
      </c>
      <c r="CE48" s="59">
        <f t="shared" si="40"/>
        <v>191.23827338431175</v>
      </c>
      <c r="CF48" s="15">
        <f>IF(ISNA(VLOOKUP(A48,'Données projet'!$A$113:$I$133,3,0)),0,VLOOKUP(A48,'Données projet'!$A$113:$I$133,3,0))</f>
        <v>5</v>
      </c>
      <c r="CG48" s="15">
        <f>IF(ISNA(VLOOKUP(A48,'Données projet'!$A$113:$I$133,4,0)),0,VLOOKUP(A48,'Données projet'!$A$113:$I$133,4,0))</f>
        <v>21</v>
      </c>
      <c r="CH48" s="16">
        <f>IF(ISNA(VLOOKUP(A48,'Données projet'!$A$113:$I$133,5,0)),0%,VLOOKUP(A48,'Données projet'!$A$113:$I$133,5,0)*VLOOKUP('Données projet'!$B$12,Paramètres!$A$1:$I$89,7,0))</f>
        <v>0.43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>
        <f>EXP(-LN(2)/35)*CK47+(1-EXP(-LN(2)/35))/(LN(2)/35)*CG48*CH48*VLOOKUP('Données projet'!$B$12,Paramètres!$A$1:$I$89,3,0)*0.475*44/12</f>
        <v>24.62196484377106</v>
      </c>
      <c r="CL48" s="21">
        <f>EXP(-LN(2)/25)*CL47+(1-EXP(-LN(2)/25))/(LN(2)/25)*Calculateur!CG48*Calculateur!CI48*VLOOKUP('Données projet'!$B$12,Paramètres!$A$1:$I$89,3,0)*0.475*44/12</f>
        <v>0</v>
      </c>
      <c r="CM48" s="21">
        <f>EXP(-LN(2)/2)*CM47+(1-EXP(-LN(2)/2))/(LN(2)/2)*CG48*CJ48*VLOOKUP('Données projet'!$B$12,Paramètres!$A$1:$I$89,3,0)*0.475*44/12</f>
        <v>0</v>
      </c>
      <c r="CN48" s="22">
        <f t="shared" si="12"/>
        <v>24.62196484377106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26.551200000000019</v>
      </c>
      <c r="D49" s="11">
        <f t="shared" si="32"/>
        <v>8.353583603599974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269.44043483480698</v>
      </c>
      <c r="H49" s="67">
        <f t="shared" si="1"/>
        <v>317.45916477627003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0</v>
      </c>
      <c r="N49" s="13">
        <f>IF('Données projet'!$A$36&gt;35,N48+M49-V48,IF(A49&lt;'Données projet'!$A$36,$K$205^A49,IF(A49='Données projet'!$A$36,'Données projet'!$B$36,N48+M49-V48)))</f>
        <v>304.99999999999983</v>
      </c>
      <c r="O49" s="13">
        <f>N49*VLOOKUP('Données projet'!$B$9,Paramètres!$A$1:$I$89,3,0)*VLOOKUP('Données projet'!$B$9,Paramètres!$A$1:$I$89,5,0)</f>
        <v>275.96399999999983</v>
      </c>
      <c r="P49" s="13">
        <f t="shared" si="33"/>
        <v>66.113366665488854</v>
      </c>
      <c r="Q49" s="20">
        <f t="shared" si="53"/>
        <v>595.78474694239264</v>
      </c>
      <c r="R49" s="59">
        <f t="shared" si="0"/>
        <v>889.11808027572602</v>
      </c>
      <c r="S49" s="59">
        <f ca="1">AVERAGE(OFFSET($R$3,0,0,'Données projet'!$E$9+1,1))-AVERAGE(OFFSET($H$3,0,0,'Données projet'!$E$9+1,1))</f>
        <v>336.59194805061094</v>
      </c>
      <c r="T49" s="59">
        <f t="shared" si="34"/>
        <v>473.66884161123909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6.0964144576182813</v>
      </c>
      <c r="AA49" s="21">
        <f>EXP(-LN(2)/25)*AA48+(1-EXP(-LN(2)/25))/(LN(2)/25)*Calculateur!V49*Calculateur!X49*VLOOKUP('Données projet'!$B$9,Paramètres!$A$1:$I$89,3,0)*0.475*44/12</f>
        <v>0</v>
      </c>
      <c r="AB49" s="21">
        <f>EXP(-LN(2)/2)*AB48+(1-EXP(-LN(2)/2))/(LN(2)/2)*V49*Y49*VLOOKUP('Données projet'!$B$9,Paramètres!$A$1:$I$89,3,0)*0.475*44/12</f>
        <v>0</v>
      </c>
      <c r="AC49" s="22">
        <f t="shared" si="3"/>
        <v>6.0964144576182813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8.6</v>
      </c>
      <c r="AI49" s="13">
        <f>IF('Données projet'!$A$62&gt;35,AI48+AH49-AQ48,IF(A49&lt;'Données projet'!$A$62,$AF$205^A49,IF(A49='Données projet'!$A$62,'Données projet'!$B$62,AI48+AH49-AQ48)))</f>
        <v>226.60000000000005</v>
      </c>
      <c r="AJ49" s="13">
        <f>AI49*VLOOKUP('Données projet'!$B$10,Paramètres!$A$1:$I$89,3,0)*VLOOKUP('Données projet'!$B$10,Paramètres!$A$1:$I$89,5,0)</f>
        <v>148.46832000000003</v>
      </c>
      <c r="AK49" s="13">
        <f t="shared" si="35"/>
        <v>38.230298193326924</v>
      </c>
      <c r="AL49" s="20">
        <f t="shared" si="4"/>
        <v>325.16676002004442</v>
      </c>
      <c r="AM49" s="59">
        <f t="shared" si="5"/>
        <v>618.50009335337768</v>
      </c>
      <c r="AN49" s="59">
        <f ca="1">AVERAGE(OFFSET($AM$3,0,0,'Données projet'!$E$10+1,1))-AVERAGE(OFFSET($H$3,0,0,'Données projet'!$E$10+1,1))</f>
        <v>244.66788784685366</v>
      </c>
      <c r="AO49" s="59">
        <f t="shared" si="36"/>
        <v>252.04429018409274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25.774670738225222</v>
      </c>
      <c r="AV49" s="21">
        <f>EXP(-LN(2)/25)*AV48+(1-EXP(-LN(2)/25))/(LN(2)/25)*Calculateur!AQ49*Calculateur!AS49*VLOOKUP('Données projet'!$B$10,Paramètres!$A$1:$I$89,3,0)*0.475*44/12</f>
        <v>0</v>
      </c>
      <c r="AW49" s="21">
        <f>EXP(-LN(2)/2)*AW48+(1-EXP(-LN(2)/2))/(LN(2)/2)*AQ49*AT49*VLOOKUP('Données projet'!$B$10,Paramètres!$A$1:$I$89,3,0)*0.475*44/12</f>
        <v>0</v>
      </c>
      <c r="AX49" s="21">
        <f t="shared" si="6"/>
        <v>25.774670738225222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7.4</v>
      </c>
      <c r="BD49" s="12">
        <f>IF('Données projet'!$A$88&gt;35,BD48+BC49-BL48,IF(A49&lt;'Données projet'!$A$88,$BA$205^A49,IF(A49='Données projet'!$A$88,'Données projet'!$B$88,BD48+BC49-BL48)))</f>
        <v>216.39999999999978</v>
      </c>
      <c r="BE49" s="13">
        <f>BD49*VLOOKUP('Données projet'!$B$11,Paramètres!$A$1:$I$89,3,0)*VLOOKUP('Données projet'!$B$11,Paramètres!$A$1:$I$89,5,0)</f>
        <v>205.92623999999978</v>
      </c>
      <c r="BF49" s="13">
        <f t="shared" si="37"/>
        <v>51.044354243735349</v>
      </c>
      <c r="BG49" s="20">
        <f t="shared" si="7"/>
        <v>447.55711830783866</v>
      </c>
      <c r="BH49" s="59">
        <f t="shared" si="8"/>
        <v>740.89045164117192</v>
      </c>
      <c r="BI49" s="59">
        <f ca="1">AVERAGE(OFFSET($BH$3,0,0,'Données projet'!$E$11+1,1))-AVERAGE(OFFSET($H$3,0,0,'Données projet'!$E$11+1,1))</f>
        <v>373.51596132356536</v>
      </c>
      <c r="BJ49" s="59">
        <f t="shared" si="38"/>
        <v>417.00150517020114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35.502706690331472</v>
      </c>
      <c r="BQ49" s="21">
        <f>EXP(-LN(2)/25)*BQ48+(1-EXP(-LN(2)/25))/(LN(2)/25)*Calculateur!BL49*Calculateur!BN49*VLOOKUP('Données projet'!$B$11,Paramètres!$A$1:$I$89,3,0)*0.475*44/12</f>
        <v>0</v>
      </c>
      <c r="BR49" s="21">
        <f>EXP(-LN(2)/2)*BR48+(1-EXP(-LN(2)/2))/(LN(2)/2)*BL49*BO49*VLOOKUP('Données projet'!$B$11,Paramètres!$A$1:$I$89,3,0)*0.475*44/12</f>
        <v>0</v>
      </c>
      <c r="BS49" s="22">
        <f t="shared" si="9"/>
        <v>35.502706690331472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8.1999999999999993</v>
      </c>
      <c r="BY49" s="12">
        <f>IF('Données projet'!$A$114&gt;35,BY48+BX49-CG48,IF(A49&lt;'Données projet'!$A$114,$BV$205^A49,IF(A49='Données projet'!$A$114,'Données projet'!$B$114,BY48+BX49-CG48)))</f>
        <v>145.20000000000005</v>
      </c>
      <c r="BZ49" s="13">
        <f>BY49*VLOOKUP('Données projet'!$B$12,Paramètres!$A$1:$I$89,3,0)*VLOOKUP('Données projet'!$B$12,Paramètres!$A$1:$I$89,5,0)</f>
        <v>131.37696000000003</v>
      </c>
      <c r="CA49" s="13">
        <f t="shared" si="39"/>
        <v>34.314338988223334</v>
      </c>
      <c r="CB49" s="20">
        <f t="shared" si="10"/>
        <v>288.57901240448905</v>
      </c>
      <c r="CC49" s="59">
        <f t="shared" si="11"/>
        <v>581.91234573782231</v>
      </c>
      <c r="CD49" s="59">
        <f ca="1">AVERAGE(OFFSET($CC$3,0,0,'Données projet'!$E$12+1,1))-AVERAGE(OFFSET($H$3,0,0,'Données projet'!$E$12+1,1))</f>
        <v>289.19622253646992</v>
      </c>
      <c r="CE49" s="59">
        <f t="shared" si="40"/>
        <v>191.23827338431175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>
        <f>EXP(-LN(2)/35)*CK48+(1-EXP(-LN(2)/35))/(LN(2)/35)*CG49*CH49*VLOOKUP('Données projet'!$B$12,Paramètres!$A$1:$I$89,3,0)*0.475*44/12</f>
        <v>24.139143131100369</v>
      </c>
      <c r="CL49" s="21">
        <f>EXP(-LN(2)/25)*CL48+(1-EXP(-LN(2)/25))/(LN(2)/25)*Calculateur!CG49*Calculateur!CI49*VLOOKUP('Données projet'!$B$12,Paramètres!$A$1:$I$89,3,0)*0.475*44/12</f>
        <v>0</v>
      </c>
      <c r="CM49" s="21">
        <f>EXP(-LN(2)/2)*CM48+(1-EXP(-LN(2)/2))/(LN(2)/2)*CG49*CJ49*VLOOKUP('Données projet'!$B$12,Paramètres!$A$1:$I$89,3,0)*0.475*44/12</f>
        <v>0</v>
      </c>
      <c r="CN49" s="22">
        <f t="shared" si="12"/>
        <v>24.139143131100369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27.12840000000002</v>
      </c>
      <c r="D50" s="11">
        <f t="shared" si="32"/>
        <v>8.5138436537878874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275.13310890643294</v>
      </c>
      <c r="H50" s="67">
        <f t="shared" si="1"/>
        <v>318.74357436368064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0</v>
      </c>
      <c r="N50" s="13">
        <f>IF('Données projet'!$A$36&gt;35,N49+M50-V49,IF(A50&lt;'Données projet'!$A$36,$K$205^A50,IF(A50='Données projet'!$A$36,'Données projet'!$B$36,N49+M50-V49)))</f>
        <v>304.99999999999983</v>
      </c>
      <c r="O50" s="13">
        <f>N50*VLOOKUP('Données projet'!$B$9,Paramètres!$A$1:$I$89,3,0)*VLOOKUP('Données projet'!$B$9,Paramètres!$A$1:$I$89,5,0)</f>
        <v>275.96399999999983</v>
      </c>
      <c r="P50" s="13">
        <f t="shared" si="33"/>
        <v>66.113366665488854</v>
      </c>
      <c r="Q50" s="20">
        <f t="shared" si="53"/>
        <v>595.78474694239264</v>
      </c>
      <c r="R50" s="59">
        <f t="shared" si="0"/>
        <v>889.11808027572602</v>
      </c>
      <c r="S50" s="59">
        <f ca="1">AVERAGE(OFFSET($R$3,0,0,'Données projet'!$E$9+1,1))-AVERAGE(OFFSET($H$3,0,0,'Données projet'!$E$9+1,1))</f>
        <v>336.59194805061094</v>
      </c>
      <c r="T50" s="59">
        <f t="shared" si="34"/>
        <v>473.66884161123909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5.9768674885500399</v>
      </c>
      <c r="AA50" s="21">
        <f>EXP(-LN(2)/25)*AA49+(1-EXP(-LN(2)/25))/(LN(2)/25)*Calculateur!V50*Calculateur!X50*VLOOKUP('Données projet'!$B$9,Paramètres!$A$1:$I$89,3,0)*0.475*44/12</f>
        <v>0</v>
      </c>
      <c r="AB50" s="21">
        <f>EXP(-LN(2)/2)*AB49+(1-EXP(-LN(2)/2))/(LN(2)/2)*V50*Y50*VLOOKUP('Données projet'!$B$9,Paramètres!$A$1:$I$89,3,0)*0.475*44/12</f>
        <v>0</v>
      </c>
      <c r="AC50" s="22">
        <f t="shared" si="3"/>
        <v>5.9768674885500399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8.6</v>
      </c>
      <c r="AI50" s="13">
        <f>IF('Données projet'!$A$62&gt;35,AI49+AH50-AQ49,IF(A50&lt;'Données projet'!$A$62,$AF$205^A50,IF(A50='Données projet'!$A$62,'Données projet'!$B$62,AI49+AH50-AQ49)))</f>
        <v>235.20000000000005</v>
      </c>
      <c r="AJ50" s="13">
        <f>AI50*VLOOKUP('Données projet'!$B$10,Paramètres!$A$1:$I$89,3,0)*VLOOKUP('Données projet'!$B$10,Paramètres!$A$1:$I$89,5,0)</f>
        <v>154.10304000000005</v>
      </c>
      <c r="AK50" s="13">
        <f t="shared" si="35"/>
        <v>39.509546668758176</v>
      </c>
      <c r="AL50" s="20">
        <f t="shared" si="4"/>
        <v>337.20858844808726</v>
      </c>
      <c r="AM50" s="59">
        <f t="shared" si="5"/>
        <v>630.54192178142057</v>
      </c>
      <c r="AN50" s="59">
        <f ca="1">AVERAGE(OFFSET($AM$3,0,0,'Données projet'!$E$10+1,1))-AVERAGE(OFFSET($H$3,0,0,'Données projet'!$E$10+1,1))</f>
        <v>244.66788784685366</v>
      </c>
      <c r="AO50" s="59">
        <f t="shared" si="36"/>
        <v>252.04429018409274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25.269245166045454</v>
      </c>
      <c r="AV50" s="21">
        <f>EXP(-LN(2)/25)*AV49+(1-EXP(-LN(2)/25))/(LN(2)/25)*Calculateur!AQ50*Calculateur!AS50*VLOOKUP('Données projet'!$B$10,Paramètres!$A$1:$I$89,3,0)*0.475*44/12</f>
        <v>0</v>
      </c>
      <c r="AW50" s="21">
        <f>EXP(-LN(2)/2)*AW49+(1-EXP(-LN(2)/2))/(LN(2)/2)*AQ50*AT50*VLOOKUP('Données projet'!$B$10,Paramètres!$A$1:$I$89,3,0)*0.475*44/12</f>
        <v>0</v>
      </c>
      <c r="AX50" s="21">
        <f t="shared" si="6"/>
        <v>25.269245166045454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7.4</v>
      </c>
      <c r="BD50" s="12">
        <f>IF('Données projet'!$A$88&gt;35,BD49+BC50-BL49,IF(A50&lt;'Données projet'!$A$88,$BA$205^A50,IF(A50='Données projet'!$A$88,'Données projet'!$B$88,BD49+BC50-BL49)))</f>
        <v>223.79999999999978</v>
      </c>
      <c r="BE50" s="13">
        <f>BD50*VLOOKUP('Données projet'!$B$11,Paramètres!$A$1:$I$89,3,0)*VLOOKUP('Données projet'!$B$11,Paramètres!$A$1:$I$89,5,0)</f>
        <v>212.96807999999979</v>
      </c>
      <c r="BF50" s="13">
        <f t="shared" si="37"/>
        <v>52.583655112531559</v>
      </c>
      <c r="BG50" s="20">
        <f t="shared" si="7"/>
        <v>462.50260532099202</v>
      </c>
      <c r="BH50" s="59">
        <f t="shared" si="8"/>
        <v>755.83593865432533</v>
      </c>
      <c r="BI50" s="59">
        <f ca="1">AVERAGE(OFFSET($BH$3,0,0,'Données projet'!$E$11+1,1))-AVERAGE(OFFSET($H$3,0,0,'Données projet'!$E$11+1,1))</f>
        <v>373.51596132356536</v>
      </c>
      <c r="BJ50" s="59">
        <f t="shared" si="38"/>
        <v>417.00150517020114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34.806520266646949</v>
      </c>
      <c r="BQ50" s="21">
        <f>EXP(-LN(2)/25)*BQ49+(1-EXP(-LN(2)/25))/(LN(2)/25)*Calculateur!BL50*Calculateur!BN50*VLOOKUP('Données projet'!$B$11,Paramètres!$A$1:$I$89,3,0)*0.475*44/12</f>
        <v>0</v>
      </c>
      <c r="BR50" s="21">
        <f>EXP(-LN(2)/2)*BR49+(1-EXP(-LN(2)/2))/(LN(2)/2)*BL50*BO50*VLOOKUP('Données projet'!$B$11,Paramètres!$A$1:$I$89,3,0)*0.475*44/12</f>
        <v>0</v>
      </c>
      <c r="BS50" s="22">
        <f t="shared" si="9"/>
        <v>34.806520266646949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8.1999999999999993</v>
      </c>
      <c r="BY50" s="12">
        <f>IF('Données projet'!$A$114&gt;35,BY49+BX50-CG49,IF(A50&lt;'Données projet'!$A$114,$BV$205^A50,IF(A50='Données projet'!$A$114,'Données projet'!$B$114,BY49+BX50-CG49)))</f>
        <v>153.40000000000003</v>
      </c>
      <c r="BZ50" s="13">
        <f>BY50*VLOOKUP('Données projet'!$B$12,Paramètres!$A$1:$I$89,3,0)*VLOOKUP('Données projet'!$B$12,Paramètres!$A$1:$I$89,5,0)</f>
        <v>138.79632000000001</v>
      </c>
      <c r="CA50" s="13">
        <f t="shared" si="39"/>
        <v>36.021120886354588</v>
      </c>
      <c r="CB50" s="20">
        <f t="shared" si="10"/>
        <v>304.47370954373423</v>
      </c>
      <c r="CC50" s="59">
        <f t="shared" si="11"/>
        <v>597.80704287706749</v>
      </c>
      <c r="CD50" s="59">
        <f ca="1">AVERAGE(OFFSET($CC$3,0,0,'Données projet'!$E$12+1,1))-AVERAGE(OFFSET($H$3,0,0,'Données projet'!$E$12+1,1))</f>
        <v>289.19622253646992</v>
      </c>
      <c r="CE50" s="59">
        <f t="shared" si="40"/>
        <v>191.23827338431175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>
        <f>EXP(-LN(2)/35)*CK49+(1-EXP(-LN(2)/35))/(LN(2)/35)*CG50*CH50*VLOOKUP('Données projet'!$B$12,Paramètres!$A$1:$I$89,3,0)*0.475*44/12</f>
        <v>23.665789257722984</v>
      </c>
      <c r="CL50" s="21">
        <f>EXP(-LN(2)/25)*CL49+(1-EXP(-LN(2)/25))/(LN(2)/25)*Calculateur!CG50*Calculateur!CI50*VLOOKUP('Données projet'!$B$12,Paramètres!$A$1:$I$89,3,0)*0.475*44/12</f>
        <v>0</v>
      </c>
      <c r="CM50" s="21">
        <f>EXP(-LN(2)/2)*CM49+(1-EXP(-LN(2)/2))/(LN(2)/2)*CG50*CJ50*VLOOKUP('Données projet'!$B$12,Paramètres!$A$1:$I$89,3,0)*0.475*44/12</f>
        <v>0</v>
      </c>
      <c r="CN50" s="22">
        <f t="shared" si="12"/>
        <v>23.665789257722984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27.705600000000022</v>
      </c>
      <c r="D51" s="11">
        <f t="shared" si="32"/>
        <v>8.6737072640755422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280.82272274023239</v>
      </c>
      <c r="H51" s="67">
        <f t="shared" si="1"/>
        <v>320.02729348493165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0</v>
      </c>
      <c r="N51" s="13">
        <f>IF('Données projet'!$A$36&gt;35,N50+M51-V50,IF(A51&lt;'Données projet'!$A$36,$K$205^A51,IF(A51='Données projet'!$A$36,'Données projet'!$B$36,N50+M51-V50)))</f>
        <v>304.99999999999983</v>
      </c>
      <c r="O51" s="13">
        <f>N51*VLOOKUP('Données projet'!$B$9,Paramètres!$A$1:$I$89,3,0)*VLOOKUP('Données projet'!$B$9,Paramètres!$A$1:$I$89,5,0)</f>
        <v>275.96399999999983</v>
      </c>
      <c r="P51" s="13">
        <f t="shared" si="33"/>
        <v>66.113366665488854</v>
      </c>
      <c r="Q51" s="20">
        <f t="shared" si="53"/>
        <v>595.78474694239264</v>
      </c>
      <c r="R51" s="59">
        <f t="shared" si="0"/>
        <v>889.11808027572602</v>
      </c>
      <c r="S51" s="59">
        <f ca="1">AVERAGE(OFFSET($R$3,0,0,'Données projet'!$E$9+1,1))-AVERAGE(OFFSET($H$3,0,0,'Données projet'!$E$9+1,1))</f>
        <v>336.59194805061094</v>
      </c>
      <c r="T51" s="59">
        <f t="shared" si="34"/>
        <v>473.66884161123909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5.8596647626287757</v>
      </c>
      <c r="AA51" s="21">
        <f>EXP(-LN(2)/25)*AA50+(1-EXP(-LN(2)/25))/(LN(2)/25)*Calculateur!V51*Calculateur!X51*VLOOKUP('Données projet'!$B$9,Paramètres!$A$1:$I$89,3,0)*0.475*44/12</f>
        <v>0</v>
      </c>
      <c r="AB51" s="21">
        <f>EXP(-LN(2)/2)*AB50+(1-EXP(-LN(2)/2))/(LN(2)/2)*V51*Y51*VLOOKUP('Données projet'!$B$9,Paramètres!$A$1:$I$89,3,0)*0.475*44/12</f>
        <v>0</v>
      </c>
      <c r="AC51" s="22">
        <f t="shared" si="3"/>
        <v>5.8596647626287757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8.6</v>
      </c>
      <c r="AI51" s="13">
        <f>IF('Données projet'!$A$62&gt;35,AI50+AH51-AQ50,IF(A51&lt;'Données projet'!$A$62,$AF$205^A51,IF(A51='Données projet'!$A$62,'Données projet'!$B$62,AI50+AH51-AQ50)))</f>
        <v>243.80000000000004</v>
      </c>
      <c r="AJ51" s="13">
        <f>AI51*VLOOKUP('Données projet'!$B$10,Paramètres!$A$1:$I$89,3,0)*VLOOKUP('Données projet'!$B$10,Paramètres!$A$1:$I$89,5,0)</f>
        <v>159.73776000000004</v>
      </c>
      <c r="AK51" s="13">
        <f t="shared" si="35"/>
        <v>40.783360797044367</v>
      </c>
      <c r="AL51" s="20">
        <f t="shared" si="4"/>
        <v>349.24095205485236</v>
      </c>
      <c r="AM51" s="59">
        <f t="shared" si="5"/>
        <v>642.57428538818567</v>
      </c>
      <c r="AN51" s="59">
        <f ca="1">AVERAGE(OFFSET($AM$3,0,0,'Données projet'!$E$10+1,1))-AVERAGE(OFFSET($H$3,0,0,'Données projet'!$E$10+1,1))</f>
        <v>244.66788784685366</v>
      </c>
      <c r="AO51" s="59">
        <f t="shared" si="36"/>
        <v>252.04429018409274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24.773730681056975</v>
      </c>
      <c r="AV51" s="21">
        <f>EXP(-LN(2)/25)*AV50+(1-EXP(-LN(2)/25))/(LN(2)/25)*Calculateur!AQ51*Calculateur!AS51*VLOOKUP('Données projet'!$B$10,Paramètres!$A$1:$I$89,3,0)*0.475*44/12</f>
        <v>0</v>
      </c>
      <c r="AW51" s="21">
        <f>EXP(-LN(2)/2)*AW50+(1-EXP(-LN(2)/2))/(LN(2)/2)*AQ51*AT51*VLOOKUP('Données projet'!$B$10,Paramètres!$A$1:$I$89,3,0)*0.475*44/12</f>
        <v>0</v>
      </c>
      <c r="AX51" s="21">
        <f t="shared" si="6"/>
        <v>24.773730681056975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7.4</v>
      </c>
      <c r="BD51" s="12">
        <f>IF('Données projet'!$A$88&gt;35,BD50+BC51-BL50,IF(A51&lt;'Données projet'!$A$88,$BA$205^A51,IF(A51='Données projet'!$A$88,'Données projet'!$B$88,BD50+BC51-BL50)))</f>
        <v>231.19999999999979</v>
      </c>
      <c r="BE51" s="13">
        <f>BD51*VLOOKUP('Données projet'!$B$11,Paramètres!$A$1:$I$89,3,0)*VLOOKUP('Données projet'!$B$11,Paramètres!$A$1:$I$89,5,0)</f>
        <v>220.00991999999979</v>
      </c>
      <c r="BF51" s="13">
        <f t="shared" si="37"/>
        <v>54.117041777925152</v>
      </c>
      <c r="BG51" s="20">
        <f t="shared" si="7"/>
        <v>477.43779176321931</v>
      </c>
      <c r="BH51" s="59">
        <f t="shared" si="8"/>
        <v>770.77112509655262</v>
      </c>
      <c r="BI51" s="59">
        <f ca="1">AVERAGE(OFFSET($BH$3,0,0,'Données projet'!$E$11+1,1))-AVERAGE(OFFSET($H$3,0,0,'Données projet'!$E$11+1,1))</f>
        <v>373.51596132356536</v>
      </c>
      <c r="BJ51" s="59">
        <f t="shared" si="38"/>
        <v>417.00150517020114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34.123985634099085</v>
      </c>
      <c r="BQ51" s="21">
        <f>EXP(-LN(2)/25)*BQ50+(1-EXP(-LN(2)/25))/(LN(2)/25)*Calculateur!BL51*Calculateur!BN51*VLOOKUP('Données projet'!$B$11,Paramètres!$A$1:$I$89,3,0)*0.475*44/12</f>
        <v>0</v>
      </c>
      <c r="BR51" s="21">
        <f>EXP(-LN(2)/2)*BR50+(1-EXP(-LN(2)/2))/(LN(2)/2)*BL51*BO51*VLOOKUP('Données projet'!$B$11,Paramètres!$A$1:$I$89,3,0)*0.475*44/12</f>
        <v>0</v>
      </c>
      <c r="BS51" s="22">
        <f t="shared" si="9"/>
        <v>34.123985634099085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8.1999999999999993</v>
      </c>
      <c r="BY51" s="12">
        <f>IF('Données projet'!$A$114&gt;35,BY50+BX51-CG50,IF(A51&lt;'Données projet'!$A$114,$BV$205^A51,IF(A51='Données projet'!$A$114,'Données projet'!$B$114,BY50+BX51-CG50)))</f>
        <v>161.60000000000002</v>
      </c>
      <c r="BZ51" s="13">
        <f>BY51*VLOOKUP('Données projet'!$B$12,Paramètres!$A$1:$I$89,3,0)*VLOOKUP('Données projet'!$B$12,Paramètres!$A$1:$I$89,5,0)</f>
        <v>146.21568000000002</v>
      </c>
      <c r="CA51" s="13">
        <f t="shared" si="39"/>
        <v>37.717310552893402</v>
      </c>
      <c r="CB51" s="20">
        <f t="shared" si="10"/>
        <v>320.34995854628937</v>
      </c>
      <c r="CC51" s="59">
        <f t="shared" si="11"/>
        <v>613.68329187962263</v>
      </c>
      <c r="CD51" s="59">
        <f ca="1">AVERAGE(OFFSET($CC$3,0,0,'Données projet'!$E$12+1,1))-AVERAGE(OFFSET($H$3,0,0,'Données projet'!$E$12+1,1))</f>
        <v>289.19622253646992</v>
      </c>
      <c r="CE51" s="59">
        <f t="shared" si="40"/>
        <v>191.23827338431175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>
        <f>EXP(-LN(2)/35)*CK50+(1-EXP(-LN(2)/35))/(LN(2)/35)*CG51*CH51*VLOOKUP('Données projet'!$B$12,Paramètres!$A$1:$I$89,3,0)*0.475*44/12</f>
        <v>23.201717565085175</v>
      </c>
      <c r="CL51" s="21">
        <f>EXP(-LN(2)/25)*CL50+(1-EXP(-LN(2)/25))/(LN(2)/25)*Calculateur!CG51*Calculateur!CI51*VLOOKUP('Données projet'!$B$12,Paramètres!$A$1:$I$89,3,0)*0.475*44/12</f>
        <v>0</v>
      </c>
      <c r="CM51" s="21">
        <f>EXP(-LN(2)/2)*CM50+(1-EXP(-LN(2)/2))/(LN(2)/2)*CG51*CJ51*VLOOKUP('Données projet'!$B$12,Paramètres!$A$1:$I$89,3,0)*0.475*44/12</f>
        <v>0</v>
      </c>
      <c r="CN51" s="22">
        <f t="shared" si="12"/>
        <v>23.201717565085175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28.282800000000023</v>
      </c>
      <c r="D52" s="11">
        <f t="shared" si="32"/>
        <v>8.8331836451686723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286.50934743638999</v>
      </c>
      <c r="H52" s="67">
        <f t="shared" si="1"/>
        <v>321.31033818200217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0</v>
      </c>
      <c r="N52" s="13">
        <f>IF('Données projet'!$A$36&gt;35,N51+M52-V51,IF(A52&lt;'Données projet'!$A$36,$K$205^A52,IF(A52='Données projet'!$A$36,'Données projet'!$B$36,N51+M52-V51)))</f>
        <v>304.99999999999983</v>
      </c>
      <c r="O52" s="13">
        <f>N52*VLOOKUP('Données projet'!$B$9,Paramètres!$A$1:$I$89,3,0)*VLOOKUP('Données projet'!$B$9,Paramètres!$A$1:$I$89,5,0)</f>
        <v>275.96399999999983</v>
      </c>
      <c r="P52" s="13">
        <f t="shared" si="33"/>
        <v>66.113366665488854</v>
      </c>
      <c r="Q52" s="20">
        <f t="shared" si="53"/>
        <v>595.78474694239264</v>
      </c>
      <c r="R52" s="59">
        <f t="shared" si="0"/>
        <v>889.11808027572602</v>
      </c>
      <c r="S52" s="59">
        <f ca="1">AVERAGE(OFFSET($R$3,0,0,'Données projet'!$E$9+1,1))-AVERAGE(OFFSET($H$3,0,0,'Données projet'!$E$9+1,1))</f>
        <v>336.59194805061094</v>
      </c>
      <c r="T52" s="59">
        <f t="shared" si="34"/>
        <v>473.66884161123909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5.7447603106762228</v>
      </c>
      <c r="AA52" s="21">
        <f>EXP(-LN(2)/25)*AA51+(1-EXP(-LN(2)/25))/(LN(2)/25)*Calculateur!V52*Calculateur!X52*VLOOKUP('Données projet'!$B$9,Paramètres!$A$1:$I$89,3,0)*0.475*44/12</f>
        <v>0</v>
      </c>
      <c r="AB52" s="21">
        <f>EXP(-LN(2)/2)*AB51+(1-EXP(-LN(2)/2))/(LN(2)/2)*V52*Y52*VLOOKUP('Données projet'!$B$9,Paramètres!$A$1:$I$89,3,0)*0.475*44/12</f>
        <v>0</v>
      </c>
      <c r="AC52" s="22">
        <f t="shared" si="3"/>
        <v>5.7447603106762228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8.6</v>
      </c>
      <c r="AI52" s="13">
        <f>IF('Données projet'!$A$62&gt;35,AI51+AH52-AQ51,IF(A52&lt;'Données projet'!$A$62,$AF$205^A52,IF(A52='Données projet'!$A$62,'Données projet'!$B$62,AI51+AH52-AQ51)))</f>
        <v>252.40000000000003</v>
      </c>
      <c r="AJ52" s="13">
        <f>AI52*VLOOKUP('Données projet'!$B$10,Paramètres!$A$1:$I$89,3,0)*VLOOKUP('Données projet'!$B$10,Paramètres!$A$1:$I$89,5,0)</f>
        <v>165.37248000000002</v>
      </c>
      <c r="AK52" s="13">
        <f t="shared" si="35"/>
        <v>42.051954238472845</v>
      </c>
      <c r="AL52" s="20">
        <f t="shared" si="4"/>
        <v>361.26422296534025</v>
      </c>
      <c r="AM52" s="59">
        <f t="shared" si="5"/>
        <v>654.59755629867357</v>
      </c>
      <c r="AN52" s="59">
        <f ca="1">AVERAGE(OFFSET($AM$3,0,0,'Données projet'!$E$10+1,1))-AVERAGE(OFFSET($H$3,0,0,'Données projet'!$E$10+1,1))</f>
        <v>244.66788784685366</v>
      </c>
      <c r="AO52" s="59">
        <f t="shared" si="36"/>
        <v>252.04429018409274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24.287932932885127</v>
      </c>
      <c r="AV52" s="21">
        <f>EXP(-LN(2)/25)*AV51+(1-EXP(-LN(2)/25))/(LN(2)/25)*Calculateur!AQ52*Calculateur!AS52*VLOOKUP('Données projet'!$B$10,Paramètres!$A$1:$I$89,3,0)*0.475*44/12</f>
        <v>0</v>
      </c>
      <c r="AW52" s="21">
        <f>EXP(-LN(2)/2)*AW51+(1-EXP(-LN(2)/2))/(LN(2)/2)*AQ52*AT52*VLOOKUP('Données projet'!$B$10,Paramètres!$A$1:$I$89,3,0)*0.475*44/12</f>
        <v>0</v>
      </c>
      <c r="AX52" s="21">
        <f t="shared" si="6"/>
        <v>24.287932932885127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7.4</v>
      </c>
      <c r="BD52" s="12">
        <f>IF('Données projet'!$A$88&gt;35,BD51+BC52-BL51,IF(A52&lt;'Données projet'!$A$88,$BA$205^A52,IF(A52='Données projet'!$A$88,'Données projet'!$B$88,BD51+BC52-BL51)))</f>
        <v>238.5999999999998</v>
      </c>
      <c r="BE52" s="13">
        <f>BD52*VLOOKUP('Données projet'!$B$11,Paramètres!$A$1:$I$89,3,0)*VLOOKUP('Données projet'!$B$11,Paramètres!$A$1:$I$89,5,0)</f>
        <v>227.05175999999983</v>
      </c>
      <c r="BF52" s="13">
        <f t="shared" si="37"/>
        <v>55.644725249296947</v>
      </c>
      <c r="BG52" s="20">
        <f t="shared" si="7"/>
        <v>492.36304514252515</v>
      </c>
      <c r="BH52" s="59">
        <f t="shared" si="8"/>
        <v>785.69637847585841</v>
      </c>
      <c r="BI52" s="59">
        <f ca="1">AVERAGE(OFFSET($BH$3,0,0,'Données projet'!$E$11+1,1))-AVERAGE(OFFSET($H$3,0,0,'Données projet'!$E$11+1,1))</f>
        <v>373.51596132356536</v>
      </c>
      <c r="BJ52" s="59">
        <f t="shared" si="38"/>
        <v>417.00150517020114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33.454835089390471</v>
      </c>
      <c r="BQ52" s="21">
        <f>EXP(-LN(2)/25)*BQ51+(1-EXP(-LN(2)/25))/(LN(2)/25)*Calculateur!BL52*Calculateur!BN52*VLOOKUP('Données projet'!$B$11,Paramètres!$A$1:$I$89,3,0)*0.475*44/12</f>
        <v>0</v>
      </c>
      <c r="BR52" s="21">
        <f>EXP(-LN(2)/2)*BR51+(1-EXP(-LN(2)/2))/(LN(2)/2)*BL52*BO52*VLOOKUP('Données projet'!$B$11,Paramètres!$A$1:$I$89,3,0)*0.475*44/12</f>
        <v>0</v>
      </c>
      <c r="BS52" s="22">
        <f t="shared" si="9"/>
        <v>33.454835089390471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8.1999999999999993</v>
      </c>
      <c r="BY52" s="12">
        <f>IF('Données projet'!$A$114&gt;35,BY51+BX52-CG51,IF(A52&lt;'Données projet'!$A$114,$BV$205^A52,IF(A52='Données projet'!$A$114,'Données projet'!$B$114,BY51+BX52-CG51)))</f>
        <v>169.8</v>
      </c>
      <c r="BZ52" s="13">
        <f>BY52*VLOOKUP('Données projet'!$B$12,Paramètres!$A$1:$I$89,3,0)*VLOOKUP('Données projet'!$B$12,Paramètres!$A$1:$I$89,5,0)</f>
        <v>153.63504</v>
      </c>
      <c r="CA52" s="13">
        <f t="shared" si="39"/>
        <v>39.403506785222667</v>
      </c>
      <c r="CB52" s="20">
        <f t="shared" si="10"/>
        <v>336.20880231759617</v>
      </c>
      <c r="CC52" s="59">
        <f t="shared" si="11"/>
        <v>629.54213565092948</v>
      </c>
      <c r="CD52" s="59">
        <f ca="1">AVERAGE(OFFSET($CC$3,0,0,'Données projet'!$E$12+1,1))-AVERAGE(OFFSET($H$3,0,0,'Données projet'!$E$12+1,1))</f>
        <v>289.19622253646992</v>
      </c>
      <c r="CE52" s="59">
        <f t="shared" si="40"/>
        <v>191.23827338431175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>
        <f>EXP(-LN(2)/35)*CK51+(1-EXP(-LN(2)/35))/(LN(2)/35)*CG52*CH52*VLOOKUP('Données projet'!$B$12,Paramètres!$A$1:$I$89,3,0)*0.475*44/12</f>
        <v>22.746746035284211</v>
      </c>
      <c r="CL52" s="21">
        <f>EXP(-LN(2)/25)*CL51+(1-EXP(-LN(2)/25))/(LN(2)/25)*Calculateur!CG52*Calculateur!CI52*VLOOKUP('Données projet'!$B$12,Paramètres!$A$1:$I$89,3,0)*0.475*44/12</f>
        <v>0</v>
      </c>
      <c r="CM52" s="21">
        <f>EXP(-LN(2)/2)*CM51+(1-EXP(-LN(2)/2))/(LN(2)/2)*CG52*CJ52*VLOOKUP('Données projet'!$B$12,Paramètres!$A$1:$I$89,3,0)*0.475*44/12</f>
        <v>0</v>
      </c>
      <c r="CN52" s="22">
        <f t="shared" si="12"/>
        <v>22.746746035284211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28.860000000000024</v>
      </c>
      <c r="D53" s="11">
        <f t="shared" si="32"/>
        <v>8.9922816103350787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292.19305102714816</v>
      </c>
      <c r="H53" s="67">
        <f t="shared" si="1"/>
        <v>322.592723804667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0</v>
      </c>
      <c r="N53" s="13">
        <f>IF('Données projet'!$A$36&gt;35,N52+M53-V52,IF(A53&lt;'Données projet'!$A$36,$K$205^A53,IF(A53='Données projet'!$A$36,'Données projet'!$B$36,N52+M53-V52)))</f>
        <v>304.99999999999983</v>
      </c>
      <c r="O53" s="13">
        <f>N53*VLOOKUP('Données projet'!$B$9,Paramètres!$A$1:$I$89,3,0)*VLOOKUP('Données projet'!$B$9,Paramètres!$A$1:$I$89,5,0)</f>
        <v>275.96399999999983</v>
      </c>
      <c r="P53" s="13">
        <f t="shared" si="33"/>
        <v>66.113366665488854</v>
      </c>
      <c r="Q53" s="20">
        <f t="shared" si="53"/>
        <v>595.78474694239264</v>
      </c>
      <c r="R53" s="59">
        <f t="shared" si="0"/>
        <v>889.11808027572602</v>
      </c>
      <c r="S53" s="59">
        <f ca="1">AVERAGE(OFFSET($R$3,0,0,'Données projet'!$E$9+1,1))-AVERAGE(OFFSET($H$3,0,0,'Données projet'!$E$9+1,1))</f>
        <v>336.59194805061094</v>
      </c>
      <c r="T53" s="59">
        <f t="shared" si="34"/>
        <v>473.66884161123909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5.6321090649416643</v>
      </c>
      <c r="AA53" s="21">
        <f>EXP(-LN(2)/25)*AA52+(1-EXP(-LN(2)/25))/(LN(2)/25)*Calculateur!V53*Calculateur!X53*VLOOKUP('Données projet'!$B$9,Paramètres!$A$1:$I$89,3,0)*0.475*44/12</f>
        <v>0</v>
      </c>
      <c r="AB53" s="21">
        <f>EXP(-LN(2)/2)*AB52+(1-EXP(-LN(2)/2))/(LN(2)/2)*V53*Y53*VLOOKUP('Données projet'!$B$9,Paramètres!$A$1:$I$89,3,0)*0.475*44/12</f>
        <v>0</v>
      </c>
      <c r="AC53" s="22">
        <f t="shared" si="3"/>
        <v>5.6321090649416643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>
        <f>VLOOKUP(A53,'Données projet'!$A$61:$I$81,2,0)</f>
        <v>261</v>
      </c>
      <c r="AG53" s="12">
        <f>VLOOKUP(A53,'Données projet'!$A$61:$I$81,9,0)</f>
        <v>8.6</v>
      </c>
      <c r="AH53" s="12">
        <f t="array" ref="AH53">INDEX(AG:AG,MIN(IF(ISNUMBER(AG53:AG249),ROW(AG53:AG249),"")))</f>
        <v>8.6</v>
      </c>
      <c r="AI53" s="13">
        <f>IF('Données projet'!$A$62&gt;35,AI52+AH53-AQ52,IF(A53&lt;'Données projet'!$A$62,$AF$205^A53,IF(A53='Données projet'!$A$62,'Données projet'!$B$62,AI52+AH53-AQ52)))</f>
        <v>261.00000000000006</v>
      </c>
      <c r="AJ53" s="13">
        <f>AI53*VLOOKUP('Données projet'!$B$10,Paramètres!$A$1:$I$89,3,0)*VLOOKUP('Données projet'!$B$10,Paramètres!$A$1:$I$89,5,0)</f>
        <v>171.00720000000004</v>
      </c>
      <c r="AK53" s="13">
        <f t="shared" si="35"/>
        <v>43.315525267338089</v>
      </c>
      <c r="AL53" s="20">
        <f t="shared" si="4"/>
        <v>373.27874650728057</v>
      </c>
      <c r="AM53" s="59">
        <f t="shared" si="5"/>
        <v>666.61207984061389</v>
      </c>
      <c r="AN53" s="59">
        <f ca="1">AVERAGE(OFFSET($AM$3,0,0,'Données projet'!$E$10+1,1))-AVERAGE(OFFSET($H$3,0,0,'Données projet'!$E$10+1,1))</f>
        <v>244.66788784685366</v>
      </c>
      <c r="AO53" s="59">
        <f t="shared" si="36"/>
        <v>252.04429018409274</v>
      </c>
      <c r="AP53" s="15">
        <f>IF(ISNA(VLOOKUP(A53,'Données projet'!$A$61:$I$81,3,0)),0,VLOOKUP(A53,'Données projet'!$A$61:$I$81,3,0))</f>
        <v>8</v>
      </c>
      <c r="AQ53" s="15">
        <f>IF(ISNA(VLOOKUP(A53,'Données projet'!$A$61:$I$81,4,0)),0,VLOOKUP(A53,'Données projet'!$A$61:$I$81,4,0))</f>
        <v>19</v>
      </c>
      <c r="AR53" s="16">
        <f>IF(ISNA(VLOOKUP(A53,'Données projet'!$A$61:$I$81,5,0)),0%,VLOOKUP(A53,'Données projet'!$A$61:$I$81,5,0)*VLOOKUP('Données projet'!$B$10,Paramètres!$A$1:$I$89,7,0))</f>
        <v>0.43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29.729226636361368</v>
      </c>
      <c r="AV53" s="21">
        <f>EXP(-LN(2)/25)*AV52+(1-EXP(-LN(2)/25))/(LN(2)/25)*Calculateur!AQ53*Calculateur!AS53*VLOOKUP('Données projet'!$B$10,Paramètres!$A$1:$I$89,3,0)*0.475*44/12</f>
        <v>0</v>
      </c>
      <c r="AW53" s="21">
        <f>EXP(-LN(2)/2)*AW52+(1-EXP(-LN(2)/2))/(LN(2)/2)*AQ53*AT53*VLOOKUP('Données projet'!$B$10,Paramètres!$A$1:$I$89,3,0)*0.475*44/12</f>
        <v>0</v>
      </c>
      <c r="AX53" s="21">
        <f t="shared" si="6"/>
        <v>29.729226636361368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>
        <f>VLOOKUP(A53,'Données projet'!$A$87:$I$107,2,0)</f>
        <v>246</v>
      </c>
      <c r="BB53" s="12">
        <f>VLOOKUP(A53,'Données projet'!$A$87:$I$107,9,0)</f>
        <v>7.4</v>
      </c>
      <c r="BC53" s="12">
        <f t="array" ref="BC53">INDEX(BB:BB,MIN(IF(ISNUMBER(BB53:BB249),ROW(BB53:BB249),"")))</f>
        <v>7.4</v>
      </c>
      <c r="BD53" s="12">
        <f>IF('Données projet'!$A$88&gt;35,BD52+BC53-BL52,IF(A53&lt;'Données projet'!$A$88,$BA$205^A53,IF(A53='Données projet'!$A$88,'Données projet'!$B$88,BD52+BC53-BL52)))</f>
        <v>245.9999999999998</v>
      </c>
      <c r="BE53" s="13">
        <f>BD53*VLOOKUP('Données projet'!$B$11,Paramètres!$A$1:$I$89,3,0)*VLOOKUP('Données projet'!$B$11,Paramètres!$A$1:$I$89,5,0)</f>
        <v>234.09359999999984</v>
      </c>
      <c r="BF53" s="13">
        <f t="shared" si="37"/>
        <v>57.166902703920158</v>
      </c>
      <c r="BG53" s="20">
        <f t="shared" si="7"/>
        <v>507.27870887599397</v>
      </c>
      <c r="BH53" s="59">
        <f t="shared" si="8"/>
        <v>800.61204220932723</v>
      </c>
      <c r="BI53" s="59">
        <f ca="1">AVERAGE(OFFSET($BH$3,0,0,'Données projet'!$E$11+1,1))-AVERAGE(OFFSET($H$3,0,0,'Données projet'!$E$11+1,1))</f>
        <v>373.51596132356536</v>
      </c>
      <c r="BJ53" s="59">
        <f t="shared" si="38"/>
        <v>417.00150517020114</v>
      </c>
      <c r="BK53" s="15">
        <f>IF(ISNA(VLOOKUP(A53,'Données projet'!$A$87:$I$107,3,0)),0,VLOOKUP(A53,'Données projet'!$A$87:$I$107,3,0))</f>
        <v>9</v>
      </c>
      <c r="BL53" s="15">
        <f>IF(ISNA(VLOOKUP(A53,'Données projet'!$A$87:$I$107,4,0)),0,VLOOKUP(A53,'Données projet'!$A$87:$I$107,4,0))</f>
        <v>30</v>
      </c>
      <c r="BM53" s="16">
        <f>IF(ISNA(VLOOKUP(A53,'Données projet'!$A$87:$I$107,5,0)),0%,VLOOKUP(A53,'Données projet'!$A$87:$I$107,5,0)*VLOOKUP('Données projet'!$B$11,Paramètres!$A$1:$I$89,7,0))</f>
        <v>0.43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46.369162588531921</v>
      </c>
      <c r="BQ53" s="21">
        <f>EXP(-LN(2)/25)*BQ52+(1-EXP(-LN(2)/25))/(LN(2)/25)*Calculateur!BL53*Calculateur!BN53*VLOOKUP('Données projet'!$B$11,Paramètres!$A$1:$I$89,3,0)*0.475*44/12</f>
        <v>0</v>
      </c>
      <c r="BR53" s="21">
        <f>EXP(-LN(2)/2)*BR52+(1-EXP(-LN(2)/2))/(LN(2)/2)*BL53*BO53*VLOOKUP('Données projet'!$B$11,Paramètres!$A$1:$I$89,3,0)*0.475*44/12</f>
        <v>0</v>
      </c>
      <c r="BS53" s="22">
        <f t="shared" si="9"/>
        <v>46.369162588531921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>
        <f>VLOOKUP(A53,'Données projet'!$A$113:$I$133,2,0)</f>
        <v>178</v>
      </c>
      <c r="BW53" s="12">
        <f>VLOOKUP(A53,'Données projet'!$A$113:$I$133,9,0)</f>
        <v>8.1999999999999993</v>
      </c>
      <c r="BX53" s="12">
        <f t="array" ref="BX53">INDEX(BW:BW,MIN(IF(ISNUMBER(BW53:BW249),ROW(BW53:BW249),"")))</f>
        <v>8.1999999999999993</v>
      </c>
      <c r="BY53" s="12">
        <f>IF('Données projet'!$A$114&gt;35,BY52+BX53-CG52,IF(A53&lt;'Données projet'!$A$114,$BV$205^A53,IF(A53='Données projet'!$A$114,'Données projet'!$B$114,BY52+BX53-CG52)))</f>
        <v>178</v>
      </c>
      <c r="BZ53" s="13">
        <f>BY53*VLOOKUP('Données projet'!$B$12,Paramètres!$A$1:$I$89,3,0)*VLOOKUP('Données projet'!$B$12,Paramètres!$A$1:$I$89,5,0)</f>
        <v>161.05439999999999</v>
      </c>
      <c r="CA53" s="13">
        <f t="shared" si="39"/>
        <v>41.080247278685491</v>
      </c>
      <c r="CB53" s="20">
        <f t="shared" si="10"/>
        <v>352.05117734371055</v>
      </c>
      <c r="CC53" s="59">
        <f t="shared" si="11"/>
        <v>645.38451067704386</v>
      </c>
      <c r="CD53" s="59">
        <f ca="1">AVERAGE(OFFSET($CC$3,0,0,'Données projet'!$E$12+1,1))-AVERAGE(OFFSET($H$3,0,0,'Données projet'!$E$12+1,1))</f>
        <v>289.19622253646992</v>
      </c>
      <c r="CE53" s="59">
        <f t="shared" si="40"/>
        <v>191.23827338431175</v>
      </c>
      <c r="CF53" s="15">
        <f>IF(ISNA(VLOOKUP(A53,'Données projet'!$A$113:$I$133,3,0)),0,VLOOKUP(A53,'Données projet'!$A$113:$I$133,3,0))</f>
        <v>6</v>
      </c>
      <c r="CG53" s="15">
        <f>IF(ISNA(VLOOKUP(A53,'Données projet'!$A$113:$I$133,4,0)),0,VLOOKUP(A53,'Données projet'!$A$113:$I$133,4,0))</f>
        <v>21</v>
      </c>
      <c r="CH53" s="16">
        <f>IF(ISNA(VLOOKUP(A53,'Données projet'!$A$113:$I$133,5,0)),0%,VLOOKUP(A53,'Données projet'!$A$113:$I$133,5,0)*VLOOKUP('Données projet'!$B$12,Paramètres!$A$1:$I$89,7,0))</f>
        <v>0.43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>
        <f>EXP(-LN(2)/35)*CK52+(1-EXP(-LN(2)/35))/(LN(2)/35)*CG53*CH53*VLOOKUP('Données projet'!$B$12,Paramètres!$A$1:$I$89,3,0)*0.475*44/12</f>
        <v>31.332769502272171</v>
      </c>
      <c r="CL53" s="21">
        <f>EXP(-LN(2)/25)*CL52+(1-EXP(-LN(2)/25))/(LN(2)/25)*Calculateur!CG53*Calculateur!CI53*VLOOKUP('Données projet'!$B$12,Paramètres!$A$1:$I$89,3,0)*0.475*44/12</f>
        <v>0</v>
      </c>
      <c r="CM53" s="21">
        <f>EXP(-LN(2)/2)*CM52+(1-EXP(-LN(2)/2))/(LN(2)/2)*CG53*CJ53*VLOOKUP('Données projet'!$B$12,Paramètres!$A$1:$I$89,3,0)*0.475*44/12</f>
        <v>0</v>
      </c>
      <c r="CN53" s="22">
        <f t="shared" si="12"/>
        <v>31.332769502272171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29.437200000000026</v>
      </c>
      <c r="D54" s="11">
        <f t="shared" si="32"/>
        <v>9.1510096001539285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297.87389866785509</v>
      </c>
      <c r="H54" s="67">
        <f t="shared" si="1"/>
        <v>323.87446505360151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0</v>
      </c>
      <c r="N54" s="13">
        <f>IF('Données projet'!$A$36&gt;35,N53+M54-V53,IF(A54&lt;'Données projet'!$A$36,$K$205^A54,IF(A54='Données projet'!$A$36,'Données projet'!$B$36,N53+M54-V53)))</f>
        <v>304.99999999999983</v>
      </c>
      <c r="O54" s="13">
        <f>N54*VLOOKUP('Données projet'!$B$9,Paramètres!$A$1:$I$89,3,0)*VLOOKUP('Données projet'!$B$9,Paramètres!$A$1:$I$89,5,0)</f>
        <v>275.96399999999983</v>
      </c>
      <c r="P54" s="13">
        <f t="shared" si="33"/>
        <v>66.113366665488854</v>
      </c>
      <c r="Q54" s="20">
        <f t="shared" si="53"/>
        <v>595.78474694239264</v>
      </c>
      <c r="R54" s="59">
        <f t="shared" si="0"/>
        <v>889.11808027572602</v>
      </c>
      <c r="S54" s="59">
        <f ca="1">AVERAGE(OFFSET($R$3,0,0,'Données projet'!$E$9+1,1))-AVERAGE(OFFSET($H$3,0,0,'Données projet'!$E$9+1,1))</f>
        <v>336.59194805061094</v>
      </c>
      <c r="T54" s="59">
        <f t="shared" si="34"/>
        <v>473.66884161123909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5.5216668414254855</v>
      </c>
      <c r="AA54" s="21">
        <f>EXP(-LN(2)/25)*AA53+(1-EXP(-LN(2)/25))/(LN(2)/25)*Calculateur!V54*Calculateur!X54*VLOOKUP('Données projet'!$B$9,Paramètres!$A$1:$I$89,3,0)*0.475*44/12</f>
        <v>0</v>
      </c>
      <c r="AB54" s="21">
        <f>EXP(-LN(2)/2)*AB53+(1-EXP(-LN(2)/2))/(LN(2)/2)*V54*Y54*VLOOKUP('Données projet'!$B$9,Paramètres!$A$1:$I$89,3,0)*0.475*44/12</f>
        <v>0</v>
      </c>
      <c r="AC54" s="22">
        <f t="shared" si="3"/>
        <v>5.5216668414254855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7.4</v>
      </c>
      <c r="AI54" s="13">
        <f>IF('Données projet'!$A$62&gt;35,AI53+AH54-AQ53,IF(A54&lt;'Données projet'!$A$62,$AF$205^A54,IF(A54='Données projet'!$A$62,'Données projet'!$B$62,AI53+AH54-AQ53)))</f>
        <v>249.40000000000003</v>
      </c>
      <c r="AJ54" s="13">
        <f>AI54*VLOOKUP('Données projet'!$B$10,Paramètres!$A$1:$I$89,3,0)*VLOOKUP('Données projet'!$B$10,Paramètres!$A$1:$I$89,5,0)</f>
        <v>163.40688</v>
      </c>
      <c r="AK54" s="13">
        <f t="shared" si="35"/>
        <v>41.610001881769797</v>
      </c>
      <c r="AL54" s="20">
        <f t="shared" si="4"/>
        <v>357.07106927741569</v>
      </c>
      <c r="AM54" s="59">
        <f t="shared" si="5"/>
        <v>650.404402610749</v>
      </c>
      <c r="AN54" s="59">
        <f ca="1">AVERAGE(OFFSET($AM$3,0,0,'Données projet'!$E$10+1,1))-AVERAGE(OFFSET($H$3,0,0,'Données projet'!$E$10+1,1))</f>
        <v>244.66788784685366</v>
      </c>
      <c r="AO54" s="59">
        <f t="shared" si="36"/>
        <v>252.04429018409274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29.146254635060082</v>
      </c>
      <c r="AV54" s="21">
        <f>EXP(-LN(2)/25)*AV53+(1-EXP(-LN(2)/25))/(LN(2)/25)*Calculateur!AQ54*Calculateur!AS54*VLOOKUP('Données projet'!$B$10,Paramètres!$A$1:$I$89,3,0)*0.475*44/12</f>
        <v>0</v>
      </c>
      <c r="AW54" s="21">
        <f>EXP(-LN(2)/2)*AW53+(1-EXP(-LN(2)/2))/(LN(2)/2)*AQ54*AT54*VLOOKUP('Données projet'!$B$10,Paramètres!$A$1:$I$89,3,0)*0.475*44/12</f>
        <v>0</v>
      </c>
      <c r="AX54" s="21">
        <f t="shared" si="6"/>
        <v>29.146254635060082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6.8</v>
      </c>
      <c r="BD54" s="12">
        <f>IF('Données projet'!$A$88&gt;35,BD53+BC54-BL53,IF(A54&lt;'Données projet'!$A$88,$BA$205^A54,IF(A54='Données projet'!$A$88,'Données projet'!$B$88,BD53+BC54-BL53)))</f>
        <v>222.79999999999981</v>
      </c>
      <c r="BE54" s="13">
        <f>BD54*VLOOKUP('Données projet'!$B$11,Paramètres!$A$1:$I$89,3,0)*VLOOKUP('Données projet'!$B$11,Paramètres!$A$1:$I$89,5,0)</f>
        <v>212.0164799999998</v>
      </c>
      <c r="BF54" s="13">
        <f t="shared" si="37"/>
        <v>52.375991928231954</v>
      </c>
      <c r="BG54" s="20">
        <f t="shared" si="7"/>
        <v>460.48355527500365</v>
      </c>
      <c r="BH54" s="59">
        <f t="shared" si="8"/>
        <v>753.81688860833697</v>
      </c>
      <c r="BI54" s="59">
        <f ca="1">AVERAGE(OFFSET($BH$3,0,0,'Données projet'!$E$11+1,1))-AVERAGE(OFFSET($H$3,0,0,'Données projet'!$E$11+1,1))</f>
        <v>373.51596132356536</v>
      </c>
      <c r="BJ54" s="59">
        <f t="shared" si="38"/>
        <v>417.00150517020114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45.459891592567331</v>
      </c>
      <c r="BQ54" s="21">
        <f>EXP(-LN(2)/25)*BQ53+(1-EXP(-LN(2)/25))/(LN(2)/25)*Calculateur!BL54*Calculateur!BN54*VLOOKUP('Données projet'!$B$11,Paramètres!$A$1:$I$89,3,0)*0.475*44/12</f>
        <v>0</v>
      </c>
      <c r="BR54" s="21">
        <f>EXP(-LN(2)/2)*BR53+(1-EXP(-LN(2)/2))/(LN(2)/2)*BL54*BO54*VLOOKUP('Données projet'!$B$11,Paramètres!$A$1:$I$89,3,0)*0.475*44/12</f>
        <v>0</v>
      </c>
      <c r="BS54" s="22">
        <f t="shared" si="9"/>
        <v>45.459891592567331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8</v>
      </c>
      <c r="BY54" s="12">
        <f>IF('Données projet'!$A$114&gt;35,BY53+BX54-CG53,IF(A54&lt;'Données projet'!$A$114,$BV$205^A54,IF(A54='Données projet'!$A$114,'Données projet'!$B$114,BY53+BX54-CG53)))</f>
        <v>165</v>
      </c>
      <c r="BZ54" s="13">
        <f>BY54*VLOOKUP('Données projet'!$B$12,Paramètres!$A$1:$I$89,3,0)*VLOOKUP('Données projet'!$B$12,Paramètres!$A$1:$I$89,5,0)</f>
        <v>149.29199999999997</v>
      </c>
      <c r="CA54" s="13">
        <f t="shared" si="39"/>
        <v>38.417645803815411</v>
      </c>
      <c r="CB54" s="20">
        <f t="shared" si="10"/>
        <v>326.9276331083118</v>
      </c>
      <c r="CC54" s="59">
        <f t="shared" si="11"/>
        <v>620.26096644164511</v>
      </c>
      <c r="CD54" s="59">
        <f ca="1">AVERAGE(OFFSET($CC$3,0,0,'Données projet'!$E$12+1,1))-AVERAGE(OFFSET($H$3,0,0,'Données projet'!$E$12+1,1))</f>
        <v>289.19622253646992</v>
      </c>
      <c r="CE54" s="59">
        <f t="shared" si="40"/>
        <v>191.23827338431175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>
        <f>EXP(-LN(2)/35)*CK53+(1-EXP(-LN(2)/35))/(LN(2)/35)*CG54*CH54*VLOOKUP('Données projet'!$B$12,Paramètres!$A$1:$I$89,3,0)*0.475*44/12</f>
        <v>30.718353003434945</v>
      </c>
      <c r="CL54" s="21">
        <f>EXP(-LN(2)/25)*CL53+(1-EXP(-LN(2)/25))/(LN(2)/25)*Calculateur!CG54*Calculateur!CI54*VLOOKUP('Données projet'!$B$12,Paramètres!$A$1:$I$89,3,0)*0.475*44/12</f>
        <v>0</v>
      </c>
      <c r="CM54" s="21">
        <f>EXP(-LN(2)/2)*CM53+(1-EXP(-LN(2)/2))/(LN(2)/2)*CG54*CJ54*VLOOKUP('Données projet'!$B$12,Paramètres!$A$1:$I$89,3,0)*0.475*44/12</f>
        <v>0</v>
      </c>
      <c r="CN54" s="22">
        <f t="shared" si="12"/>
        <v>30.718353003434945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30.014400000000027</v>
      </c>
      <c r="D55" s="11">
        <f t="shared" si="32"/>
        <v>9.3093757052690869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303.5519528126037</v>
      </c>
      <c r="H55" s="67">
        <f t="shared" si="1"/>
        <v>325.15557602001041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0</v>
      </c>
      <c r="N55" s="13">
        <f>IF('Données projet'!$A$36&gt;35,N54+M55-V54,IF(A55&lt;'Données projet'!$A$36,$K$205^A55,IF(A55='Données projet'!$A$36,'Données projet'!$B$36,N54+M55-V54)))</f>
        <v>304.99999999999983</v>
      </c>
      <c r="O55" s="13">
        <f>N55*VLOOKUP('Données projet'!$B$9,Paramètres!$A$1:$I$89,3,0)*VLOOKUP('Données projet'!$B$9,Paramètres!$A$1:$I$89,5,0)</f>
        <v>275.96399999999983</v>
      </c>
      <c r="P55" s="13">
        <f t="shared" si="33"/>
        <v>66.113366665488854</v>
      </c>
      <c r="Q55" s="20">
        <f t="shared" si="53"/>
        <v>595.78474694239264</v>
      </c>
      <c r="R55" s="59">
        <f t="shared" si="0"/>
        <v>889.11808027572602</v>
      </c>
      <c r="S55" s="59">
        <f ca="1">AVERAGE(OFFSET($R$3,0,0,'Données projet'!$E$9+1,1))-AVERAGE(OFFSET($H$3,0,0,'Données projet'!$E$9+1,1))</f>
        <v>336.59194805061094</v>
      </c>
      <c r="T55" s="59">
        <f t="shared" si="34"/>
        <v>473.66884161123909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5.413390322549354</v>
      </c>
      <c r="AA55" s="21">
        <f>EXP(-LN(2)/25)*AA54+(1-EXP(-LN(2)/25))/(LN(2)/25)*Calculateur!V55*Calculateur!X55*VLOOKUP('Données projet'!$B$9,Paramètres!$A$1:$I$89,3,0)*0.475*44/12</f>
        <v>0</v>
      </c>
      <c r="AB55" s="21">
        <f>EXP(-LN(2)/2)*AB54+(1-EXP(-LN(2)/2))/(LN(2)/2)*V55*Y55*VLOOKUP('Données projet'!$B$9,Paramètres!$A$1:$I$89,3,0)*0.475*44/12</f>
        <v>0</v>
      </c>
      <c r="AC55" s="22">
        <f t="shared" si="3"/>
        <v>5.413390322549354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7.4</v>
      </c>
      <c r="AI55" s="13">
        <f>IF('Données projet'!$A$62&gt;35,AI54+AH55-AQ54,IF(A55&lt;'Données projet'!$A$62,$AF$205^A55,IF(A55='Données projet'!$A$62,'Données projet'!$B$62,AI54+AH55-AQ54)))</f>
        <v>256.8</v>
      </c>
      <c r="AJ55" s="13">
        <f>AI55*VLOOKUP('Données projet'!$B$10,Paramètres!$A$1:$I$89,3,0)*VLOOKUP('Données projet'!$B$10,Paramètres!$A$1:$I$89,5,0)</f>
        <v>168.25536</v>
      </c>
      <c r="AK55" s="13">
        <f t="shared" si="35"/>
        <v>42.699047982710887</v>
      </c>
      <c r="AL55" s="20">
        <f t="shared" si="4"/>
        <v>367.41226056988808</v>
      </c>
      <c r="AM55" s="59">
        <f t="shared" si="5"/>
        <v>660.74559390322133</v>
      </c>
      <c r="AN55" s="59">
        <f ca="1">AVERAGE(OFFSET($AM$3,0,0,'Données projet'!$E$10+1,1))-AVERAGE(OFFSET($H$3,0,0,'Données projet'!$E$10+1,1))</f>
        <v>244.66788784685366</v>
      </c>
      <c r="AO55" s="59">
        <f t="shared" si="36"/>
        <v>252.04429018409274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28.574714359126503</v>
      </c>
      <c r="AV55" s="21">
        <f>EXP(-LN(2)/25)*AV54+(1-EXP(-LN(2)/25))/(LN(2)/25)*Calculateur!AQ55*Calculateur!AS55*VLOOKUP('Données projet'!$B$10,Paramètres!$A$1:$I$89,3,0)*0.475*44/12</f>
        <v>0</v>
      </c>
      <c r="AW55" s="21">
        <f>EXP(-LN(2)/2)*AW54+(1-EXP(-LN(2)/2))/(LN(2)/2)*AQ55*AT55*VLOOKUP('Données projet'!$B$10,Paramètres!$A$1:$I$89,3,0)*0.475*44/12</f>
        <v>0</v>
      </c>
      <c r="AX55" s="21">
        <f t="shared" si="6"/>
        <v>28.574714359126503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6.8</v>
      </c>
      <c r="BD55" s="12">
        <f>IF('Données projet'!$A$88&gt;35,BD54+BC55-BL54,IF(A55&lt;'Données projet'!$A$88,$BA$205^A55,IF(A55='Données projet'!$A$88,'Données projet'!$B$88,BD54+BC55-BL54)))</f>
        <v>229.59999999999982</v>
      </c>
      <c r="BE55" s="13">
        <f>BD55*VLOOKUP('Données projet'!$B$11,Paramètres!$A$1:$I$89,3,0)*VLOOKUP('Données projet'!$B$11,Paramètres!$A$1:$I$89,5,0)</f>
        <v>218.48735999999985</v>
      </c>
      <c r="BF55" s="13">
        <f t="shared" si="37"/>
        <v>53.785988993208235</v>
      </c>
      <c r="BG55" s="20">
        <f t="shared" si="7"/>
        <v>474.20941616317072</v>
      </c>
      <c r="BH55" s="59">
        <f t="shared" si="8"/>
        <v>767.54274949650403</v>
      </c>
      <c r="BI55" s="59">
        <f ca="1">AVERAGE(OFFSET($BH$3,0,0,'Données projet'!$E$11+1,1))-AVERAGE(OFFSET($H$3,0,0,'Données projet'!$E$11+1,1))</f>
        <v>373.51596132356536</v>
      </c>
      <c r="BJ55" s="59">
        <f t="shared" si="38"/>
        <v>417.00150517020114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44.568450846233063</v>
      </c>
      <c r="BQ55" s="21">
        <f>EXP(-LN(2)/25)*BQ54+(1-EXP(-LN(2)/25))/(LN(2)/25)*Calculateur!BL55*Calculateur!BN55*VLOOKUP('Données projet'!$B$11,Paramètres!$A$1:$I$89,3,0)*0.475*44/12</f>
        <v>0</v>
      </c>
      <c r="BR55" s="21">
        <f>EXP(-LN(2)/2)*BR54+(1-EXP(-LN(2)/2))/(LN(2)/2)*BL55*BO55*VLOOKUP('Données projet'!$B$11,Paramètres!$A$1:$I$89,3,0)*0.475*44/12</f>
        <v>0</v>
      </c>
      <c r="BS55" s="22">
        <f t="shared" si="9"/>
        <v>44.568450846233063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8</v>
      </c>
      <c r="BY55" s="12">
        <f>IF('Données projet'!$A$114&gt;35,BY54+BX55-CG54,IF(A55&lt;'Données projet'!$A$114,$BV$205^A55,IF(A55='Données projet'!$A$114,'Données projet'!$B$114,BY54+BX55-CG54)))</f>
        <v>173</v>
      </c>
      <c r="BZ55" s="13">
        <f>BY55*VLOOKUP('Données projet'!$B$12,Paramètres!$A$1:$I$89,3,0)*VLOOKUP('Données projet'!$B$12,Paramètres!$A$1:$I$89,5,0)</f>
        <v>156.53039999999999</v>
      </c>
      <c r="CA55" s="13">
        <f t="shared" si="39"/>
        <v>40.058941713182037</v>
      </c>
      <c r="CB55" s="20">
        <f t="shared" si="10"/>
        <v>342.393103483792</v>
      </c>
      <c r="CC55" s="59">
        <f t="shared" si="11"/>
        <v>635.72643681712532</v>
      </c>
      <c r="CD55" s="59">
        <f ca="1">AVERAGE(OFFSET($CC$3,0,0,'Données projet'!$E$12+1,1))-AVERAGE(OFFSET($H$3,0,0,'Données projet'!$E$12+1,1))</f>
        <v>289.19622253646992</v>
      </c>
      <c r="CE55" s="59">
        <f t="shared" si="40"/>
        <v>191.23827338431175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>
        <f>EXP(-LN(2)/35)*CK54+(1-EXP(-LN(2)/35))/(LN(2)/35)*CG55*CH55*VLOOKUP('Données projet'!$B$12,Paramètres!$A$1:$I$89,3,0)*0.475*44/12</f>
        <v>30.115984837382857</v>
      </c>
      <c r="CL55" s="21">
        <f>EXP(-LN(2)/25)*CL54+(1-EXP(-LN(2)/25))/(LN(2)/25)*Calculateur!CG55*Calculateur!CI55*VLOOKUP('Données projet'!$B$12,Paramètres!$A$1:$I$89,3,0)*0.475*44/12</f>
        <v>0</v>
      </c>
      <c r="CM55" s="21">
        <f>EXP(-LN(2)/2)*CM54+(1-EXP(-LN(2)/2))/(LN(2)/2)*CG55*CJ55*VLOOKUP('Données projet'!$B$12,Paramètres!$A$1:$I$89,3,0)*0.475*44/12</f>
        <v>0</v>
      </c>
      <c r="CN55" s="22">
        <f t="shared" si="12"/>
        <v>30.115984837382857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30.591600000000028</v>
      </c>
      <c r="D56" s="11">
        <f t="shared" si="32"/>
        <v>9.4673876873427094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309.227273375979</v>
      </c>
      <c r="H56" s="67">
        <f t="shared" si="1"/>
        <v>326.43607022212194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0</v>
      </c>
      <c r="N56" s="13">
        <f>IF('Données projet'!$A$36&gt;35,N55+M56-V55,IF(A56&lt;'Données projet'!$A$36,$K$205^A56,IF(A56='Données projet'!$A$36,'Données projet'!$B$36,N55+M56-V55)))</f>
        <v>304.99999999999983</v>
      </c>
      <c r="O56" s="13">
        <f>N56*VLOOKUP('Données projet'!$B$9,Paramètres!$A$1:$I$89,3,0)*VLOOKUP('Données projet'!$B$9,Paramètres!$A$1:$I$89,5,0)</f>
        <v>275.96399999999983</v>
      </c>
      <c r="P56" s="13">
        <f t="shared" si="33"/>
        <v>66.113366665488854</v>
      </c>
      <c r="Q56" s="20">
        <f t="shared" si="53"/>
        <v>595.78474694239264</v>
      </c>
      <c r="R56" s="59">
        <f t="shared" si="0"/>
        <v>889.11808027572602</v>
      </c>
      <c r="S56" s="59">
        <f ca="1">AVERAGE(OFFSET($R$3,0,0,'Données projet'!$E$9+1,1))-AVERAGE(OFFSET($H$3,0,0,'Données projet'!$E$9+1,1))</f>
        <v>336.59194805061094</v>
      </c>
      <c r="T56" s="59">
        <f t="shared" si="34"/>
        <v>473.66884161123909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5.3072370401662283</v>
      </c>
      <c r="AA56" s="21">
        <f>EXP(-LN(2)/25)*AA55+(1-EXP(-LN(2)/25))/(LN(2)/25)*Calculateur!V56*Calculateur!X56*VLOOKUP('Données projet'!$B$9,Paramètres!$A$1:$I$89,3,0)*0.475*44/12</f>
        <v>0</v>
      </c>
      <c r="AB56" s="21">
        <f>EXP(-LN(2)/2)*AB55+(1-EXP(-LN(2)/2))/(LN(2)/2)*V56*Y56*VLOOKUP('Données projet'!$B$9,Paramètres!$A$1:$I$89,3,0)*0.475*44/12</f>
        <v>0</v>
      </c>
      <c r="AC56" s="22">
        <f t="shared" si="3"/>
        <v>5.3072370401662283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7.4</v>
      </c>
      <c r="AI56" s="13">
        <f>IF('Données projet'!$A$62&gt;35,AI55+AH56-AQ55,IF(A56&lt;'Données projet'!$A$62,$AF$205^A56,IF(A56='Données projet'!$A$62,'Données projet'!$B$62,AI55+AH56-AQ55)))</f>
        <v>264.2</v>
      </c>
      <c r="AJ56" s="13">
        <f>AI56*VLOOKUP('Données projet'!$B$10,Paramètres!$A$1:$I$89,3,0)*VLOOKUP('Données projet'!$B$10,Paramètres!$A$1:$I$89,5,0)</f>
        <v>173.10383999999999</v>
      </c>
      <c r="AK56" s="13">
        <f t="shared" si="35"/>
        <v>43.784446785172882</v>
      </c>
      <c r="AL56" s="20">
        <f t="shared" si="4"/>
        <v>377.74709948417603</v>
      </c>
      <c r="AM56" s="59">
        <f t="shared" si="5"/>
        <v>671.08043281750929</v>
      </c>
      <c r="AN56" s="59">
        <f ca="1">AVERAGE(OFFSET($AM$3,0,0,'Données projet'!$E$10+1,1))-AVERAGE(OFFSET($H$3,0,0,'Données projet'!$E$10+1,1))</f>
        <v>244.66788784685366</v>
      </c>
      <c r="AO56" s="59">
        <f t="shared" si="36"/>
        <v>252.04429018409274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28.014381639398835</v>
      </c>
      <c r="AV56" s="21">
        <f>EXP(-LN(2)/25)*AV55+(1-EXP(-LN(2)/25))/(LN(2)/25)*Calculateur!AQ56*Calculateur!AS56*VLOOKUP('Données projet'!$B$10,Paramètres!$A$1:$I$89,3,0)*0.475*44/12</f>
        <v>0</v>
      </c>
      <c r="AW56" s="21">
        <f>EXP(-LN(2)/2)*AW55+(1-EXP(-LN(2)/2))/(LN(2)/2)*AQ56*AT56*VLOOKUP('Données projet'!$B$10,Paramètres!$A$1:$I$89,3,0)*0.475*44/12</f>
        <v>0</v>
      </c>
      <c r="AX56" s="21">
        <f t="shared" si="6"/>
        <v>28.014381639398835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6.8</v>
      </c>
      <c r="BD56" s="12">
        <f>IF('Données projet'!$A$88&gt;35,BD55+BC56-BL55,IF(A56&lt;'Données projet'!$A$88,$BA$205^A56,IF(A56='Données projet'!$A$88,'Données projet'!$B$88,BD55+BC56-BL55)))</f>
        <v>236.39999999999984</v>
      </c>
      <c r="BE56" s="13">
        <f>BD56*VLOOKUP('Données projet'!$B$11,Paramètres!$A$1:$I$89,3,0)*VLOOKUP('Données projet'!$B$11,Paramètres!$A$1:$I$89,5,0)</f>
        <v>224.95823999999985</v>
      </c>
      <c r="BF56" s="13">
        <f t="shared" si="37"/>
        <v>55.1911328722354</v>
      </c>
      <c r="BG56" s="20">
        <f t="shared" si="7"/>
        <v>487.92682441914297</v>
      </c>
      <c r="BH56" s="59">
        <f t="shared" si="8"/>
        <v>781.26015775247629</v>
      </c>
      <c r="BI56" s="59">
        <f ca="1">AVERAGE(OFFSET($BH$3,0,0,'Données projet'!$E$11+1,1))-AVERAGE(OFFSET($H$3,0,0,'Données projet'!$E$11+1,1))</f>
        <v>373.51596132356536</v>
      </c>
      <c r="BJ56" s="59">
        <f t="shared" si="38"/>
        <v>417.00150517020114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43.694490709209248</v>
      </c>
      <c r="BQ56" s="21">
        <f>EXP(-LN(2)/25)*BQ55+(1-EXP(-LN(2)/25))/(LN(2)/25)*Calculateur!BL56*Calculateur!BN56*VLOOKUP('Données projet'!$B$11,Paramètres!$A$1:$I$89,3,0)*0.475*44/12</f>
        <v>0</v>
      </c>
      <c r="BR56" s="21">
        <f>EXP(-LN(2)/2)*BR55+(1-EXP(-LN(2)/2))/(LN(2)/2)*BL56*BO56*VLOOKUP('Données projet'!$B$11,Paramètres!$A$1:$I$89,3,0)*0.475*44/12</f>
        <v>0</v>
      </c>
      <c r="BS56" s="22">
        <f t="shared" si="9"/>
        <v>43.694490709209248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8</v>
      </c>
      <c r="BY56" s="12">
        <f>IF('Données projet'!$A$114&gt;35,BY55+BX56-CG55,IF(A56&lt;'Données projet'!$A$114,$BV$205^A56,IF(A56='Données projet'!$A$114,'Données projet'!$B$114,BY55+BX56-CG55)))</f>
        <v>181</v>
      </c>
      <c r="BZ56" s="13">
        <f>BY56*VLOOKUP('Données projet'!$B$12,Paramètres!$A$1:$I$89,3,0)*VLOOKUP('Données projet'!$B$12,Paramètres!$A$1:$I$89,5,0)</f>
        <v>163.7688</v>
      </c>
      <c r="CA56" s="13">
        <f t="shared" si="39"/>
        <v>41.691423503509803</v>
      </c>
      <c r="CB56" s="20">
        <f t="shared" si="10"/>
        <v>357.84322260194625</v>
      </c>
      <c r="CC56" s="59">
        <f t="shared" si="11"/>
        <v>651.17655593527957</v>
      </c>
      <c r="CD56" s="59">
        <f ca="1">AVERAGE(OFFSET($CC$3,0,0,'Données projet'!$E$12+1,1))-AVERAGE(OFFSET($H$3,0,0,'Données projet'!$E$12+1,1))</f>
        <v>289.19622253646992</v>
      </c>
      <c r="CE56" s="59">
        <f t="shared" si="40"/>
        <v>191.23827338431175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>
        <f>EXP(-LN(2)/35)*CK55+(1-EXP(-LN(2)/35))/(LN(2)/35)*CG56*CH56*VLOOKUP('Données projet'!$B$12,Paramètres!$A$1:$I$89,3,0)*0.475*44/12</f>
        <v>29.525428743658747</v>
      </c>
      <c r="CL56" s="21">
        <f>EXP(-LN(2)/25)*CL55+(1-EXP(-LN(2)/25))/(LN(2)/25)*Calculateur!CG56*Calculateur!CI56*VLOOKUP('Données projet'!$B$12,Paramètres!$A$1:$I$89,3,0)*0.475*44/12</f>
        <v>0</v>
      </c>
      <c r="CM56" s="21">
        <f>EXP(-LN(2)/2)*CM55+(1-EXP(-LN(2)/2))/(LN(2)/2)*CG56*CJ56*VLOOKUP('Données projet'!$B$12,Paramètres!$A$1:$I$89,3,0)*0.475*44/12</f>
        <v>0</v>
      </c>
      <c r="CN56" s="22">
        <f t="shared" si="12"/>
        <v>29.525428743658747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31.168800000000029</v>
      </c>
      <c r="D57" s="11">
        <f t="shared" si="32"/>
        <v>9.6250529983827278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314.89991788225291</v>
      </c>
      <c r="H57" s="67">
        <f t="shared" si="1"/>
        <v>327.71596063884999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0</v>
      </c>
      <c r="N57" s="13">
        <f>IF('Données projet'!$A$36&gt;35,N56+M57-V56,IF(A57&lt;'Données projet'!$A$36,$K$205^A57,IF(A57='Données projet'!$A$36,'Données projet'!$B$36,N56+M57-V56)))</f>
        <v>304.99999999999983</v>
      </c>
      <c r="O57" s="13">
        <f>N57*VLOOKUP('Données projet'!$B$9,Paramètres!$A$1:$I$89,3,0)*VLOOKUP('Données projet'!$B$9,Paramètres!$A$1:$I$89,5,0)</f>
        <v>275.96399999999983</v>
      </c>
      <c r="P57" s="13">
        <f t="shared" si="33"/>
        <v>66.113366665488854</v>
      </c>
      <c r="Q57" s="20">
        <f t="shared" si="53"/>
        <v>595.78474694239264</v>
      </c>
      <c r="R57" s="59">
        <f t="shared" si="0"/>
        <v>889.11808027572602</v>
      </c>
      <c r="S57" s="59">
        <f ca="1">AVERAGE(OFFSET($R$3,0,0,'Données projet'!$E$9+1,1))-AVERAGE(OFFSET($H$3,0,0,'Données projet'!$E$9+1,1))</f>
        <v>336.59194805061094</v>
      </c>
      <c r="T57" s="59">
        <f t="shared" si="34"/>
        <v>473.66884161123909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5.2031653589035267</v>
      </c>
      <c r="AA57" s="21">
        <f>EXP(-LN(2)/25)*AA56+(1-EXP(-LN(2)/25))/(LN(2)/25)*Calculateur!V57*Calculateur!X57*VLOOKUP('Données projet'!$B$9,Paramètres!$A$1:$I$89,3,0)*0.475*44/12</f>
        <v>0</v>
      </c>
      <c r="AB57" s="21">
        <f>EXP(-LN(2)/2)*AB56+(1-EXP(-LN(2)/2))/(LN(2)/2)*V57*Y57*VLOOKUP('Données projet'!$B$9,Paramètres!$A$1:$I$89,3,0)*0.475*44/12</f>
        <v>0</v>
      </c>
      <c r="AC57" s="22">
        <f t="shared" si="3"/>
        <v>5.2031653589035267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7.4</v>
      </c>
      <c r="AI57" s="13">
        <f>IF('Données projet'!$A$62&gt;35,AI56+AH57-AQ56,IF(A57&lt;'Données projet'!$A$62,$AF$205^A57,IF(A57='Données projet'!$A$62,'Données projet'!$B$62,AI56+AH57-AQ56)))</f>
        <v>271.59999999999997</v>
      </c>
      <c r="AJ57" s="13">
        <f>AI57*VLOOKUP('Données projet'!$B$10,Paramètres!$A$1:$I$89,3,0)*VLOOKUP('Données projet'!$B$10,Paramètres!$A$1:$I$89,5,0)</f>
        <v>177.95231999999999</v>
      </c>
      <c r="AK57" s="13">
        <f t="shared" si="35"/>
        <v>44.866312182234566</v>
      </c>
      <c r="AL57" s="20">
        <f t="shared" si="4"/>
        <v>388.07578438405852</v>
      </c>
      <c r="AM57" s="59">
        <f t="shared" si="5"/>
        <v>681.40911771739184</v>
      </c>
      <c r="AN57" s="59">
        <f ca="1">AVERAGE(OFFSET($AM$3,0,0,'Données projet'!$E$10+1,1))-AVERAGE(OFFSET($H$3,0,0,'Données projet'!$E$10+1,1))</f>
        <v>244.66788784685366</v>
      </c>
      <c r="AO57" s="59">
        <f t="shared" si="36"/>
        <v>252.04429018409274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27.465036702535812</v>
      </c>
      <c r="AV57" s="21">
        <f>EXP(-LN(2)/25)*AV56+(1-EXP(-LN(2)/25))/(LN(2)/25)*Calculateur!AQ57*Calculateur!AS57*VLOOKUP('Données projet'!$B$10,Paramètres!$A$1:$I$89,3,0)*0.475*44/12</f>
        <v>0</v>
      </c>
      <c r="AW57" s="21">
        <f>EXP(-LN(2)/2)*AW56+(1-EXP(-LN(2)/2))/(LN(2)/2)*AQ57*AT57*VLOOKUP('Données projet'!$B$10,Paramètres!$A$1:$I$89,3,0)*0.475*44/12</f>
        <v>0</v>
      </c>
      <c r="AX57" s="21">
        <f t="shared" si="6"/>
        <v>27.465036702535812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6.8</v>
      </c>
      <c r="BD57" s="12">
        <f>IF('Données projet'!$A$88&gt;35,BD56+BC57-BL56,IF(A57&lt;'Données projet'!$A$88,$BA$205^A57,IF(A57='Données projet'!$A$88,'Données projet'!$B$88,BD56+BC57-BL56)))</f>
        <v>243.19999999999985</v>
      </c>
      <c r="BE57" s="13">
        <f>BD57*VLOOKUP('Données projet'!$B$11,Paramètres!$A$1:$I$89,3,0)*VLOOKUP('Données projet'!$B$11,Paramètres!$A$1:$I$89,5,0)</f>
        <v>231.42911999999984</v>
      </c>
      <c r="BF57" s="13">
        <f t="shared" si="37"/>
        <v>56.591579198689885</v>
      </c>
      <c r="BG57" s="20">
        <f t="shared" si="7"/>
        <v>501.63605110438453</v>
      </c>
      <c r="BH57" s="59">
        <f t="shared" si="8"/>
        <v>794.96938443771785</v>
      </c>
      <c r="BI57" s="59">
        <f ca="1">AVERAGE(OFFSET($BH$3,0,0,'Données projet'!$E$11+1,1))-AVERAGE(OFFSET($H$3,0,0,'Données projet'!$E$11+1,1))</f>
        <v>373.51596132356536</v>
      </c>
      <c r="BJ57" s="59">
        <f t="shared" si="38"/>
        <v>417.00150517020114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42.837668397409416</v>
      </c>
      <c r="BQ57" s="21">
        <f>EXP(-LN(2)/25)*BQ56+(1-EXP(-LN(2)/25))/(LN(2)/25)*Calculateur!BL57*Calculateur!BN57*VLOOKUP('Données projet'!$B$11,Paramètres!$A$1:$I$89,3,0)*0.475*44/12</f>
        <v>0</v>
      </c>
      <c r="BR57" s="21">
        <f>EXP(-LN(2)/2)*BR56+(1-EXP(-LN(2)/2))/(LN(2)/2)*BL57*BO57*VLOOKUP('Données projet'!$B$11,Paramètres!$A$1:$I$89,3,0)*0.475*44/12</f>
        <v>0</v>
      </c>
      <c r="BS57" s="22">
        <f t="shared" si="9"/>
        <v>42.837668397409416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8</v>
      </c>
      <c r="BY57" s="12">
        <f>IF('Données projet'!$A$114&gt;35,BY56+BX57-CG56,IF(A57&lt;'Données projet'!$A$114,$BV$205^A57,IF(A57='Données projet'!$A$114,'Données projet'!$B$114,BY56+BX57-CG56)))</f>
        <v>189</v>
      </c>
      <c r="BZ57" s="13">
        <f>BY57*VLOOKUP('Données projet'!$B$12,Paramètres!$A$1:$I$89,3,0)*VLOOKUP('Données projet'!$B$12,Paramètres!$A$1:$I$89,5,0)</f>
        <v>171.00719999999998</v>
      </c>
      <c r="CA57" s="13">
        <f t="shared" si="39"/>
        <v>43.315525267338089</v>
      </c>
      <c r="CB57" s="20">
        <f t="shared" si="10"/>
        <v>373.27874650728046</v>
      </c>
      <c r="CC57" s="59">
        <f t="shared" si="11"/>
        <v>666.61207984061377</v>
      </c>
      <c r="CD57" s="59">
        <f ca="1">AVERAGE(OFFSET($CC$3,0,0,'Données projet'!$E$12+1,1))-AVERAGE(OFFSET($H$3,0,0,'Données projet'!$E$12+1,1))</f>
        <v>289.19622253646992</v>
      </c>
      <c r="CE57" s="59">
        <f t="shared" si="40"/>
        <v>191.23827338431175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>
        <f>EXP(-LN(2)/35)*CK56+(1-EXP(-LN(2)/35))/(LN(2)/35)*CG57*CH57*VLOOKUP('Données projet'!$B$12,Paramètres!$A$1:$I$89,3,0)*0.475*44/12</f>
        <v>28.946453094728916</v>
      </c>
      <c r="CL57" s="21">
        <f>EXP(-LN(2)/25)*CL56+(1-EXP(-LN(2)/25))/(LN(2)/25)*Calculateur!CG57*Calculateur!CI57*VLOOKUP('Données projet'!$B$12,Paramètres!$A$1:$I$89,3,0)*0.475*44/12</f>
        <v>0</v>
      </c>
      <c r="CM57" s="21">
        <f>EXP(-LN(2)/2)*CM56+(1-EXP(-LN(2)/2))/(LN(2)/2)*CG57*CJ57*VLOOKUP('Données projet'!$B$12,Paramètres!$A$1:$I$89,3,0)*0.475*44/12</f>
        <v>0</v>
      </c>
      <c r="CN57" s="22">
        <f t="shared" si="12"/>
        <v>28.946453094728916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31.746000000000031</v>
      </c>
      <c r="D58" s="11">
        <f t="shared" si="32"/>
        <v>9.7823787985981721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320.5699416032142</v>
      </c>
      <c r="H58" s="67">
        <f t="shared" si="1"/>
        <v>328.99525974089187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0</v>
      </c>
      <c r="N58" s="13">
        <f>IF('Données projet'!$A$36&gt;35,N57+M58-V57,IF(A58&lt;'Données projet'!$A$36,$K$205^A58,IF(A58='Données projet'!$A$36,'Données projet'!$B$36,N57+M58-V57)))</f>
        <v>304.99999999999983</v>
      </c>
      <c r="O58" s="13">
        <f>N58*VLOOKUP('Données projet'!$B$9,Paramètres!$A$1:$I$89,3,0)*VLOOKUP('Données projet'!$B$9,Paramètres!$A$1:$I$89,5,0)</f>
        <v>275.96399999999983</v>
      </c>
      <c r="P58" s="13">
        <f t="shared" si="33"/>
        <v>66.113366665488854</v>
      </c>
      <c r="Q58" s="20">
        <f t="shared" si="53"/>
        <v>595.78474694239264</v>
      </c>
      <c r="R58" s="59">
        <f t="shared" si="0"/>
        <v>889.11808027572602</v>
      </c>
      <c r="S58" s="59">
        <f ca="1">AVERAGE(OFFSET($R$3,0,0,'Données projet'!$E$9+1,1))-AVERAGE(OFFSET($H$3,0,0,'Données projet'!$E$9+1,1))</f>
        <v>336.59194805061094</v>
      </c>
      <c r="T58" s="59">
        <f t="shared" si="34"/>
        <v>473.66884161123909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5.1011344598329291</v>
      </c>
      <c r="AA58" s="21">
        <f>EXP(-LN(2)/25)*AA57+(1-EXP(-LN(2)/25))/(LN(2)/25)*Calculateur!V58*Calculateur!X58*VLOOKUP('Données projet'!$B$9,Paramètres!$A$1:$I$89,3,0)*0.475*44/12</f>
        <v>0</v>
      </c>
      <c r="AB58" s="21">
        <f>EXP(-LN(2)/2)*AB57+(1-EXP(-LN(2)/2))/(LN(2)/2)*V58*Y58*VLOOKUP('Données projet'!$B$9,Paramètres!$A$1:$I$89,3,0)*0.475*44/12</f>
        <v>0</v>
      </c>
      <c r="AC58" s="22">
        <f t="shared" si="3"/>
        <v>5.1011344598329291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>
        <f>VLOOKUP(A58,'Données projet'!$A$61:$I$81,2,0)</f>
        <v>279</v>
      </c>
      <c r="AG58" s="12">
        <f>VLOOKUP(A58,'Données projet'!$A$61:$I$81,9,0)</f>
        <v>7.4</v>
      </c>
      <c r="AH58" s="12">
        <f t="array" ref="AH58">INDEX(AG:AG,MIN(IF(ISNUMBER(AG58:AG254),ROW(AG58:AG254),"")))</f>
        <v>7.4</v>
      </c>
      <c r="AI58" s="13">
        <f>IF('Données projet'!$A$62&gt;35,AI57+AH58-AQ57,IF(A58&lt;'Données projet'!$A$62,$AF$205^A58,IF(A58='Données projet'!$A$62,'Données projet'!$B$62,AI57+AH58-AQ57)))</f>
        <v>278.99999999999994</v>
      </c>
      <c r="AJ58" s="13">
        <f>AI58*VLOOKUP('Données projet'!$B$10,Paramètres!$A$1:$I$89,3,0)*VLOOKUP('Données projet'!$B$10,Paramètres!$A$1:$I$89,5,0)</f>
        <v>182.80079999999998</v>
      </c>
      <c r="AK58" s="13">
        <f t="shared" si="35"/>
        <v>45.944751507471658</v>
      </c>
      <c r="AL58" s="20">
        <f t="shared" si="4"/>
        <v>398.39850220884642</v>
      </c>
      <c r="AM58" s="59">
        <f t="shared" si="5"/>
        <v>691.73183554217974</v>
      </c>
      <c r="AN58" s="59">
        <f ca="1">AVERAGE(OFFSET($AM$3,0,0,'Données projet'!$E$10+1,1))-AVERAGE(OFFSET($H$3,0,0,'Données projet'!$E$10+1,1))</f>
        <v>244.66788784685366</v>
      </c>
      <c r="AO58" s="59">
        <f t="shared" si="36"/>
        <v>252.04429018409274</v>
      </c>
      <c r="AP58" s="15">
        <f>IF(ISNA(VLOOKUP(A58,'Données projet'!$A$61:$I$81,3,0)),0,VLOOKUP(A58,'Données projet'!$A$61:$I$81,3,0))</f>
        <v>9</v>
      </c>
      <c r="AQ58" s="15">
        <f>IF(ISNA(VLOOKUP(A58,'Données projet'!$A$61:$I$81,4,0)),0,VLOOKUP(A58,'Données projet'!$A$61:$I$81,4,0))</f>
        <v>16</v>
      </c>
      <c r="AR58" s="16">
        <f>IF(ISNA(VLOOKUP(A58,'Données projet'!$A$61:$I$81,5,0)),0%,VLOOKUP(A58,'Données projet'!$A$61:$I$81,5,0)*VLOOKUP('Données projet'!$B$10,Paramètres!$A$1:$I$89,7,0))</f>
        <v>0.43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31.909676930386873</v>
      </c>
      <c r="AV58" s="21">
        <f>EXP(-LN(2)/25)*AV57+(1-EXP(-LN(2)/25))/(LN(2)/25)*Calculateur!AQ58*Calculateur!AS58*VLOOKUP('Données projet'!$B$10,Paramètres!$A$1:$I$89,3,0)*0.475*44/12</f>
        <v>0</v>
      </c>
      <c r="AW58" s="21">
        <f>EXP(-LN(2)/2)*AW57+(1-EXP(-LN(2)/2))/(LN(2)/2)*AQ58*AT58*VLOOKUP('Données projet'!$B$10,Paramètres!$A$1:$I$89,3,0)*0.475*44/12</f>
        <v>0</v>
      </c>
      <c r="AX58" s="21">
        <f t="shared" si="6"/>
        <v>31.909676930386873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>
        <f>VLOOKUP(A58,'Données projet'!$A$87:$I$107,2,0)</f>
        <v>250</v>
      </c>
      <c r="BB58" s="12">
        <f>VLOOKUP(A58,'Données projet'!$A$87:$I$107,9,0)</f>
        <v>6.8</v>
      </c>
      <c r="BC58" s="12">
        <f t="array" ref="BC58">INDEX(BB:BB,MIN(IF(ISNUMBER(BB58:BB254),ROW(BB58:BB254),"")))</f>
        <v>6.8</v>
      </c>
      <c r="BD58" s="12">
        <f>IF('Données projet'!$A$88&gt;35,BD57+BC58-BL57,IF(A58&lt;'Données projet'!$A$88,$BA$205^A58,IF(A58='Données projet'!$A$88,'Données projet'!$B$88,BD57+BC58-BL57)))</f>
        <v>249.99999999999986</v>
      </c>
      <c r="BE58" s="13">
        <f>BD58*VLOOKUP('Données projet'!$B$11,Paramètres!$A$1:$I$89,3,0)*VLOOKUP('Données projet'!$B$11,Paramètres!$A$1:$I$89,5,0)</f>
        <v>237.89999999999986</v>
      </c>
      <c r="BF58" s="13">
        <f t="shared" si="37"/>
        <v>57.987474407587428</v>
      </c>
      <c r="BG58" s="20">
        <f t="shared" si="7"/>
        <v>515.33735125988119</v>
      </c>
      <c r="BH58" s="59">
        <f t="shared" si="8"/>
        <v>808.67068459321445</v>
      </c>
      <c r="BI58" s="59">
        <f ca="1">AVERAGE(OFFSET($BH$3,0,0,'Données projet'!$E$11+1,1))-AVERAGE(OFFSET($H$3,0,0,'Données projet'!$E$11+1,1))</f>
        <v>373.51596132356536</v>
      </c>
      <c r="BJ58" s="59">
        <f t="shared" si="38"/>
        <v>417.00150517020114</v>
      </c>
      <c r="BK58" s="15">
        <f>IF(ISNA(VLOOKUP(A58,'Données projet'!$A$87:$I$107,3,0)),0,VLOOKUP(A58,'Données projet'!$A$87:$I$107,3,0))</f>
        <v>10</v>
      </c>
      <c r="BL58" s="15">
        <f>IF(ISNA(VLOOKUP(A58,'Données projet'!$A$87:$I$107,4,0)),0,VLOOKUP(A58,'Données projet'!$A$87:$I$107,4,0))</f>
        <v>29</v>
      </c>
      <c r="BM58" s="16">
        <f>IF(ISNA(VLOOKUP(A58,'Données projet'!$A$87:$I$107,5,0)),0%,VLOOKUP(A58,'Données projet'!$A$87:$I$107,5,0)*VLOOKUP('Données projet'!$B$11,Paramètres!$A$1:$I$89,7,0))</f>
        <v>0.43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55.115659044683511</v>
      </c>
      <c r="BQ58" s="21">
        <f>EXP(-LN(2)/25)*BQ57+(1-EXP(-LN(2)/25))/(LN(2)/25)*Calculateur!BL58*Calculateur!BN58*VLOOKUP('Données projet'!$B$11,Paramètres!$A$1:$I$89,3,0)*0.475*44/12</f>
        <v>0</v>
      </c>
      <c r="BR58" s="21">
        <f>EXP(-LN(2)/2)*BR57+(1-EXP(-LN(2)/2))/(LN(2)/2)*BL58*BO58*VLOOKUP('Données projet'!$B$11,Paramètres!$A$1:$I$89,3,0)*0.475*44/12</f>
        <v>0</v>
      </c>
      <c r="BS58" s="22">
        <f t="shared" si="9"/>
        <v>55.115659044683511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>
        <f>VLOOKUP(A58,'Données projet'!$A$113:$I$133,2,0)</f>
        <v>197</v>
      </c>
      <c r="BW58" s="12">
        <f>VLOOKUP(A58,'Données projet'!$A$113:$I$133,9,0)</f>
        <v>8</v>
      </c>
      <c r="BX58" s="12">
        <f t="array" ref="BX58">INDEX(BW:BW,MIN(IF(ISNUMBER(BW58:BW254),ROW(BW58:BW254),"")))</f>
        <v>8</v>
      </c>
      <c r="BY58" s="12">
        <f>IF('Données projet'!$A$114&gt;35,BY57+BX58-CG57,IF(A58&lt;'Données projet'!$A$114,$BV$205^A58,IF(A58='Données projet'!$A$114,'Données projet'!$B$114,BY57+BX58-CG57)))</f>
        <v>197</v>
      </c>
      <c r="BZ58" s="13">
        <f>BY58*VLOOKUP('Données projet'!$B$12,Paramètres!$A$1:$I$89,3,0)*VLOOKUP('Données projet'!$B$12,Paramètres!$A$1:$I$89,5,0)</f>
        <v>178.2456</v>
      </c>
      <c r="CA58" s="13">
        <f t="shared" si="39"/>
        <v>44.931642269910427</v>
      </c>
      <c r="CB58" s="20">
        <f t="shared" si="10"/>
        <v>388.70036362009404</v>
      </c>
      <c r="CC58" s="59">
        <f t="shared" si="11"/>
        <v>682.03369695342735</v>
      </c>
      <c r="CD58" s="59">
        <f ca="1">AVERAGE(OFFSET($CC$3,0,0,'Données projet'!$E$12+1,1))-AVERAGE(OFFSET($H$3,0,0,'Données projet'!$E$12+1,1))</f>
        <v>289.19622253646992</v>
      </c>
      <c r="CE58" s="59">
        <f t="shared" si="40"/>
        <v>191.23827338431175</v>
      </c>
      <c r="CF58" s="15">
        <f>IF(ISNA(VLOOKUP(A58,'Données projet'!$A$113:$I$133,3,0)),0,VLOOKUP(A58,'Données projet'!$A$113:$I$133,3,0))</f>
        <v>7</v>
      </c>
      <c r="CG58" s="15">
        <f>IF(ISNA(VLOOKUP(A58,'Données projet'!$A$113:$I$133,4,0)),0,VLOOKUP(A58,'Données projet'!$A$113:$I$133,4,0))</f>
        <v>21</v>
      </c>
      <c r="CH58" s="16">
        <f>IF(ISNA(VLOOKUP(A58,'Données projet'!$A$113:$I$133,5,0)),0%,VLOOKUP(A58,'Données projet'!$A$113:$I$133,5,0)*VLOOKUP('Données projet'!$B$12,Paramètres!$A$1:$I$89,7,0))</f>
        <v>0.43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>
        <f>EXP(-LN(2)/35)*CK57+(1-EXP(-LN(2)/35))/(LN(2)/35)*CG58*CH58*VLOOKUP('Données projet'!$B$12,Paramètres!$A$1:$I$89,3,0)*0.475*44/12</f>
        <v>37.410904087729087</v>
      </c>
      <c r="CL58" s="21">
        <f>EXP(-LN(2)/25)*CL57+(1-EXP(-LN(2)/25))/(LN(2)/25)*Calculateur!CG58*Calculateur!CI58*VLOOKUP('Données projet'!$B$12,Paramètres!$A$1:$I$89,3,0)*0.475*44/12</f>
        <v>0</v>
      </c>
      <c r="CM58" s="21">
        <f>EXP(-LN(2)/2)*CM57+(1-EXP(-LN(2)/2))/(LN(2)/2)*CG58*CJ58*VLOOKUP('Données projet'!$B$12,Paramètres!$A$1:$I$89,3,0)*0.475*44/12</f>
        <v>0</v>
      </c>
      <c r="CN58" s="22">
        <f t="shared" si="12"/>
        <v>37.410904087729087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32.323200000000028</v>
      </c>
      <c r="D59" s="11">
        <f t="shared" si="32"/>
        <v>9.9393719729191581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326.23739768569197</v>
      </c>
      <c r="H59" s="67">
        <f t="shared" si="1"/>
        <v>330.27397951950093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0</v>
      </c>
      <c r="N59" s="13">
        <f>IF('Données projet'!$A$36&gt;35,N58+M59-V58,IF(A59&lt;'Données projet'!$A$36,$K$205^A59,IF(A59='Données projet'!$A$36,'Données projet'!$B$36,N58+M59-V58)))</f>
        <v>304.99999999999983</v>
      </c>
      <c r="O59" s="13">
        <f>N59*VLOOKUP('Données projet'!$B$9,Paramètres!$A$1:$I$89,3,0)*VLOOKUP('Données projet'!$B$9,Paramètres!$A$1:$I$89,5,0)</f>
        <v>275.96399999999983</v>
      </c>
      <c r="P59" s="13">
        <f t="shared" si="33"/>
        <v>66.113366665488854</v>
      </c>
      <c r="Q59" s="20">
        <f t="shared" si="53"/>
        <v>595.78474694239264</v>
      </c>
      <c r="R59" s="59">
        <f t="shared" si="0"/>
        <v>889.11808027572602</v>
      </c>
      <c r="S59" s="59">
        <f ca="1">AVERAGE(OFFSET($R$3,0,0,'Données projet'!$E$9+1,1))-AVERAGE(OFFSET($H$3,0,0,'Données projet'!$E$9+1,1))</f>
        <v>336.59194805061094</v>
      </c>
      <c r="T59" s="59">
        <f t="shared" si="34"/>
        <v>473.66884161123909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5.0011043244604023</v>
      </c>
      <c r="AA59" s="21">
        <f>EXP(-LN(2)/25)*AA58+(1-EXP(-LN(2)/25))/(LN(2)/25)*Calculateur!V59*Calculateur!X59*VLOOKUP('Données projet'!$B$9,Paramètres!$A$1:$I$89,3,0)*0.475*44/12</f>
        <v>0</v>
      </c>
      <c r="AB59" s="21">
        <f>EXP(-LN(2)/2)*AB58+(1-EXP(-LN(2)/2))/(LN(2)/2)*V59*Y59*VLOOKUP('Données projet'!$B$9,Paramètres!$A$1:$I$89,3,0)*0.475*44/12</f>
        <v>0</v>
      </c>
      <c r="AC59" s="22">
        <f t="shared" si="3"/>
        <v>5.0011043244604023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6.2</v>
      </c>
      <c r="AI59" s="13">
        <f>IF('Données projet'!$A$62&gt;35,AI58+AH59-AQ58,IF(A59&lt;'Données projet'!$A$62,$AF$205^A59,IF(A59='Données projet'!$A$62,'Données projet'!$B$62,AI58+AH59-AQ58)))</f>
        <v>269.19999999999993</v>
      </c>
      <c r="AJ59" s="13">
        <f>AI59*VLOOKUP('Données projet'!$B$10,Paramètres!$A$1:$I$89,3,0)*VLOOKUP('Données projet'!$B$10,Paramètres!$A$1:$I$89,5,0)</f>
        <v>176.37983999999994</v>
      </c>
      <c r="AK59" s="13">
        <f t="shared" si="35"/>
        <v>44.51581737444701</v>
      </c>
      <c r="AL59" s="20">
        <f t="shared" si="4"/>
        <v>384.7266032604951</v>
      </c>
      <c r="AM59" s="59">
        <f t="shared" si="5"/>
        <v>678.05993659382841</v>
      </c>
      <c r="AN59" s="59">
        <f ca="1">AVERAGE(OFFSET($AM$3,0,0,'Données projet'!$E$10+1,1))-AVERAGE(OFFSET($H$3,0,0,'Données projet'!$E$10+1,1))</f>
        <v>244.66788784685366</v>
      </c>
      <c r="AO59" s="59">
        <f t="shared" si="36"/>
        <v>252.04429018409274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31.283947628763105</v>
      </c>
      <c r="AV59" s="21">
        <f>EXP(-LN(2)/25)*AV58+(1-EXP(-LN(2)/25))/(LN(2)/25)*Calculateur!AQ59*Calculateur!AS59*VLOOKUP('Données projet'!$B$10,Paramètres!$A$1:$I$89,3,0)*0.475*44/12</f>
        <v>0</v>
      </c>
      <c r="AW59" s="21">
        <f>EXP(-LN(2)/2)*AW58+(1-EXP(-LN(2)/2))/(LN(2)/2)*AQ59*AT59*VLOOKUP('Données projet'!$B$10,Paramètres!$A$1:$I$89,3,0)*0.475*44/12</f>
        <v>0</v>
      </c>
      <c r="AX59" s="21">
        <f t="shared" si="6"/>
        <v>31.283947628763105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6.6</v>
      </c>
      <c r="BD59" s="12">
        <f>IF('Données projet'!$A$88&gt;35,BD58+BC59-BL58,IF(A59&lt;'Données projet'!$A$88,$BA$205^A59,IF(A59='Données projet'!$A$88,'Données projet'!$B$88,BD58+BC59-BL58)))</f>
        <v>227.59999999999985</v>
      </c>
      <c r="BE59" s="13">
        <f>BD59*VLOOKUP('Données projet'!$B$11,Paramètres!$A$1:$I$89,3,0)*VLOOKUP('Données projet'!$B$11,Paramètres!$A$1:$I$89,5,0)</f>
        <v>216.58415999999986</v>
      </c>
      <c r="BF59" s="13">
        <f t="shared" si="37"/>
        <v>53.371794984714192</v>
      </c>
      <c r="BG59" s="20">
        <f t="shared" si="7"/>
        <v>470.1732882650436</v>
      </c>
      <c r="BH59" s="59">
        <f t="shared" si="8"/>
        <v>763.50662159837691</v>
      </c>
      <c r="BI59" s="59">
        <f ca="1">AVERAGE(OFFSET($BH$3,0,0,'Données projet'!$E$11+1,1))-AVERAGE(OFFSET($H$3,0,0,'Données projet'!$E$11+1,1))</f>
        <v>373.51596132356536</v>
      </c>
      <c r="BJ59" s="59">
        <f t="shared" si="38"/>
        <v>417.00150517020114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54.03487458804986</v>
      </c>
      <c r="BQ59" s="21">
        <f>EXP(-LN(2)/25)*BQ58+(1-EXP(-LN(2)/25))/(LN(2)/25)*Calculateur!BL59*Calculateur!BN59*VLOOKUP('Données projet'!$B$11,Paramètres!$A$1:$I$89,3,0)*0.475*44/12</f>
        <v>0</v>
      </c>
      <c r="BR59" s="21">
        <f>EXP(-LN(2)/2)*BR58+(1-EXP(-LN(2)/2))/(LN(2)/2)*BL59*BO59*VLOOKUP('Données projet'!$B$11,Paramètres!$A$1:$I$89,3,0)*0.475*44/12</f>
        <v>0</v>
      </c>
      <c r="BS59" s="22">
        <f t="shared" si="9"/>
        <v>54.03487458804986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7.6</v>
      </c>
      <c r="BY59" s="12">
        <f>IF('Données projet'!$A$114&gt;35,BY58+BX59-CG58,IF(A59&lt;'Données projet'!$A$114,$BV$205^A59,IF(A59='Données projet'!$A$114,'Données projet'!$B$114,BY58+BX59-CG58)))</f>
        <v>183.6</v>
      </c>
      <c r="BZ59" s="13">
        <f>BY59*VLOOKUP('Données projet'!$B$12,Paramètres!$A$1:$I$89,3,0)*VLOOKUP('Données projet'!$B$12,Paramètres!$A$1:$I$89,5,0)</f>
        <v>166.12127999999998</v>
      </c>
      <c r="CA59" s="13">
        <f t="shared" si="39"/>
        <v>42.220155874487318</v>
      </c>
      <c r="CB59" s="20">
        <f t="shared" si="10"/>
        <v>362.8613341480654</v>
      </c>
      <c r="CC59" s="59">
        <f t="shared" si="11"/>
        <v>656.19466748139871</v>
      </c>
      <c r="CD59" s="59">
        <f ca="1">AVERAGE(OFFSET($CC$3,0,0,'Données projet'!$E$12+1,1))-AVERAGE(OFFSET($H$3,0,0,'Données projet'!$E$12+1,1))</f>
        <v>289.19622253646992</v>
      </c>
      <c r="CE59" s="59">
        <f t="shared" si="40"/>
        <v>191.23827338431175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>
        <f>EXP(-LN(2)/35)*CK58+(1-EXP(-LN(2)/35))/(LN(2)/35)*CG59*CH59*VLOOKUP('Données projet'!$B$12,Paramètres!$A$1:$I$89,3,0)*0.475*44/12</f>
        <v>36.677299076967081</v>
      </c>
      <c r="CL59" s="21">
        <f>EXP(-LN(2)/25)*CL58+(1-EXP(-LN(2)/25))/(LN(2)/25)*Calculateur!CG59*Calculateur!CI59*VLOOKUP('Données projet'!$B$12,Paramètres!$A$1:$I$89,3,0)*0.475*44/12</f>
        <v>0</v>
      </c>
      <c r="CM59" s="21">
        <f>EXP(-LN(2)/2)*CM58+(1-EXP(-LN(2)/2))/(LN(2)/2)*CG59*CJ59*VLOOKUP('Données projet'!$B$12,Paramètres!$A$1:$I$89,3,0)*0.475*44/12</f>
        <v>0</v>
      </c>
      <c r="CN59" s="22">
        <f t="shared" si="12"/>
        <v>36.677299076967081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32.900400000000026</v>
      </c>
      <c r="D60" s="11">
        <f t="shared" si="32"/>
        <v>10.096039146303513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331.90233726971155</v>
      </c>
      <c r="H60" s="67">
        <f t="shared" si="1"/>
        <v>331.55213151314535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0</v>
      </c>
      <c r="N60" s="13">
        <f>IF('Données projet'!$A$36&gt;35,N59+M60-V59,IF(A60&lt;'Données projet'!$A$36,$K$205^A60,IF(A60='Données projet'!$A$36,'Données projet'!$B$36,N59+M60-V59)))</f>
        <v>304.99999999999983</v>
      </c>
      <c r="O60" s="13">
        <f>N60*VLOOKUP('Données projet'!$B$9,Paramètres!$A$1:$I$89,3,0)*VLOOKUP('Données projet'!$B$9,Paramètres!$A$1:$I$89,5,0)</f>
        <v>275.96399999999983</v>
      </c>
      <c r="P60" s="13">
        <f t="shared" si="33"/>
        <v>66.113366665488854</v>
      </c>
      <c r="Q60" s="20">
        <f t="shared" si="53"/>
        <v>595.78474694239264</v>
      </c>
      <c r="R60" s="59">
        <f t="shared" si="0"/>
        <v>889.11808027572602</v>
      </c>
      <c r="S60" s="59">
        <f ca="1">AVERAGE(OFFSET($R$3,0,0,'Données projet'!$E$9+1,1))-AVERAGE(OFFSET($H$3,0,0,'Données projet'!$E$9+1,1))</f>
        <v>336.59194805061094</v>
      </c>
      <c r="T60" s="59">
        <f t="shared" si="34"/>
        <v>473.66884161123909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4.9030357190301723</v>
      </c>
      <c r="AA60" s="21">
        <f>EXP(-LN(2)/25)*AA59+(1-EXP(-LN(2)/25))/(LN(2)/25)*Calculateur!V60*Calculateur!X60*VLOOKUP('Données projet'!$B$9,Paramètres!$A$1:$I$89,3,0)*0.475*44/12</f>
        <v>0</v>
      </c>
      <c r="AB60" s="21">
        <f>EXP(-LN(2)/2)*AB59+(1-EXP(-LN(2)/2))/(LN(2)/2)*V60*Y60*VLOOKUP('Données projet'!$B$9,Paramètres!$A$1:$I$89,3,0)*0.475*44/12</f>
        <v>0</v>
      </c>
      <c r="AC60" s="22">
        <f t="shared" si="3"/>
        <v>4.9030357190301723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6.2</v>
      </c>
      <c r="AI60" s="13">
        <f>IF('Données projet'!$A$62&gt;35,AI59+AH60-AQ59,IF(A60&lt;'Données projet'!$A$62,$AF$205^A60,IF(A60='Données projet'!$A$62,'Données projet'!$B$62,AI59+AH60-AQ59)))</f>
        <v>275.39999999999992</v>
      </c>
      <c r="AJ60" s="13">
        <f>AI60*VLOOKUP('Données projet'!$B$10,Paramètres!$A$1:$I$89,3,0)*VLOOKUP('Données projet'!$B$10,Paramètres!$A$1:$I$89,5,0)</f>
        <v>180.44207999999995</v>
      </c>
      <c r="AK60" s="13">
        <f t="shared" si="35"/>
        <v>45.420526775820029</v>
      </c>
      <c r="AL60" s="20">
        <f t="shared" si="4"/>
        <v>393.37737346788646</v>
      </c>
      <c r="AM60" s="59">
        <f t="shared" si="5"/>
        <v>686.71070680121977</v>
      </c>
      <c r="AN60" s="59">
        <f ca="1">AVERAGE(OFFSET($AM$3,0,0,'Données projet'!$E$10+1,1))-AVERAGE(OFFSET($H$3,0,0,'Données projet'!$E$10+1,1))</f>
        <v>244.66788784685366</v>
      </c>
      <c r="AO60" s="59">
        <f t="shared" si="36"/>
        <v>252.04429018409274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30.670488497086989</v>
      </c>
      <c r="AV60" s="21">
        <f>EXP(-LN(2)/25)*AV59+(1-EXP(-LN(2)/25))/(LN(2)/25)*Calculateur!AQ60*Calculateur!AS60*VLOOKUP('Données projet'!$B$10,Paramètres!$A$1:$I$89,3,0)*0.475*44/12</f>
        <v>0</v>
      </c>
      <c r="AW60" s="21">
        <f>EXP(-LN(2)/2)*AW59+(1-EXP(-LN(2)/2))/(LN(2)/2)*AQ60*AT60*VLOOKUP('Données projet'!$B$10,Paramètres!$A$1:$I$89,3,0)*0.475*44/12</f>
        <v>0</v>
      </c>
      <c r="AX60" s="21">
        <f t="shared" si="6"/>
        <v>30.670488497086989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6.6</v>
      </c>
      <c r="BD60" s="12">
        <f>IF('Données projet'!$A$88&gt;35,BD59+BC60-BL59,IF(A60&lt;'Données projet'!$A$88,$BA$205^A60,IF(A60='Données projet'!$A$88,'Données projet'!$B$88,BD59+BC60-BL59)))</f>
        <v>234.19999999999985</v>
      </c>
      <c r="BE60" s="13">
        <f>BD60*VLOOKUP('Données projet'!$B$11,Paramètres!$A$1:$I$89,3,0)*VLOOKUP('Données projet'!$B$11,Paramètres!$A$1:$I$89,5,0)</f>
        <v>222.86471999999986</v>
      </c>
      <c r="BF60" s="13">
        <f t="shared" si="37"/>
        <v>54.737048868068264</v>
      </c>
      <c r="BG60" s="20">
        <f t="shared" si="7"/>
        <v>483.48974744521865</v>
      </c>
      <c r="BH60" s="59">
        <f t="shared" si="8"/>
        <v>776.82308077855191</v>
      </c>
      <c r="BI60" s="59">
        <f ca="1">AVERAGE(OFFSET($BH$3,0,0,'Données projet'!$E$11+1,1))-AVERAGE(OFFSET($H$3,0,0,'Données projet'!$E$11+1,1))</f>
        <v>373.51596132356536</v>
      </c>
      <c r="BJ60" s="59">
        <f t="shared" si="38"/>
        <v>417.00150517020114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52.975283655397369</v>
      </c>
      <c r="BQ60" s="21">
        <f>EXP(-LN(2)/25)*BQ59+(1-EXP(-LN(2)/25))/(LN(2)/25)*Calculateur!BL60*Calculateur!BN60*VLOOKUP('Données projet'!$B$11,Paramètres!$A$1:$I$89,3,0)*0.475*44/12</f>
        <v>0</v>
      </c>
      <c r="BR60" s="21">
        <f>EXP(-LN(2)/2)*BR59+(1-EXP(-LN(2)/2))/(LN(2)/2)*BL60*BO60*VLOOKUP('Données projet'!$B$11,Paramètres!$A$1:$I$89,3,0)*0.475*44/12</f>
        <v>0</v>
      </c>
      <c r="BS60" s="22">
        <f t="shared" si="9"/>
        <v>52.975283655397369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7.6</v>
      </c>
      <c r="BY60" s="12">
        <f>IF('Données projet'!$A$114&gt;35,BY59+BX60-CG59,IF(A60&lt;'Données projet'!$A$114,$BV$205^A60,IF(A60='Données projet'!$A$114,'Données projet'!$B$114,BY59+BX60-CG59)))</f>
        <v>191.2</v>
      </c>
      <c r="BZ60" s="13">
        <f>BY60*VLOOKUP('Données projet'!$B$12,Paramètres!$A$1:$I$89,3,0)*VLOOKUP('Données projet'!$B$12,Paramètres!$A$1:$I$89,5,0)</f>
        <v>172.99775999999997</v>
      </c>
      <c r="CA60" s="13">
        <f t="shared" si="39"/>
        <v>43.760737531919609</v>
      </c>
      <c r="CB60" s="20">
        <f t="shared" si="10"/>
        <v>377.52104986809326</v>
      </c>
      <c r="CC60" s="59">
        <f t="shared" si="11"/>
        <v>670.85438320142657</v>
      </c>
      <c r="CD60" s="59">
        <f ca="1">AVERAGE(OFFSET($CC$3,0,0,'Données projet'!$E$12+1,1))-AVERAGE(OFFSET($H$3,0,0,'Données projet'!$E$12+1,1))</f>
        <v>289.19622253646992</v>
      </c>
      <c r="CE60" s="59">
        <f t="shared" si="40"/>
        <v>191.23827338431175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>
        <f>EXP(-LN(2)/35)*CK59+(1-EXP(-LN(2)/35))/(LN(2)/35)*CG60*CH60*VLOOKUP('Données projet'!$B$12,Paramètres!$A$1:$I$89,3,0)*0.475*44/12</f>
        <v>35.958079613011243</v>
      </c>
      <c r="CL60" s="21">
        <f>EXP(-LN(2)/25)*CL59+(1-EXP(-LN(2)/25))/(LN(2)/25)*Calculateur!CG60*Calculateur!CI60*VLOOKUP('Données projet'!$B$12,Paramètres!$A$1:$I$89,3,0)*0.475*44/12</f>
        <v>0</v>
      </c>
      <c r="CM60" s="21">
        <f>EXP(-LN(2)/2)*CM59+(1-EXP(-LN(2)/2))/(LN(2)/2)*CG60*CJ60*VLOOKUP('Données projet'!$B$12,Paramètres!$A$1:$I$89,3,0)*0.475*44/12</f>
        <v>0</v>
      </c>
      <c r="CN60" s="22">
        <f t="shared" si="12"/>
        <v>35.958079613011243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33.477600000000024</v>
      </c>
      <c r="D61" s="11">
        <f t="shared" si="32"/>
        <v>10.2523866979388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337.56480959812433</v>
      </c>
      <c r="H61" s="67">
        <f t="shared" si="1"/>
        <v>332.82972683224347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0</v>
      </c>
      <c r="N61" s="13">
        <f>IF('Données projet'!$A$36&gt;35,N60+M61-V60,IF(A61&lt;'Données projet'!$A$36,$K$205^A61,IF(A61='Données projet'!$A$36,'Données projet'!$B$36,N60+M61-V60)))</f>
        <v>304.99999999999983</v>
      </c>
      <c r="O61" s="13">
        <f>N61*VLOOKUP('Données projet'!$B$9,Paramètres!$A$1:$I$89,3,0)*VLOOKUP('Données projet'!$B$9,Paramètres!$A$1:$I$89,5,0)</f>
        <v>275.96399999999983</v>
      </c>
      <c r="P61" s="13">
        <f t="shared" si="33"/>
        <v>66.113366665488854</v>
      </c>
      <c r="Q61" s="20">
        <f t="shared" si="53"/>
        <v>595.78474694239264</v>
      </c>
      <c r="R61" s="59">
        <f t="shared" si="0"/>
        <v>889.11808027572602</v>
      </c>
      <c r="S61" s="59">
        <f ca="1">AVERAGE(OFFSET($R$3,0,0,'Données projet'!$E$9+1,1))-AVERAGE(OFFSET($H$3,0,0,'Données projet'!$E$9+1,1))</f>
        <v>336.59194805061094</v>
      </c>
      <c r="T61" s="59">
        <f t="shared" si="34"/>
        <v>473.66884161123909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4.8068901791364862</v>
      </c>
      <c r="AA61" s="21">
        <f>EXP(-LN(2)/25)*AA60+(1-EXP(-LN(2)/25))/(LN(2)/25)*Calculateur!V61*Calculateur!X61*VLOOKUP('Données projet'!$B$9,Paramètres!$A$1:$I$89,3,0)*0.475*44/12</f>
        <v>0</v>
      </c>
      <c r="AB61" s="21">
        <f>EXP(-LN(2)/2)*AB60+(1-EXP(-LN(2)/2))/(LN(2)/2)*V61*Y61*VLOOKUP('Données projet'!$B$9,Paramètres!$A$1:$I$89,3,0)*0.475*44/12</f>
        <v>0</v>
      </c>
      <c r="AC61" s="22">
        <f t="shared" si="3"/>
        <v>4.8068901791364862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6.2</v>
      </c>
      <c r="AI61" s="13">
        <f>IF('Données projet'!$A$62&gt;35,AI60+AH61-AQ60,IF(A61&lt;'Données projet'!$A$62,$AF$205^A61,IF(A61='Données projet'!$A$62,'Données projet'!$B$62,AI60+AH61-AQ60)))</f>
        <v>281.59999999999991</v>
      </c>
      <c r="AJ61" s="13">
        <f>AI61*VLOOKUP('Données projet'!$B$10,Paramètres!$A$1:$I$89,3,0)*VLOOKUP('Données projet'!$B$10,Paramètres!$A$1:$I$89,5,0)</f>
        <v>184.50431999999995</v>
      </c>
      <c r="AK61" s="13">
        <f t="shared" si="35"/>
        <v>46.32286829709458</v>
      </c>
      <c r="AL61" s="20">
        <f t="shared" si="4"/>
        <v>402.02401961743959</v>
      </c>
      <c r="AM61" s="59">
        <f t="shared" si="5"/>
        <v>695.35735295077291</v>
      </c>
      <c r="AN61" s="59">
        <f ca="1">AVERAGE(OFFSET($AM$3,0,0,'Données projet'!$E$10+1,1))-AVERAGE(OFFSET($H$3,0,0,'Données projet'!$E$10+1,1))</f>
        <v>244.66788784685366</v>
      </c>
      <c r="AO61" s="59">
        <f t="shared" si="36"/>
        <v>252.04429018409274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30.069058924809919</v>
      </c>
      <c r="AV61" s="21">
        <f>EXP(-LN(2)/25)*AV60+(1-EXP(-LN(2)/25))/(LN(2)/25)*Calculateur!AQ61*Calculateur!AS61*VLOOKUP('Données projet'!$B$10,Paramètres!$A$1:$I$89,3,0)*0.475*44/12</f>
        <v>0</v>
      </c>
      <c r="AW61" s="21">
        <f>EXP(-LN(2)/2)*AW60+(1-EXP(-LN(2)/2))/(LN(2)/2)*AQ61*AT61*VLOOKUP('Données projet'!$B$10,Paramètres!$A$1:$I$89,3,0)*0.475*44/12</f>
        <v>0</v>
      </c>
      <c r="AX61" s="21">
        <f t="shared" si="6"/>
        <v>30.069058924809919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6.6</v>
      </c>
      <c r="BD61" s="12">
        <f>IF('Données projet'!$A$88&gt;35,BD60+BC61-BL60,IF(A61&lt;'Données projet'!$A$88,$BA$205^A61,IF(A61='Données projet'!$A$88,'Données projet'!$B$88,BD60+BC61-BL60)))</f>
        <v>240.79999999999984</v>
      </c>
      <c r="BE61" s="13">
        <f>BD61*VLOOKUP('Données projet'!$B$11,Paramètres!$A$1:$I$89,3,0)*VLOOKUP('Données projet'!$B$11,Paramètres!$A$1:$I$89,5,0)</f>
        <v>229.14527999999984</v>
      </c>
      <c r="BF61" s="13">
        <f t="shared" si="37"/>
        <v>56.097831057350739</v>
      </c>
      <c r="BG61" s="20">
        <f t="shared" si="7"/>
        <v>496.79841842488554</v>
      </c>
      <c r="BH61" s="59">
        <f t="shared" si="8"/>
        <v>790.1317517582188</v>
      </c>
      <c r="BI61" s="59">
        <f ca="1">AVERAGE(OFFSET($BH$3,0,0,'Données projet'!$E$11+1,1))-AVERAGE(OFFSET($H$3,0,0,'Données projet'!$E$11+1,1))</f>
        <v>373.51596132356536</v>
      </c>
      <c r="BJ61" s="59">
        <f t="shared" si="38"/>
        <v>417.00150517020114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51.936470654647536</v>
      </c>
      <c r="BQ61" s="21">
        <f>EXP(-LN(2)/25)*BQ60+(1-EXP(-LN(2)/25))/(LN(2)/25)*Calculateur!BL61*Calculateur!BN61*VLOOKUP('Données projet'!$B$11,Paramètres!$A$1:$I$89,3,0)*0.475*44/12</f>
        <v>0</v>
      </c>
      <c r="BR61" s="21">
        <f>EXP(-LN(2)/2)*BR60+(1-EXP(-LN(2)/2))/(LN(2)/2)*BL61*BO61*VLOOKUP('Données projet'!$B$11,Paramètres!$A$1:$I$89,3,0)*0.475*44/12</f>
        <v>0</v>
      </c>
      <c r="BS61" s="22">
        <f t="shared" si="9"/>
        <v>51.936470654647536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7.6</v>
      </c>
      <c r="BY61" s="12">
        <f>IF('Données projet'!$A$114&gt;35,BY60+BX61-CG60,IF(A61&lt;'Données projet'!$A$114,$BV$205^A61,IF(A61='Données projet'!$A$114,'Données projet'!$B$114,BY60+BX61-CG60)))</f>
        <v>198.79999999999998</v>
      </c>
      <c r="BZ61" s="13">
        <f>BY61*VLOOKUP('Données projet'!$B$12,Paramètres!$A$1:$I$89,3,0)*VLOOKUP('Données projet'!$B$12,Paramètres!$A$1:$I$89,5,0)</f>
        <v>179.87423999999999</v>
      </c>
      <c r="CA61" s="13">
        <f t="shared" si="39"/>
        <v>45.294205745553846</v>
      </c>
      <c r="CB61" s="20">
        <f t="shared" si="10"/>
        <v>392.16837634017293</v>
      </c>
      <c r="CC61" s="59">
        <f t="shared" si="11"/>
        <v>685.50170967350618</v>
      </c>
      <c r="CD61" s="59">
        <f ca="1">AVERAGE(OFFSET($CC$3,0,0,'Données projet'!$E$12+1,1))-AVERAGE(OFFSET($H$3,0,0,'Données projet'!$E$12+1,1))</f>
        <v>289.19622253646992</v>
      </c>
      <c r="CE61" s="59">
        <f t="shared" si="40"/>
        <v>191.23827338431175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>
        <f>EXP(-LN(2)/35)*CK60+(1-EXP(-LN(2)/35))/(LN(2)/35)*CG61*CH61*VLOOKUP('Données projet'!$B$12,Paramètres!$A$1:$I$89,3,0)*0.475*44/12</f>
        <v>35.252963604063027</v>
      </c>
      <c r="CL61" s="21">
        <f>EXP(-LN(2)/25)*CL60+(1-EXP(-LN(2)/25))/(LN(2)/25)*Calculateur!CG61*Calculateur!CI61*VLOOKUP('Données projet'!$B$12,Paramètres!$A$1:$I$89,3,0)*0.475*44/12</f>
        <v>0</v>
      </c>
      <c r="CM61" s="21">
        <f>EXP(-LN(2)/2)*CM60+(1-EXP(-LN(2)/2))/(LN(2)/2)*CG61*CJ61*VLOOKUP('Données projet'!$B$12,Paramètres!$A$1:$I$89,3,0)*0.475*44/12</f>
        <v>0</v>
      </c>
      <c r="CN61" s="22">
        <f t="shared" si="12"/>
        <v>35.252963604063027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34.054800000000021</v>
      </c>
      <c r="D62" s="11">
        <f t="shared" si="32"/>
        <v>10.408420774437195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343.22486211846268</v>
      </c>
      <c r="H62" s="67">
        <f t="shared" si="1"/>
        <v>334.10677618214481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0</v>
      </c>
      <c r="N62" s="13">
        <f>IF('Données projet'!$A$36&gt;35,N61+M62-V61,IF(A62&lt;'Données projet'!$A$36,$K$205^A62,IF(A62='Données projet'!$A$36,'Données projet'!$B$36,N61+M62-V61)))</f>
        <v>304.99999999999983</v>
      </c>
      <c r="O62" s="13">
        <f>N62*VLOOKUP('Données projet'!$B$9,Paramètres!$A$1:$I$89,3,0)*VLOOKUP('Données projet'!$B$9,Paramètres!$A$1:$I$89,5,0)</f>
        <v>275.96399999999983</v>
      </c>
      <c r="P62" s="13">
        <f t="shared" si="33"/>
        <v>66.113366665488854</v>
      </c>
      <c r="Q62" s="20">
        <f t="shared" si="53"/>
        <v>595.78474694239264</v>
      </c>
      <c r="R62" s="59">
        <f t="shared" si="0"/>
        <v>889.11808027572602</v>
      </c>
      <c r="S62" s="59">
        <f ca="1">AVERAGE(OFFSET($R$3,0,0,'Données projet'!$E$9+1,1))-AVERAGE(OFFSET($H$3,0,0,'Données projet'!$E$9+1,1))</f>
        <v>336.59194805061094</v>
      </c>
      <c r="T62" s="59">
        <f t="shared" si="34"/>
        <v>473.66884161123909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4.7126299946371262</v>
      </c>
      <c r="AA62" s="21">
        <f>EXP(-LN(2)/25)*AA61+(1-EXP(-LN(2)/25))/(LN(2)/25)*Calculateur!V62*Calculateur!X62*VLOOKUP('Données projet'!$B$9,Paramètres!$A$1:$I$89,3,0)*0.475*44/12</f>
        <v>0</v>
      </c>
      <c r="AB62" s="21">
        <f>EXP(-LN(2)/2)*AB61+(1-EXP(-LN(2)/2))/(LN(2)/2)*V62*Y62*VLOOKUP('Données projet'!$B$9,Paramètres!$A$1:$I$89,3,0)*0.475*44/12</f>
        <v>0</v>
      </c>
      <c r="AC62" s="22">
        <f t="shared" si="3"/>
        <v>4.7126299946371262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6.2</v>
      </c>
      <c r="AI62" s="13">
        <f>IF('Données projet'!$A$62&gt;35,AI61+AH62-AQ61,IF(A62&lt;'Données projet'!$A$62,$AF$205^A62,IF(A62='Données projet'!$A$62,'Données projet'!$B$62,AI61+AH62-AQ61)))</f>
        <v>287.7999999999999</v>
      </c>
      <c r="AJ62" s="13">
        <f>AI62*VLOOKUP('Données projet'!$B$10,Paramètres!$A$1:$I$89,3,0)*VLOOKUP('Données projet'!$B$10,Paramètres!$A$1:$I$89,5,0)</f>
        <v>188.56655999999992</v>
      </c>
      <c r="AK62" s="13">
        <f t="shared" si="35"/>
        <v>47.222900075332575</v>
      </c>
      <c r="AL62" s="20">
        <f t="shared" si="4"/>
        <v>410.66664296453746</v>
      </c>
      <c r="AM62" s="59">
        <f t="shared" si="5"/>
        <v>703.99997629787072</v>
      </c>
      <c r="AN62" s="59">
        <f ca="1">AVERAGE(OFFSET($AM$3,0,0,'Données projet'!$E$10+1,1))-AVERAGE(OFFSET($H$3,0,0,'Données projet'!$E$10+1,1))</f>
        <v>244.66788784685366</v>
      </c>
      <c r="AO62" s="59">
        <f t="shared" si="36"/>
        <v>252.04429018409274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29.479423019609385</v>
      </c>
      <c r="AV62" s="21">
        <f>EXP(-LN(2)/25)*AV61+(1-EXP(-LN(2)/25))/(LN(2)/25)*Calculateur!AQ62*Calculateur!AS62*VLOOKUP('Données projet'!$B$10,Paramètres!$A$1:$I$89,3,0)*0.475*44/12</f>
        <v>0</v>
      </c>
      <c r="AW62" s="21">
        <f>EXP(-LN(2)/2)*AW61+(1-EXP(-LN(2)/2))/(LN(2)/2)*AQ62*AT62*VLOOKUP('Données projet'!$B$10,Paramètres!$A$1:$I$89,3,0)*0.475*44/12</f>
        <v>0</v>
      </c>
      <c r="AX62" s="21">
        <f t="shared" si="6"/>
        <v>29.479423019609385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6.6</v>
      </c>
      <c r="BD62" s="12">
        <f>IF('Données projet'!$A$88&gt;35,BD61+BC62-BL61,IF(A62&lt;'Données projet'!$A$88,$BA$205^A62,IF(A62='Données projet'!$A$88,'Données projet'!$B$88,BD61+BC62-BL61)))</f>
        <v>247.39999999999984</v>
      </c>
      <c r="BE62" s="13">
        <f>BD62*VLOOKUP('Données projet'!$B$11,Paramètres!$A$1:$I$89,3,0)*VLOOKUP('Données projet'!$B$11,Paramètres!$A$1:$I$89,5,0)</f>
        <v>235.42583999999985</v>
      </c>
      <c r="BF62" s="13">
        <f t="shared" si="37"/>
        <v>57.454278198558761</v>
      </c>
      <c r="BG62" s="20">
        <f t="shared" si="7"/>
        <v>510.09953919582284</v>
      </c>
      <c r="BH62" s="59">
        <f t="shared" si="8"/>
        <v>803.43287252915616</v>
      </c>
      <c r="BI62" s="59">
        <f ca="1">AVERAGE(OFFSET($BH$3,0,0,'Données projet'!$E$11+1,1))-AVERAGE(OFFSET($H$3,0,0,'Données projet'!$E$11+1,1))</f>
        <v>373.51596132356536</v>
      </c>
      <c r="BJ62" s="59">
        <f t="shared" si="38"/>
        <v>417.00150517020114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50.918028143229044</v>
      </c>
      <c r="BQ62" s="21">
        <f>EXP(-LN(2)/25)*BQ61+(1-EXP(-LN(2)/25))/(LN(2)/25)*Calculateur!BL62*Calculateur!BN62*VLOOKUP('Données projet'!$B$11,Paramètres!$A$1:$I$89,3,0)*0.475*44/12</f>
        <v>0</v>
      </c>
      <c r="BR62" s="21">
        <f>EXP(-LN(2)/2)*BR61+(1-EXP(-LN(2)/2))/(LN(2)/2)*BL62*BO62*VLOOKUP('Données projet'!$B$11,Paramètres!$A$1:$I$89,3,0)*0.475*44/12</f>
        <v>0</v>
      </c>
      <c r="BS62" s="22">
        <f t="shared" si="9"/>
        <v>50.918028143229044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7.6</v>
      </c>
      <c r="BY62" s="12">
        <f>IF('Données projet'!$A$114&gt;35,BY61+BX62-CG61,IF(A62&lt;'Données projet'!$A$114,$BV$205^A62,IF(A62='Données projet'!$A$114,'Données projet'!$B$114,BY61+BX62-CG61)))</f>
        <v>206.39999999999998</v>
      </c>
      <c r="BZ62" s="13">
        <f>BY62*VLOOKUP('Données projet'!$B$12,Paramètres!$A$1:$I$89,3,0)*VLOOKUP('Données projet'!$B$12,Paramètres!$A$1:$I$89,5,0)</f>
        <v>186.75071999999997</v>
      </c>
      <c r="CA62" s="13">
        <f t="shared" si="39"/>
        <v>46.820863587839391</v>
      </c>
      <c r="CB62" s="20">
        <f t="shared" si="10"/>
        <v>406.80384141548689</v>
      </c>
      <c r="CC62" s="59">
        <f t="shared" si="11"/>
        <v>700.13717474882014</v>
      </c>
      <c r="CD62" s="59">
        <f ca="1">AVERAGE(OFFSET($CC$3,0,0,'Données projet'!$E$12+1,1))-AVERAGE(OFFSET($H$3,0,0,'Données projet'!$E$12+1,1))</f>
        <v>289.19622253646992</v>
      </c>
      <c r="CE62" s="59">
        <f t="shared" si="40"/>
        <v>191.23827338431175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>
        <f>EXP(-LN(2)/35)*CK61+(1-EXP(-LN(2)/35))/(LN(2)/35)*CG62*CH62*VLOOKUP('Données projet'!$B$12,Paramètres!$A$1:$I$89,3,0)*0.475*44/12</f>
        <v>34.561674489971985</v>
      </c>
      <c r="CL62" s="21">
        <f>EXP(-LN(2)/25)*CL61+(1-EXP(-LN(2)/25))/(LN(2)/25)*Calculateur!CG62*Calculateur!CI62*VLOOKUP('Données projet'!$B$12,Paramètres!$A$1:$I$89,3,0)*0.475*44/12</f>
        <v>0</v>
      </c>
      <c r="CM62" s="21">
        <f>EXP(-LN(2)/2)*CM61+(1-EXP(-LN(2)/2))/(LN(2)/2)*CG62*CJ62*VLOOKUP('Données projet'!$B$12,Paramètres!$A$1:$I$89,3,0)*0.475*44/12</f>
        <v>0</v>
      </c>
      <c r="CN62" s="22">
        <f t="shared" si="12"/>
        <v>34.561674489971985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34.632000000000019</v>
      </c>
      <c r="D63" s="11">
        <f t="shared" si="32"/>
        <v>10.564147302110397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348.88254057769444</v>
      </c>
      <c r="H63" s="67">
        <f t="shared" si="1"/>
        <v>335.383289884509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0</v>
      </c>
      <c r="N63" s="13">
        <f>IF('Données projet'!$A$36&gt;35,N62+M63-V62,IF(A63&lt;'Données projet'!$A$36,$K$205^A63,IF(A63='Données projet'!$A$36,'Données projet'!$B$36,N62+M63-V62)))</f>
        <v>304.99999999999983</v>
      </c>
      <c r="O63" s="13">
        <f>N63*VLOOKUP('Données projet'!$B$9,Paramètres!$A$1:$I$89,3,0)*VLOOKUP('Données projet'!$B$9,Paramètres!$A$1:$I$89,5,0)</f>
        <v>275.96399999999983</v>
      </c>
      <c r="P63" s="13">
        <f t="shared" si="33"/>
        <v>66.113366665488854</v>
      </c>
      <c r="Q63" s="20">
        <f t="shared" si="53"/>
        <v>595.78474694239264</v>
      </c>
      <c r="R63" s="59">
        <f t="shared" si="0"/>
        <v>889.11808027572602</v>
      </c>
      <c r="S63" s="59">
        <f ca="1">AVERAGE(OFFSET($R$3,0,0,'Données projet'!$E$9+1,1))-AVERAGE(OFFSET($H$3,0,0,'Données projet'!$E$9+1,1))</f>
        <v>336.59194805061094</v>
      </c>
      <c r="T63" s="59">
        <f t="shared" si="34"/>
        <v>473.66884161123909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4.6202181948627636</v>
      </c>
      <c r="AA63" s="21">
        <f>EXP(-LN(2)/25)*AA62+(1-EXP(-LN(2)/25))/(LN(2)/25)*Calculateur!V63*Calculateur!X63*VLOOKUP('Données projet'!$B$9,Paramètres!$A$1:$I$89,3,0)*0.475*44/12</f>
        <v>0</v>
      </c>
      <c r="AB63" s="21">
        <f>EXP(-LN(2)/2)*AB62+(1-EXP(-LN(2)/2))/(LN(2)/2)*V63*Y63*VLOOKUP('Données projet'!$B$9,Paramètres!$A$1:$I$89,3,0)*0.475*44/12</f>
        <v>0</v>
      </c>
      <c r="AC63" s="22">
        <f t="shared" si="3"/>
        <v>4.6202181948627636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>
        <f>VLOOKUP(A63,'Données projet'!$A$61:$I$81,2,0)</f>
        <v>294</v>
      </c>
      <c r="AG63" s="12">
        <f>VLOOKUP(A63,'Données projet'!$A$61:$I$81,9,0)</f>
        <v>6.2</v>
      </c>
      <c r="AH63" s="12">
        <f t="array" ref="AH63">INDEX(AG:AG,MIN(IF(ISNUMBER(AG63:AG259),ROW(AG63:AG259),"")))</f>
        <v>6.2</v>
      </c>
      <c r="AI63" s="13">
        <f>IF('Données projet'!$A$62&gt;35,AI62+AH63-AQ62,IF(A63&lt;'Données projet'!$A$62,$AF$205^A63,IF(A63='Données projet'!$A$62,'Données projet'!$B$62,AI62+AH63-AQ62)))</f>
        <v>293.99999999999989</v>
      </c>
      <c r="AJ63" s="13">
        <f>AI63*VLOOKUP('Données projet'!$B$10,Paramètres!$A$1:$I$89,3,0)*VLOOKUP('Données projet'!$B$10,Paramètres!$A$1:$I$89,5,0)</f>
        <v>192.62879999999993</v>
      </c>
      <c r="AK63" s="13">
        <f t="shared" si="35"/>
        <v>48.120677599655174</v>
      </c>
      <c r="AL63" s="20">
        <f t="shared" si="4"/>
        <v>419.30534015273264</v>
      </c>
      <c r="AM63" s="59">
        <f t="shared" si="5"/>
        <v>712.63867348606595</v>
      </c>
      <c r="AN63" s="59">
        <f ca="1">AVERAGE(OFFSET($AM$3,0,0,'Données projet'!$E$10+1,1))-AVERAGE(OFFSET($H$3,0,0,'Données projet'!$E$10+1,1))</f>
        <v>244.66788784685366</v>
      </c>
      <c r="AO63" s="59">
        <f t="shared" si="36"/>
        <v>252.04429018409274</v>
      </c>
      <c r="AP63" s="15">
        <f>IF(ISNA(VLOOKUP(A63,'Données projet'!$A$61:$I$81,3,0)),0,VLOOKUP(A63,'Données projet'!$A$61:$I$81,3,0))</f>
        <v>10</v>
      </c>
      <c r="AQ63" s="15">
        <f>IF(ISNA(VLOOKUP(A63,'Données projet'!$A$61:$I$81,4,0)),0,VLOOKUP(A63,'Données projet'!$A$61:$I$81,4,0))</f>
        <v>14</v>
      </c>
      <c r="AR63" s="16">
        <f>IF(ISNA(VLOOKUP(A63,'Données projet'!$A$61:$I$81,5,0)),0%,VLOOKUP(A63,'Données projet'!$A$61:$I$81,5,0)*VLOOKUP('Données projet'!$B$10,Paramètres!$A$1:$I$89,7,0))</f>
        <v>0.43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33.261660754740774</v>
      </c>
      <c r="AV63" s="21">
        <f>EXP(-LN(2)/25)*AV62+(1-EXP(-LN(2)/25))/(LN(2)/25)*Calculateur!AQ63*Calculateur!AS63*VLOOKUP('Données projet'!$B$10,Paramètres!$A$1:$I$89,3,0)*0.475*44/12</f>
        <v>0</v>
      </c>
      <c r="AW63" s="21">
        <f>EXP(-LN(2)/2)*AW62+(1-EXP(-LN(2)/2))/(LN(2)/2)*AQ63*AT63*VLOOKUP('Données projet'!$B$10,Paramètres!$A$1:$I$89,3,0)*0.475*44/12</f>
        <v>0</v>
      </c>
      <c r="AX63" s="21">
        <f t="shared" si="6"/>
        <v>33.261660754740774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>
        <f>VLOOKUP(A63,'Données projet'!$A$87:$I$107,2,0)</f>
        <v>254</v>
      </c>
      <c r="BB63" s="12">
        <f>VLOOKUP(A63,'Données projet'!$A$87:$I$107,9,0)</f>
        <v>6.6</v>
      </c>
      <c r="BC63" s="12">
        <f t="array" ref="BC63">INDEX(BB:BB,MIN(IF(ISNUMBER(BB63:BB259),ROW(BB63:BB259),"")))</f>
        <v>6.6</v>
      </c>
      <c r="BD63" s="12">
        <f>IF('Données projet'!$A$88&gt;35,BD62+BC63-BL62,IF(A63&lt;'Données projet'!$A$88,$BA$205^A63,IF(A63='Données projet'!$A$88,'Données projet'!$B$88,BD62+BC63-BL62)))</f>
        <v>253.99999999999983</v>
      </c>
      <c r="BE63" s="13">
        <f>BD63*VLOOKUP('Données projet'!$B$11,Paramètres!$A$1:$I$89,3,0)*VLOOKUP('Données projet'!$B$11,Paramètres!$A$1:$I$89,5,0)</f>
        <v>241.70639999999983</v>
      </c>
      <c r="BF63" s="13">
        <f t="shared" si="37"/>
        <v>58.806519231842486</v>
      </c>
      <c r="BG63" s="20">
        <f t="shared" si="7"/>
        <v>523.39333432879198</v>
      </c>
      <c r="BH63" s="59">
        <f t="shared" si="8"/>
        <v>816.72666766212524</v>
      </c>
      <c r="BI63" s="59">
        <f ca="1">AVERAGE(OFFSET($BH$3,0,0,'Données projet'!$E$11+1,1))-AVERAGE(OFFSET($H$3,0,0,'Données projet'!$E$11+1,1))</f>
        <v>373.51596132356536</v>
      </c>
      <c r="BJ63" s="59">
        <f t="shared" si="38"/>
        <v>417.00150517020114</v>
      </c>
      <c r="BK63" s="15">
        <f>IF(ISNA(VLOOKUP(A63,'Données projet'!$A$87:$I$107,3,0)),0,VLOOKUP(A63,'Données projet'!$A$87:$I$107,3,0))</f>
        <v>11</v>
      </c>
      <c r="BL63" s="15">
        <f>IF(ISNA(VLOOKUP(A63,'Données projet'!$A$87:$I$107,4,0)),0,VLOOKUP(A63,'Données projet'!$A$87:$I$107,4,0))</f>
        <v>29</v>
      </c>
      <c r="BM63" s="16">
        <f>IF(ISNA(VLOOKUP(A63,'Données projet'!$A$87:$I$107,5,0)),0%,VLOOKUP(A63,'Données projet'!$A$87:$I$107,5,0)*VLOOKUP('Données projet'!$B$11,Paramètres!$A$1:$I$89,7,0))</f>
        <v>0.43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63.03756786442041</v>
      </c>
      <c r="BQ63" s="21">
        <f>EXP(-LN(2)/25)*BQ62+(1-EXP(-LN(2)/25))/(LN(2)/25)*Calculateur!BL63*Calculateur!BN63*VLOOKUP('Données projet'!$B$11,Paramètres!$A$1:$I$89,3,0)*0.475*44/12</f>
        <v>0</v>
      </c>
      <c r="BR63" s="21">
        <f>EXP(-LN(2)/2)*BR62+(1-EXP(-LN(2)/2))/(LN(2)/2)*BL63*BO63*VLOOKUP('Données projet'!$B$11,Paramètres!$A$1:$I$89,3,0)*0.475*44/12</f>
        <v>0</v>
      </c>
      <c r="BS63" s="22">
        <f t="shared" si="9"/>
        <v>63.03756786442041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>
        <f>VLOOKUP(A63,'Données projet'!$A$113:$I$133,2,0)</f>
        <v>214</v>
      </c>
      <c r="BW63" s="12">
        <f>VLOOKUP(A63,'Données projet'!$A$113:$I$133,9,0)</f>
        <v>7.6</v>
      </c>
      <c r="BX63" s="12">
        <f t="array" ref="BX63">INDEX(BW:BW,MIN(IF(ISNUMBER(BW63:BW259),ROW(BW63:BW259),"")))</f>
        <v>7.6</v>
      </c>
      <c r="BY63" s="12">
        <f>IF('Données projet'!$A$114&gt;35,BY62+BX63-CG62,IF(A63&lt;'Données projet'!$A$114,$BV$205^A63,IF(A63='Données projet'!$A$114,'Données projet'!$B$114,BY62+BX63-CG62)))</f>
        <v>213.99999999999997</v>
      </c>
      <c r="BZ63" s="13">
        <f>BY63*VLOOKUP('Données projet'!$B$12,Paramètres!$A$1:$I$89,3,0)*VLOOKUP('Données projet'!$B$12,Paramètres!$A$1:$I$89,5,0)</f>
        <v>193.62719999999996</v>
      </c>
      <c r="CA63" s="13">
        <f t="shared" si="39"/>
        <v>48.340990547231193</v>
      </c>
      <c r="CB63" s="20">
        <f t="shared" si="10"/>
        <v>421.42793186976087</v>
      </c>
      <c r="CC63" s="59">
        <f t="shared" si="11"/>
        <v>714.76126520309413</v>
      </c>
      <c r="CD63" s="59">
        <f ca="1">AVERAGE(OFFSET($CC$3,0,0,'Données projet'!$E$12+1,1))-AVERAGE(OFFSET($H$3,0,0,'Données projet'!$E$12+1,1))</f>
        <v>289.19622253646992</v>
      </c>
      <c r="CE63" s="59">
        <f t="shared" si="40"/>
        <v>191.23827338431175</v>
      </c>
      <c r="CF63" s="15">
        <f>IF(ISNA(VLOOKUP(A63,'Données projet'!$A$113:$I$133,3,0)),0,VLOOKUP(A63,'Données projet'!$A$113:$I$133,3,0))</f>
        <v>8</v>
      </c>
      <c r="CG63" s="15">
        <f>IF(ISNA(VLOOKUP(A63,'Données projet'!$A$113:$I$133,4,0)),0,VLOOKUP(A63,'Données projet'!$A$113:$I$133,4,0))</f>
        <v>21</v>
      </c>
      <c r="CH63" s="16">
        <f>IF(ISNA(VLOOKUP(A63,'Données projet'!$A$113:$I$133,5,0)),0%,VLOOKUP(A63,'Données projet'!$A$113:$I$133,5,0)*VLOOKUP('Données projet'!$B$12,Paramètres!$A$1:$I$89,7,0))</f>
        <v>0.43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>
        <f>EXP(-LN(2)/35)*CK62+(1-EXP(-LN(2)/35))/(LN(2)/35)*CG63*CH63*VLOOKUP('Données projet'!$B$12,Paramètres!$A$1:$I$89,3,0)*0.475*44/12</f>
        <v>42.916014416358301</v>
      </c>
      <c r="CL63" s="21">
        <f>EXP(-LN(2)/25)*CL62+(1-EXP(-LN(2)/25))/(LN(2)/25)*Calculateur!CG63*Calculateur!CI63*VLOOKUP('Données projet'!$B$12,Paramètres!$A$1:$I$89,3,0)*0.475*44/12</f>
        <v>0</v>
      </c>
      <c r="CM63" s="21">
        <f>EXP(-LN(2)/2)*CM62+(1-EXP(-LN(2)/2))/(LN(2)/2)*CG63*CJ63*VLOOKUP('Données projet'!$B$12,Paramètres!$A$1:$I$89,3,0)*0.475*44/12</f>
        <v>0</v>
      </c>
      <c r="CN63" s="22">
        <f t="shared" si="12"/>
        <v>42.916014416358301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35.209200000000017</v>
      </c>
      <c r="D64" s="11">
        <f t="shared" si="32"/>
        <v>10.719571998403087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354.53788911048014</v>
      </c>
      <c r="H64" s="67">
        <f t="shared" si="1"/>
        <v>336.65927789721877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0</v>
      </c>
      <c r="N64" s="13">
        <f>IF('Données projet'!$A$36&gt;35,N63+M64-V63,IF(A64&lt;'Données projet'!$A$36,$K$205^A64,IF(A64='Données projet'!$A$36,'Données projet'!$B$36,N63+M64-V63)))</f>
        <v>304.99999999999983</v>
      </c>
      <c r="O64" s="13">
        <f>N64*VLOOKUP('Données projet'!$B$9,Paramètres!$A$1:$I$89,3,0)*VLOOKUP('Données projet'!$B$9,Paramètres!$A$1:$I$89,5,0)</f>
        <v>275.96399999999983</v>
      </c>
      <c r="P64" s="13">
        <f t="shared" si="33"/>
        <v>66.113366665488854</v>
      </c>
      <c r="Q64" s="20">
        <f t="shared" si="53"/>
        <v>595.78474694239264</v>
      </c>
      <c r="R64" s="59">
        <f t="shared" si="0"/>
        <v>889.11808027572602</v>
      </c>
      <c r="S64" s="59">
        <f ca="1">AVERAGE(OFFSET($R$3,0,0,'Données projet'!$E$9+1,1))-AVERAGE(OFFSET($H$3,0,0,'Données projet'!$E$9+1,1))</f>
        <v>336.59194805061094</v>
      </c>
      <c r="T64" s="59">
        <f t="shared" si="34"/>
        <v>473.66884161123909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4.5296185341163442</v>
      </c>
      <c r="AA64" s="21">
        <f>EXP(-LN(2)/25)*AA63+(1-EXP(-LN(2)/25))/(LN(2)/25)*Calculateur!V64*Calculateur!X64*VLOOKUP('Données projet'!$B$9,Paramètres!$A$1:$I$89,3,0)*0.475*44/12</f>
        <v>0</v>
      </c>
      <c r="AB64" s="21">
        <f>EXP(-LN(2)/2)*AB63+(1-EXP(-LN(2)/2))/(LN(2)/2)*V64*Y64*VLOOKUP('Données projet'!$B$9,Paramètres!$A$1:$I$89,3,0)*0.475*44/12</f>
        <v>0</v>
      </c>
      <c r="AC64" s="22">
        <f t="shared" si="3"/>
        <v>4.5296185341163442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5.2</v>
      </c>
      <c r="AI64" s="13">
        <f>IF('Données projet'!$A$62&gt;35,AI63+AH64-AQ63,IF(A64&lt;'Données projet'!$A$62,$AF$205^A64,IF(A64='Données projet'!$A$62,'Données projet'!$B$62,AI63+AH64-AQ63)))</f>
        <v>285.19999999999987</v>
      </c>
      <c r="AJ64" s="13">
        <f>AI64*VLOOKUP('Données projet'!$B$10,Paramètres!$A$1:$I$89,3,0)*VLOOKUP('Données projet'!$B$10,Paramètres!$A$1:$I$89,5,0)</f>
        <v>186.86303999999993</v>
      </c>
      <c r="AK64" s="13">
        <f t="shared" si="35"/>
        <v>46.845744983534466</v>
      </c>
      <c r="AL64" s="20">
        <f t="shared" si="4"/>
        <v>407.04280051298906</v>
      </c>
      <c r="AM64" s="59">
        <f t="shared" si="5"/>
        <v>700.37613384632232</v>
      </c>
      <c r="AN64" s="59">
        <f ca="1">AVERAGE(OFFSET($AM$3,0,0,'Données projet'!$E$10+1,1))-AVERAGE(OFFSET($H$3,0,0,'Données projet'!$E$10+1,1))</f>
        <v>244.66788784685366</v>
      </c>
      <c r="AO64" s="59">
        <f t="shared" si="36"/>
        <v>252.04429018409274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32.609419874950134</v>
      </c>
      <c r="AV64" s="21">
        <f>EXP(-LN(2)/25)*AV63+(1-EXP(-LN(2)/25))/(LN(2)/25)*Calculateur!AQ64*Calculateur!AS64*VLOOKUP('Données projet'!$B$10,Paramètres!$A$1:$I$89,3,0)*0.475*44/12</f>
        <v>0</v>
      </c>
      <c r="AW64" s="21">
        <f>EXP(-LN(2)/2)*AW63+(1-EXP(-LN(2)/2))/(LN(2)/2)*AQ64*AT64*VLOOKUP('Données projet'!$B$10,Paramètres!$A$1:$I$89,3,0)*0.475*44/12</f>
        <v>0</v>
      </c>
      <c r="AX64" s="21">
        <f t="shared" si="6"/>
        <v>32.609419874950134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6.4</v>
      </c>
      <c r="BD64" s="12">
        <f>IF('Données projet'!$A$88&gt;35,BD63+BC64-BL63,IF(A64&lt;'Données projet'!$A$88,$BA$205^A64,IF(A64='Données projet'!$A$88,'Données projet'!$B$88,BD63+BC64-BL63)))</f>
        <v>231.39999999999981</v>
      </c>
      <c r="BE64" s="13">
        <f>BD64*VLOOKUP('Données projet'!$B$11,Paramètres!$A$1:$I$89,3,0)*VLOOKUP('Données projet'!$B$11,Paramètres!$A$1:$I$89,5,0)</f>
        <v>220.20023999999984</v>
      </c>
      <c r="BF64" s="13">
        <f t="shared" si="37"/>
        <v>54.158404590600504</v>
      </c>
      <c r="BG64" s="20">
        <f t="shared" si="7"/>
        <v>477.84130599529561</v>
      </c>
      <c r="BH64" s="59">
        <f t="shared" si="8"/>
        <v>771.17463932862893</v>
      </c>
      <c r="BI64" s="59">
        <f ca="1">AVERAGE(OFFSET($BH$3,0,0,'Données projet'!$E$11+1,1))-AVERAGE(OFFSET($H$3,0,0,'Données projet'!$E$11+1,1))</f>
        <v>373.51596132356536</v>
      </c>
      <c r="BJ64" s="59">
        <f t="shared" si="38"/>
        <v>417.00150517020114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61.80143960771899</v>
      </c>
      <c r="BQ64" s="21">
        <f>EXP(-LN(2)/25)*BQ63+(1-EXP(-LN(2)/25))/(LN(2)/25)*Calculateur!BL64*Calculateur!BN64*VLOOKUP('Données projet'!$B$11,Paramètres!$A$1:$I$89,3,0)*0.475*44/12</f>
        <v>0</v>
      </c>
      <c r="BR64" s="21">
        <f>EXP(-LN(2)/2)*BR63+(1-EXP(-LN(2)/2))/(LN(2)/2)*BL64*BO64*VLOOKUP('Données projet'!$B$11,Paramètres!$A$1:$I$89,3,0)*0.475*44/12</f>
        <v>0</v>
      </c>
      <c r="BS64" s="22">
        <f t="shared" si="9"/>
        <v>61.80143960771899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7.2</v>
      </c>
      <c r="BY64" s="12">
        <f>IF('Données projet'!$A$114&gt;35,BY63+BX64-CG63,IF(A64&lt;'Données projet'!$A$114,$BV$205^A64,IF(A64='Données projet'!$A$114,'Données projet'!$B$114,BY63+BX64-CG63)))</f>
        <v>200.19999999999996</v>
      </c>
      <c r="BZ64" s="13">
        <f>BY64*VLOOKUP('Données projet'!$B$12,Paramètres!$A$1:$I$89,3,0)*VLOOKUP('Données projet'!$B$12,Paramètres!$A$1:$I$89,5,0)</f>
        <v>181.14095999999995</v>
      </c>
      <c r="CA64" s="13">
        <f t="shared" si="39"/>
        <v>45.575935320610945</v>
      </c>
      <c r="CB64" s="20">
        <f t="shared" si="10"/>
        <v>394.86525935006392</v>
      </c>
      <c r="CC64" s="59">
        <f t="shared" si="11"/>
        <v>688.19859268339724</v>
      </c>
      <c r="CD64" s="59">
        <f ca="1">AVERAGE(OFFSET($CC$3,0,0,'Données projet'!$E$12+1,1))-AVERAGE(OFFSET($H$3,0,0,'Données projet'!$E$12+1,1))</f>
        <v>289.19622253646992</v>
      </c>
      <c r="CE64" s="59">
        <f t="shared" si="40"/>
        <v>191.23827338431175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>
        <f>EXP(-LN(2)/35)*CK63+(1-EXP(-LN(2)/35))/(LN(2)/35)*CG64*CH64*VLOOKUP('Données projet'!$B$12,Paramètres!$A$1:$I$89,3,0)*0.475*44/12</f>
        <v>42.074457549837625</v>
      </c>
      <c r="CL64" s="21">
        <f>EXP(-LN(2)/25)*CL63+(1-EXP(-LN(2)/25))/(LN(2)/25)*Calculateur!CG64*Calculateur!CI64*VLOOKUP('Données projet'!$B$12,Paramètres!$A$1:$I$89,3,0)*0.475*44/12</f>
        <v>0</v>
      </c>
      <c r="CM64" s="21">
        <f>EXP(-LN(2)/2)*CM63+(1-EXP(-LN(2)/2))/(LN(2)/2)*CG64*CJ64*VLOOKUP('Données projet'!$B$12,Paramètres!$A$1:$I$89,3,0)*0.475*44/12</f>
        <v>0</v>
      </c>
      <c r="CN64" s="22">
        <f t="shared" si="12"/>
        <v>42.074457549837625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35.786400000000015</v>
      </c>
      <c r="D65" s="11">
        <f t="shared" si="32"/>
        <v>10.874700382555325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360.19095032147987</v>
      </c>
      <c r="H65" s="67">
        <f t="shared" si="1"/>
        <v>337.93474983295056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0</v>
      </c>
      <c r="N65" s="13">
        <f>IF('Données projet'!$A$36&gt;35,N64+M65-V64,IF(A65&lt;'Données projet'!$A$36,$K$205^A65,IF(A65='Données projet'!$A$36,'Données projet'!$B$36,N64+M65-V64)))</f>
        <v>304.99999999999983</v>
      </c>
      <c r="O65" s="13">
        <f>N65*VLOOKUP('Données projet'!$B$9,Paramètres!$A$1:$I$89,3,0)*VLOOKUP('Données projet'!$B$9,Paramètres!$A$1:$I$89,5,0)</f>
        <v>275.96399999999983</v>
      </c>
      <c r="P65" s="13">
        <f t="shared" si="33"/>
        <v>66.113366665488854</v>
      </c>
      <c r="Q65" s="20">
        <f t="shared" si="53"/>
        <v>595.78474694239264</v>
      </c>
      <c r="R65" s="59">
        <f t="shared" si="0"/>
        <v>889.11808027572602</v>
      </c>
      <c r="S65" s="59">
        <f ca="1">AVERAGE(OFFSET($R$3,0,0,'Données projet'!$E$9+1,1))-AVERAGE(OFFSET($H$3,0,0,'Données projet'!$E$9+1,1))</f>
        <v>336.59194805061094</v>
      </c>
      <c r="T65" s="59">
        <f t="shared" si="34"/>
        <v>473.66884161123909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4.4407954774568248</v>
      </c>
      <c r="AA65" s="21">
        <f>EXP(-LN(2)/25)*AA64+(1-EXP(-LN(2)/25))/(LN(2)/25)*Calculateur!V65*Calculateur!X65*VLOOKUP('Données projet'!$B$9,Paramètres!$A$1:$I$89,3,0)*0.475*44/12</f>
        <v>0</v>
      </c>
      <c r="AB65" s="21">
        <f>EXP(-LN(2)/2)*AB64+(1-EXP(-LN(2)/2))/(LN(2)/2)*V65*Y65*VLOOKUP('Données projet'!$B$9,Paramètres!$A$1:$I$89,3,0)*0.475*44/12</f>
        <v>0</v>
      </c>
      <c r="AC65" s="22">
        <f t="shared" si="3"/>
        <v>4.4407954774568248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5.2</v>
      </c>
      <c r="AI65" s="13">
        <f>IF('Données projet'!$A$62&gt;35,AI64+AH65-AQ64,IF(A65&lt;'Données projet'!$A$62,$AF$205^A65,IF(A65='Données projet'!$A$62,'Données projet'!$B$62,AI64+AH65-AQ64)))</f>
        <v>290.39999999999986</v>
      </c>
      <c r="AJ65" s="13">
        <f>AI65*VLOOKUP('Données projet'!$B$10,Paramètres!$A$1:$I$89,3,0)*VLOOKUP('Données projet'!$B$10,Paramètres!$A$1:$I$89,5,0)</f>
        <v>190.27007999999989</v>
      </c>
      <c r="AK65" s="13">
        <f t="shared" si="35"/>
        <v>47.599658767320413</v>
      </c>
      <c r="AL65" s="20">
        <f t="shared" si="4"/>
        <v>414.28979501974953</v>
      </c>
      <c r="AM65" s="59">
        <f t="shared" si="5"/>
        <v>707.62312835308285</v>
      </c>
      <c r="AN65" s="59">
        <f ca="1">AVERAGE(OFFSET($AM$3,0,0,'Données projet'!$E$10+1,1))-AVERAGE(OFFSET($H$3,0,0,'Données projet'!$E$10+1,1))</f>
        <v>244.66788784685366</v>
      </c>
      <c r="AO65" s="59">
        <f t="shared" si="36"/>
        <v>252.04429018409274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31.969969040984534</v>
      </c>
      <c r="AV65" s="21">
        <f>EXP(-LN(2)/25)*AV64+(1-EXP(-LN(2)/25))/(LN(2)/25)*Calculateur!AQ65*Calculateur!AS65*VLOOKUP('Données projet'!$B$10,Paramètres!$A$1:$I$89,3,0)*0.475*44/12</f>
        <v>0</v>
      </c>
      <c r="AW65" s="21">
        <f>EXP(-LN(2)/2)*AW64+(1-EXP(-LN(2)/2))/(LN(2)/2)*AQ65*AT65*VLOOKUP('Données projet'!$B$10,Paramètres!$A$1:$I$89,3,0)*0.475*44/12</f>
        <v>0</v>
      </c>
      <c r="AX65" s="21">
        <f t="shared" si="6"/>
        <v>31.969969040984534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6.4</v>
      </c>
      <c r="BD65" s="12">
        <f>IF('Données projet'!$A$88&gt;35,BD64+BC65-BL64,IF(A65&lt;'Données projet'!$A$88,$BA$205^A65,IF(A65='Données projet'!$A$88,'Données projet'!$B$88,BD64+BC65-BL64)))</f>
        <v>237.79999999999981</v>
      </c>
      <c r="BE65" s="13">
        <f>BD65*VLOOKUP('Données projet'!$B$11,Paramètres!$A$1:$I$89,3,0)*VLOOKUP('Données projet'!$B$11,Paramètres!$A$1:$I$89,5,0)</f>
        <v>226.29047999999983</v>
      </c>
      <c r="BF65" s="13">
        <f t="shared" si="37"/>
        <v>55.479839127853523</v>
      </c>
      <c r="BG65" s="20">
        <f t="shared" si="7"/>
        <v>490.74997248101118</v>
      </c>
      <c r="BH65" s="59">
        <f t="shared" si="8"/>
        <v>784.0833058143445</v>
      </c>
      <c r="BI65" s="59">
        <f ca="1">AVERAGE(OFFSET($BH$3,0,0,'Données projet'!$E$11+1,1))-AVERAGE(OFFSET($H$3,0,0,'Données projet'!$E$11+1,1))</f>
        <v>373.51596132356536</v>
      </c>
      <c r="BJ65" s="59">
        <f t="shared" si="38"/>
        <v>417.00150517020114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60.589551072167694</v>
      </c>
      <c r="BQ65" s="21">
        <f>EXP(-LN(2)/25)*BQ64+(1-EXP(-LN(2)/25))/(LN(2)/25)*Calculateur!BL65*Calculateur!BN65*VLOOKUP('Données projet'!$B$11,Paramètres!$A$1:$I$89,3,0)*0.475*44/12</f>
        <v>0</v>
      </c>
      <c r="BR65" s="21">
        <f>EXP(-LN(2)/2)*BR64+(1-EXP(-LN(2)/2))/(LN(2)/2)*BL65*BO65*VLOOKUP('Données projet'!$B$11,Paramètres!$A$1:$I$89,3,0)*0.475*44/12</f>
        <v>0</v>
      </c>
      <c r="BS65" s="22">
        <f t="shared" si="9"/>
        <v>60.589551072167694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7.2</v>
      </c>
      <c r="BY65" s="12">
        <f>IF('Données projet'!$A$114&gt;35,BY64+BX65-CG64,IF(A65&lt;'Données projet'!$A$114,$BV$205^A65,IF(A65='Données projet'!$A$114,'Données projet'!$B$114,BY64+BX65-CG64)))</f>
        <v>207.39999999999995</v>
      </c>
      <c r="BZ65" s="13">
        <f>BY65*VLOOKUP('Données projet'!$B$12,Paramètres!$A$1:$I$89,3,0)*VLOOKUP('Données projet'!$B$12,Paramètres!$A$1:$I$89,5,0)</f>
        <v>187.65551999999994</v>
      </c>
      <c r="CA65" s="13">
        <f t="shared" si="39"/>
        <v>47.021247649900147</v>
      </c>
      <c r="CB65" s="20">
        <f t="shared" si="10"/>
        <v>408.72870365690932</v>
      </c>
      <c r="CC65" s="59">
        <f t="shared" si="11"/>
        <v>702.06203699024263</v>
      </c>
      <c r="CD65" s="59">
        <f ca="1">AVERAGE(OFFSET($CC$3,0,0,'Données projet'!$E$12+1,1))-AVERAGE(OFFSET($H$3,0,0,'Données projet'!$E$12+1,1))</f>
        <v>289.19622253646992</v>
      </c>
      <c r="CE65" s="59">
        <f t="shared" si="40"/>
        <v>191.23827338431175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>
        <f>EXP(-LN(2)/35)*CK64+(1-EXP(-LN(2)/35))/(LN(2)/35)*CG65*CH65*VLOOKUP('Données projet'!$B$12,Paramètres!$A$1:$I$89,3,0)*0.475*44/12</f>
        <v>41.249403100170419</v>
      </c>
      <c r="CL65" s="21">
        <f>EXP(-LN(2)/25)*CL64+(1-EXP(-LN(2)/25))/(LN(2)/25)*Calculateur!CG65*Calculateur!CI65*VLOOKUP('Données projet'!$B$12,Paramètres!$A$1:$I$89,3,0)*0.475*44/12</f>
        <v>0</v>
      </c>
      <c r="CM65" s="21">
        <f>EXP(-LN(2)/2)*CM64+(1-EXP(-LN(2)/2))/(LN(2)/2)*CG65*CJ65*VLOOKUP('Données projet'!$B$12,Paramètres!$A$1:$I$89,3,0)*0.475*44/12</f>
        <v>0</v>
      </c>
      <c r="CN65" s="22">
        <f t="shared" si="12"/>
        <v>41.249403100170419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36.363600000000012</v>
      </c>
      <c r="D66" s="11">
        <f t="shared" si="32"/>
        <v>11.02953778555761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365.84176536219917</v>
      </c>
      <c r="H66" s="67">
        <f t="shared" si="1"/>
        <v>339.20971497651288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0</v>
      </c>
      <c r="N66" s="13">
        <f>IF('Données projet'!$A$36&gt;35,N65+M66-V65,IF(A66&lt;'Données projet'!$A$36,$K$205^A66,IF(A66='Données projet'!$A$36,'Données projet'!$B$36,N65+M66-V65)))</f>
        <v>304.99999999999983</v>
      </c>
      <c r="O66" s="13">
        <f>N66*VLOOKUP('Données projet'!$B$9,Paramètres!$A$1:$I$89,3,0)*VLOOKUP('Données projet'!$B$9,Paramètres!$A$1:$I$89,5,0)</f>
        <v>275.96399999999983</v>
      </c>
      <c r="P66" s="13">
        <f t="shared" si="33"/>
        <v>66.113366665488854</v>
      </c>
      <c r="Q66" s="20">
        <f t="shared" si="53"/>
        <v>595.78474694239264</v>
      </c>
      <c r="R66" s="59">
        <f t="shared" si="0"/>
        <v>889.11808027572602</v>
      </c>
      <c r="S66" s="59">
        <f ca="1">AVERAGE(OFFSET($R$3,0,0,'Données projet'!$E$9+1,1))-AVERAGE(OFFSET($H$3,0,0,'Données projet'!$E$9+1,1))</f>
        <v>336.59194805061094</v>
      </c>
      <c r="T66" s="59">
        <f t="shared" si="34"/>
        <v>473.66884161123909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4.3537141867616835</v>
      </c>
      <c r="AA66" s="21">
        <f>EXP(-LN(2)/25)*AA65+(1-EXP(-LN(2)/25))/(LN(2)/25)*Calculateur!V66*Calculateur!X66*VLOOKUP('Données projet'!$B$9,Paramètres!$A$1:$I$89,3,0)*0.475*44/12</f>
        <v>0</v>
      </c>
      <c r="AB66" s="21">
        <f>EXP(-LN(2)/2)*AB65+(1-EXP(-LN(2)/2))/(LN(2)/2)*V66*Y66*VLOOKUP('Données projet'!$B$9,Paramètres!$A$1:$I$89,3,0)*0.475*44/12</f>
        <v>0</v>
      </c>
      <c r="AC66" s="22">
        <f t="shared" si="3"/>
        <v>4.3537141867616835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5.2</v>
      </c>
      <c r="AI66" s="13">
        <f>IF('Données projet'!$A$62&gt;35,AI65+AH66-AQ65,IF(A66&lt;'Données projet'!$A$62,$AF$205^A66,IF(A66='Données projet'!$A$62,'Données projet'!$B$62,AI65+AH66-AQ65)))</f>
        <v>295.59999999999985</v>
      </c>
      <c r="AJ66" s="13">
        <f>AI66*VLOOKUP('Données projet'!$B$10,Paramètres!$A$1:$I$89,3,0)*VLOOKUP('Données projet'!$B$10,Paramètres!$A$1:$I$89,5,0)</f>
        <v>193.67711999999989</v>
      </c>
      <c r="AK66" s="13">
        <f t="shared" si="35"/>
        <v>48.352002718263378</v>
      </c>
      <c r="AL66" s="20">
        <f t="shared" si="4"/>
        <v>421.53405540097515</v>
      </c>
      <c r="AM66" s="59">
        <f t="shared" si="5"/>
        <v>714.86738873430841</v>
      </c>
      <c r="AN66" s="59">
        <f ca="1">AVERAGE(OFFSET($AM$3,0,0,'Données projet'!$E$10+1,1))-AVERAGE(OFFSET($H$3,0,0,'Données projet'!$E$10+1,1))</f>
        <v>244.66788784685366</v>
      </c>
      <c r="AO66" s="59">
        <f t="shared" si="36"/>
        <v>252.04429018409274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31.343057447846501</v>
      </c>
      <c r="AV66" s="21">
        <f>EXP(-LN(2)/25)*AV65+(1-EXP(-LN(2)/25))/(LN(2)/25)*Calculateur!AQ66*Calculateur!AS66*VLOOKUP('Données projet'!$B$10,Paramètres!$A$1:$I$89,3,0)*0.475*44/12</f>
        <v>0</v>
      </c>
      <c r="AW66" s="21">
        <f>EXP(-LN(2)/2)*AW65+(1-EXP(-LN(2)/2))/(LN(2)/2)*AQ66*AT66*VLOOKUP('Données projet'!$B$10,Paramètres!$A$1:$I$89,3,0)*0.475*44/12</f>
        <v>0</v>
      </c>
      <c r="AX66" s="21">
        <f t="shared" si="6"/>
        <v>31.343057447846501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6.4</v>
      </c>
      <c r="BD66" s="12">
        <f>IF('Données projet'!$A$88&gt;35,BD65+BC66-BL65,IF(A66&lt;'Données projet'!$A$88,$BA$205^A66,IF(A66='Données projet'!$A$88,'Données projet'!$B$88,BD65+BC66-BL65)))</f>
        <v>244.19999999999982</v>
      </c>
      <c r="BE66" s="13">
        <f>BD66*VLOOKUP('Données projet'!$B$11,Paramètres!$A$1:$I$89,3,0)*VLOOKUP('Données projet'!$B$11,Paramètres!$A$1:$I$89,5,0)</f>
        <v>232.38071999999983</v>
      </c>
      <c r="BF66" s="13">
        <f t="shared" si="37"/>
        <v>56.79713993535357</v>
      </c>
      <c r="BG66" s="20">
        <f t="shared" si="7"/>
        <v>503.65143938740715</v>
      </c>
      <c r="BH66" s="59">
        <f t="shared" si="8"/>
        <v>796.98477272074047</v>
      </c>
      <c r="BI66" s="59">
        <f ca="1">AVERAGE(OFFSET($BH$3,0,0,'Données projet'!$E$11+1,1))-AVERAGE(OFFSET($H$3,0,0,'Données projet'!$E$11+1,1))</f>
        <v>373.51596132356536</v>
      </c>
      <c r="BJ66" s="59">
        <f t="shared" si="38"/>
        <v>417.00150517020114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59.40142693161954</v>
      </c>
      <c r="BQ66" s="21">
        <f>EXP(-LN(2)/25)*BQ65+(1-EXP(-LN(2)/25))/(LN(2)/25)*Calculateur!BL66*Calculateur!BN66*VLOOKUP('Données projet'!$B$11,Paramètres!$A$1:$I$89,3,0)*0.475*44/12</f>
        <v>0</v>
      </c>
      <c r="BR66" s="21">
        <f>EXP(-LN(2)/2)*BR65+(1-EXP(-LN(2)/2))/(LN(2)/2)*BL66*BO66*VLOOKUP('Données projet'!$B$11,Paramètres!$A$1:$I$89,3,0)*0.475*44/12</f>
        <v>0</v>
      </c>
      <c r="BS66" s="22">
        <f t="shared" si="9"/>
        <v>59.40142693161954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7.2</v>
      </c>
      <c r="BY66" s="12">
        <f>IF('Données projet'!$A$114&gt;35,BY65+BX66-CG65,IF(A66&lt;'Données projet'!$A$114,$BV$205^A66,IF(A66='Données projet'!$A$114,'Données projet'!$B$114,BY65+BX66-CG65)))</f>
        <v>214.59999999999994</v>
      </c>
      <c r="BZ66" s="13">
        <f>BY66*VLOOKUP('Données projet'!$B$12,Paramètres!$A$1:$I$89,3,0)*VLOOKUP('Données projet'!$B$12,Paramètres!$A$1:$I$89,5,0)</f>
        <v>194.17007999999996</v>
      </c>
      <c r="CA66" s="13">
        <f t="shared" si="39"/>
        <v>48.460730182351035</v>
      </c>
      <c r="CB66" s="20">
        <f t="shared" si="10"/>
        <v>422.5819944009279</v>
      </c>
      <c r="CC66" s="59">
        <f t="shared" si="11"/>
        <v>715.91532773426115</v>
      </c>
      <c r="CD66" s="59">
        <f ca="1">AVERAGE(OFFSET($CC$3,0,0,'Données projet'!$E$12+1,1))-AVERAGE(OFFSET($H$3,0,0,'Données projet'!$E$12+1,1))</f>
        <v>289.19622253646992</v>
      </c>
      <c r="CE66" s="59">
        <f t="shared" si="40"/>
        <v>191.23827338431175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>
        <f>EXP(-LN(2)/35)*CK65+(1-EXP(-LN(2)/35))/(LN(2)/35)*CG66*CH66*VLOOKUP('Données projet'!$B$12,Paramètres!$A$1:$I$89,3,0)*0.475*44/12</f>
        <v>40.440527465027657</v>
      </c>
      <c r="CL66" s="21">
        <f>EXP(-LN(2)/25)*CL65+(1-EXP(-LN(2)/25))/(LN(2)/25)*Calculateur!CG66*Calculateur!CI66*VLOOKUP('Données projet'!$B$12,Paramètres!$A$1:$I$89,3,0)*0.475*44/12</f>
        <v>0</v>
      </c>
      <c r="CM66" s="21">
        <f>EXP(-LN(2)/2)*CM65+(1-EXP(-LN(2)/2))/(LN(2)/2)*CG66*CJ66*VLOOKUP('Données projet'!$B$12,Paramètres!$A$1:$I$89,3,0)*0.475*44/12</f>
        <v>0</v>
      </c>
      <c r="CN66" s="22">
        <f t="shared" si="12"/>
        <v>40.440527465027657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36.94080000000001</v>
      </c>
      <c r="D67" s="11">
        <f t="shared" si="32"/>
        <v>11.184089359455896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371.49037400281753</v>
      </c>
      <c r="H67" s="67">
        <f t="shared" si="1"/>
        <v>340.48418230105239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0</v>
      </c>
      <c r="N67" s="13">
        <f>IF('Données projet'!$A$36&gt;35,N66+M67-V66,IF(A67&lt;'Données projet'!$A$36,$K$205^A67,IF(A67='Données projet'!$A$36,'Données projet'!$B$36,N66+M67-V66)))</f>
        <v>304.99999999999983</v>
      </c>
      <c r="O67" s="13">
        <f>N67*VLOOKUP('Données projet'!$B$9,Paramètres!$A$1:$I$89,3,0)*VLOOKUP('Données projet'!$B$9,Paramètres!$A$1:$I$89,5,0)</f>
        <v>275.96399999999983</v>
      </c>
      <c r="P67" s="13">
        <f t="shared" si="33"/>
        <v>66.113366665488854</v>
      </c>
      <c r="Q67" s="20">
        <f t="shared" ref="Q67:Q98" si="54">(O67+P67)*0.475*44/12</f>
        <v>595.78474694239264</v>
      </c>
      <c r="R67" s="59">
        <f t="shared" ref="R67:R130" si="55">Q67+(I67+J67)*44/12</f>
        <v>889.11808027572602</v>
      </c>
      <c r="S67" s="59">
        <f ca="1">AVERAGE(OFFSET($R$3,0,0,'Données projet'!$E$9+1,1))-AVERAGE(OFFSET($H$3,0,0,'Données projet'!$E$9+1,1))</f>
        <v>336.59194805061094</v>
      </c>
      <c r="T67" s="59">
        <f t="shared" si="34"/>
        <v>473.66884161123909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4.2683405070627316</v>
      </c>
      <c r="AA67" s="21">
        <f>EXP(-LN(2)/25)*AA66+(1-EXP(-LN(2)/25))/(LN(2)/25)*Calculateur!V67*Calculateur!X67*VLOOKUP('Données projet'!$B$9,Paramètres!$A$1:$I$89,3,0)*0.475*44/12</f>
        <v>0</v>
      </c>
      <c r="AB67" s="21">
        <f>EXP(-LN(2)/2)*AB66+(1-EXP(-LN(2)/2))/(LN(2)/2)*V67*Y67*VLOOKUP('Données projet'!$B$9,Paramètres!$A$1:$I$89,3,0)*0.475*44/12</f>
        <v>0</v>
      </c>
      <c r="AC67" s="22">
        <f t="shared" si="3"/>
        <v>4.2683405070627316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5.2</v>
      </c>
      <c r="AI67" s="13">
        <f>IF('Données projet'!$A$62&gt;35,AI66+AH67-AQ66,IF(A67&lt;'Données projet'!$A$62,$AF$205^A67,IF(A67='Données projet'!$A$62,'Données projet'!$B$62,AI66+AH67-AQ66)))</f>
        <v>300.79999999999984</v>
      </c>
      <c r="AJ67" s="13">
        <f>AI67*VLOOKUP('Données projet'!$B$10,Paramètres!$A$1:$I$89,3,0)*VLOOKUP('Données projet'!$B$10,Paramètres!$A$1:$I$89,5,0)</f>
        <v>197.08415999999988</v>
      </c>
      <c r="AK67" s="13">
        <f t="shared" si="35"/>
        <v>49.102807637925835</v>
      </c>
      <c r="AL67" s="20">
        <f t="shared" si="4"/>
        <v>428.77563530272056</v>
      </c>
      <c r="AM67" s="59">
        <f t="shared" si="5"/>
        <v>722.10896863605387</v>
      </c>
      <c r="AN67" s="59">
        <f ca="1">AVERAGE(OFFSET($AM$3,0,0,'Données projet'!$E$10+1,1))-AVERAGE(OFFSET($H$3,0,0,'Données projet'!$E$10+1,1))</f>
        <v>244.66788784685366</v>
      </c>
      <c r="AO67" s="59">
        <f t="shared" si="36"/>
        <v>252.04429018409274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30.728439208671592</v>
      </c>
      <c r="AV67" s="21">
        <f>EXP(-LN(2)/25)*AV66+(1-EXP(-LN(2)/25))/(LN(2)/25)*Calculateur!AQ67*Calculateur!AS67*VLOOKUP('Données projet'!$B$10,Paramètres!$A$1:$I$89,3,0)*0.475*44/12</f>
        <v>0</v>
      </c>
      <c r="AW67" s="21">
        <f>EXP(-LN(2)/2)*AW66+(1-EXP(-LN(2)/2))/(LN(2)/2)*AQ67*AT67*VLOOKUP('Données projet'!$B$10,Paramètres!$A$1:$I$89,3,0)*0.475*44/12</f>
        <v>0</v>
      </c>
      <c r="AX67" s="21">
        <f t="shared" si="6"/>
        <v>30.728439208671592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6.4</v>
      </c>
      <c r="BD67" s="12">
        <f>IF('Données projet'!$A$88&gt;35,BD66+BC67-BL66,IF(A67&lt;'Données projet'!$A$88,$BA$205^A67,IF(A67='Données projet'!$A$88,'Données projet'!$B$88,BD66+BC67-BL66)))</f>
        <v>250.59999999999982</v>
      </c>
      <c r="BE67" s="13">
        <f>BD67*VLOOKUP('Données projet'!$B$11,Paramètres!$A$1:$I$89,3,0)*VLOOKUP('Données projet'!$B$11,Paramètres!$A$1:$I$89,5,0)</f>
        <v>238.47095999999985</v>
      </c>
      <c r="BF67" s="13">
        <f t="shared" si="37"/>
        <v>58.110427804108816</v>
      </c>
      <c r="BG67" s="20">
        <f t="shared" si="7"/>
        <v>516.54591709215583</v>
      </c>
      <c r="BH67" s="59">
        <f t="shared" si="8"/>
        <v>809.87925042548909</v>
      </c>
      <c r="BI67" s="59">
        <f ca="1">AVERAGE(OFFSET($BH$3,0,0,'Données projet'!$E$11+1,1))-AVERAGE(OFFSET($H$3,0,0,'Données projet'!$E$11+1,1))</f>
        <v>373.51596132356536</v>
      </c>
      <c r="BJ67" s="59">
        <f t="shared" si="38"/>
        <v>417.00150517020114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58.236601180783367</v>
      </c>
      <c r="BQ67" s="21">
        <f>EXP(-LN(2)/25)*BQ66+(1-EXP(-LN(2)/25))/(LN(2)/25)*Calculateur!BL67*Calculateur!BN67*VLOOKUP('Données projet'!$B$11,Paramètres!$A$1:$I$89,3,0)*0.475*44/12</f>
        <v>0</v>
      </c>
      <c r="BR67" s="21">
        <f>EXP(-LN(2)/2)*BR66+(1-EXP(-LN(2)/2))/(LN(2)/2)*BL67*BO67*VLOOKUP('Données projet'!$B$11,Paramètres!$A$1:$I$89,3,0)*0.475*44/12</f>
        <v>0</v>
      </c>
      <c r="BS67" s="22">
        <f t="shared" si="9"/>
        <v>58.236601180783367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7.2</v>
      </c>
      <c r="BY67" s="12">
        <f>IF('Données projet'!$A$114&gt;35,BY66+BX67-CG66,IF(A67&lt;'Données projet'!$A$114,$BV$205^A67,IF(A67='Données projet'!$A$114,'Données projet'!$B$114,BY66+BX67-CG66)))</f>
        <v>221.79999999999993</v>
      </c>
      <c r="BZ67" s="13">
        <f>BY67*VLOOKUP('Données projet'!$B$12,Paramètres!$A$1:$I$89,3,0)*VLOOKUP('Données projet'!$B$12,Paramètres!$A$1:$I$89,5,0)</f>
        <v>200.68463999999992</v>
      </c>
      <c r="CA67" s="13">
        <f t="shared" si="39"/>
        <v>49.894600936700193</v>
      </c>
      <c r="CB67" s="20">
        <f t="shared" si="10"/>
        <v>436.42551129808606</v>
      </c>
      <c r="CC67" s="59">
        <f t="shared" si="11"/>
        <v>729.75884463141938</v>
      </c>
      <c r="CD67" s="59">
        <f ca="1">AVERAGE(OFFSET($CC$3,0,0,'Données projet'!$E$12+1,1))-AVERAGE(OFFSET($H$3,0,0,'Données projet'!$E$12+1,1))</f>
        <v>289.19622253646992</v>
      </c>
      <c r="CE67" s="59">
        <f t="shared" si="40"/>
        <v>191.23827338431175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>
        <f>EXP(-LN(2)/35)*CK66+(1-EXP(-LN(2)/35))/(LN(2)/35)*CG67*CH67*VLOOKUP('Données projet'!$B$12,Paramètres!$A$1:$I$89,3,0)*0.475*44/12</f>
        <v>39.647513387724622</v>
      </c>
      <c r="CL67" s="21">
        <f>EXP(-LN(2)/25)*CL66+(1-EXP(-LN(2)/25))/(LN(2)/25)*Calculateur!CG67*Calculateur!CI67*VLOOKUP('Données projet'!$B$12,Paramètres!$A$1:$I$89,3,0)*0.475*44/12</f>
        <v>0</v>
      </c>
      <c r="CM67" s="21">
        <f>EXP(-LN(2)/2)*CM66+(1-EXP(-LN(2)/2))/(LN(2)/2)*CG67*CJ67*VLOOKUP('Données projet'!$B$12,Paramètres!$A$1:$I$89,3,0)*0.475*44/12</f>
        <v>0</v>
      </c>
      <c r="CN67" s="22">
        <f t="shared" si="12"/>
        <v>39.647513387724622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3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37.518000000000008</v>
      </c>
      <c r="D68" s="11">
        <f t="shared" si="32"/>
        <v>11.338360086058575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377.13681469939962</v>
      </c>
      <c r="H68" s="67">
        <f t="shared" ref="H68:H131" si="56">(B68+E68+F68)*44/12+(C68+D68)*0.475*44/12</f>
        <v>341.75816048321872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0</v>
      </c>
      <c r="N68" s="13">
        <f>IF('Données projet'!$A$36&gt;35,N67+M68-V67,IF(A68&lt;'Données projet'!$A$36,$K$205^A68,IF(A68='Données projet'!$A$36,'Données projet'!$B$36,N67+M68-V67)))</f>
        <v>304.99999999999983</v>
      </c>
      <c r="O68" s="13">
        <f>N68*VLOOKUP('Données projet'!$B$9,Paramètres!$A$1:$I$89,3,0)*VLOOKUP('Données projet'!$B$9,Paramètres!$A$1:$I$89,5,0)</f>
        <v>275.96399999999983</v>
      </c>
      <c r="P68" s="13">
        <f t="shared" si="33"/>
        <v>66.113366665488854</v>
      </c>
      <c r="Q68" s="20">
        <f t="shared" si="54"/>
        <v>595.78474694239264</v>
      </c>
      <c r="R68" s="59">
        <f t="shared" si="55"/>
        <v>889.11808027572602</v>
      </c>
      <c r="S68" s="59">
        <f ca="1">AVERAGE(OFFSET($R$3,0,0,'Données projet'!$E$9+1,1))-AVERAGE(OFFSET($H$3,0,0,'Données projet'!$E$9+1,1))</f>
        <v>336.59194805061094</v>
      </c>
      <c r="T68" s="59">
        <f t="shared" si="34"/>
        <v>473.66884161123909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4.1846409531498736</v>
      </c>
      <c r="AA68" s="21">
        <f>EXP(-LN(2)/25)*AA67+(1-EXP(-LN(2)/25))/(LN(2)/25)*Calculateur!V68*Calculateur!X68*VLOOKUP('Données projet'!$B$9,Paramètres!$A$1:$I$89,3,0)*0.475*44/12</f>
        <v>0</v>
      </c>
      <c r="AB68" s="21">
        <f>EXP(-LN(2)/2)*AB67+(1-EXP(-LN(2)/2))/(LN(2)/2)*V68*Y68*VLOOKUP('Données projet'!$B$9,Paramètres!$A$1:$I$89,3,0)*0.475*44/12</f>
        <v>0</v>
      </c>
      <c r="AC68" s="22">
        <f t="shared" ref="AC68:AC131" si="57">SUM(Z68:AB68)</f>
        <v>4.1846409531498736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>
        <f>VLOOKUP(A68,'Données projet'!$A$61:$I$81,2,0)</f>
        <v>306</v>
      </c>
      <c r="AG68" s="12">
        <f>VLOOKUP(A68,'Données projet'!$A$61:$I$81,9,0)</f>
        <v>5.2</v>
      </c>
      <c r="AH68" s="12">
        <f t="array" ref="AH68">INDEX(AG:AG,MIN(IF(ISNUMBER(AG68:AG264),ROW(AG68:AG264),"")))</f>
        <v>5.2</v>
      </c>
      <c r="AI68" s="13">
        <f>IF('Données projet'!$A$62&gt;35,AI67+AH68-AQ67,IF(A68&lt;'Données projet'!$A$62,$AF$205^A68,IF(A68='Données projet'!$A$62,'Données projet'!$B$62,AI67+AH68-AQ67)))</f>
        <v>305.99999999999983</v>
      </c>
      <c r="AJ68" s="13">
        <f>AI68*VLOOKUP('Données projet'!$B$10,Paramètres!$A$1:$I$89,3,0)*VLOOKUP('Données projet'!$B$10,Paramètres!$A$1:$I$89,5,0)</f>
        <v>200.49119999999988</v>
      </c>
      <c r="AK68" s="13">
        <f t="shared" si="35"/>
        <v>49.85210320190825</v>
      </c>
      <c r="AL68" s="20">
        <f t="shared" ref="AL68:AL131" si="58">(AJ68+AK68)*0.475*44/12</f>
        <v>436.01458640998993</v>
      </c>
      <c r="AM68" s="59">
        <f t="shared" ref="AM68:AM131" si="59">AL68+(AD68+AE68)*44/12</f>
        <v>729.34791974332325</v>
      </c>
      <c r="AN68" s="59">
        <f ca="1">AVERAGE(OFFSET($AM$3,0,0,'Données projet'!$E$10+1,1))-AVERAGE(OFFSET($H$3,0,0,'Données projet'!$E$10+1,1))</f>
        <v>244.66788784685366</v>
      </c>
      <c r="AO68" s="59">
        <f t="shared" si="36"/>
        <v>252.04429018409274</v>
      </c>
      <c r="AP68" s="15">
        <f>IF(ISNA(VLOOKUP(A68,'Données projet'!$A$61:$I$81,3,0)),0,VLOOKUP(A68,'Données projet'!$A$61:$I$81,3,0))</f>
        <v>11</v>
      </c>
      <c r="AQ68" s="15">
        <f>IF(ISNA(VLOOKUP(A68,'Données projet'!$A$61:$I$81,4,0)),0,VLOOKUP(A68,'Données projet'!$A$61:$I$81,4,0))</f>
        <v>13</v>
      </c>
      <c r="AR68" s="16">
        <f>IF(ISNA(VLOOKUP(A68,'Données projet'!$A$61:$I$81,5,0)),0%,VLOOKUP(A68,'Données projet'!$A$61:$I$81,5,0)*VLOOKUP('Données projet'!$B$10,Paramètres!$A$1:$I$89,7,0))</f>
        <v>0.43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34.174733695312028</v>
      </c>
      <c r="AV68" s="21">
        <f>EXP(-LN(2)/25)*AV67+(1-EXP(-LN(2)/25))/(LN(2)/25)*Calculateur!AQ68*Calculateur!AS68*VLOOKUP('Données projet'!$B$10,Paramètres!$A$1:$I$89,3,0)*0.475*44/12</f>
        <v>0</v>
      </c>
      <c r="AW68" s="21">
        <f>EXP(-LN(2)/2)*AW67+(1-EXP(-LN(2)/2))/(LN(2)/2)*AQ68*AT68*VLOOKUP('Données projet'!$B$10,Paramètres!$A$1:$I$89,3,0)*0.475*44/12</f>
        <v>0</v>
      </c>
      <c r="AX68" s="21">
        <f t="shared" ref="AX68:AX131" si="60">SUM(AU68:AW68)</f>
        <v>34.174733695312028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>
        <f>VLOOKUP(A68,'Données projet'!$A$87:$I$107,2,0)</f>
        <v>257</v>
      </c>
      <c r="BB68" s="12">
        <f>VLOOKUP(A68,'Données projet'!$A$87:$I$107,9,0)</f>
        <v>6.4</v>
      </c>
      <c r="BC68" s="12">
        <f t="array" ref="BC68">INDEX(BB:BB,MIN(IF(ISNUMBER(BB68:BB264),ROW(BB68:BB264),"")))</f>
        <v>6.4</v>
      </c>
      <c r="BD68" s="12">
        <f>IF('Données projet'!$A$88&gt;35,BD67+BC68-BL67,IF(A68&lt;'Données projet'!$A$88,$BA$205^A68,IF(A68='Données projet'!$A$88,'Données projet'!$B$88,BD67+BC68-BL67)))</f>
        <v>256.99999999999983</v>
      </c>
      <c r="BE68" s="13">
        <f>BD68*VLOOKUP('Données projet'!$B$11,Paramètres!$A$1:$I$89,3,0)*VLOOKUP('Données projet'!$B$11,Paramètres!$A$1:$I$89,5,0)</f>
        <v>244.56119999999984</v>
      </c>
      <c r="BF68" s="13">
        <f t="shared" si="37"/>
        <v>59.419817003915256</v>
      </c>
      <c r="BG68" s="20">
        <f t="shared" ref="BG68:BG131" si="61">(BE68+BF68)*0.475*44/12</f>
        <v>529.43360461515215</v>
      </c>
      <c r="BH68" s="59">
        <f t="shared" ref="BH68:BH131" si="62">BG68+(AY68+AZ68)*44/12</f>
        <v>822.76693794848552</v>
      </c>
      <c r="BI68" s="59">
        <f ca="1">AVERAGE(OFFSET($BH$3,0,0,'Données projet'!$E$11+1,1))-AVERAGE(OFFSET($H$3,0,0,'Données projet'!$E$11+1,1))</f>
        <v>373.51596132356536</v>
      </c>
      <c r="BJ68" s="59">
        <f t="shared" si="38"/>
        <v>417.00150517020114</v>
      </c>
      <c r="BK68" s="15">
        <f>IF(ISNA(VLOOKUP(A68,'Données projet'!$A$87:$I$107,3,0)),0,VLOOKUP(A68,'Données projet'!$A$87:$I$107,3,0))</f>
        <v>12</v>
      </c>
      <c r="BL68" s="15">
        <f>IF(ISNA(VLOOKUP(A68,'Données projet'!$A$87:$I$107,4,0)),0,VLOOKUP(A68,'Données projet'!$A$87:$I$107,4,0))</f>
        <v>28</v>
      </c>
      <c r="BM68" s="16">
        <f>IF(ISNA(VLOOKUP(A68,'Données projet'!$A$87:$I$107,5,0)),0%,VLOOKUP(A68,'Données projet'!$A$87:$I$107,5,0)*VLOOKUP('Données projet'!$B$11,Paramètres!$A$1:$I$89,7,0))</f>
        <v>0.43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69.76028293493674</v>
      </c>
      <c r="BQ68" s="21">
        <f>EXP(-LN(2)/25)*BQ67+(1-EXP(-LN(2)/25))/(LN(2)/25)*Calculateur!BL68*Calculateur!BN68*VLOOKUP('Données projet'!$B$11,Paramètres!$A$1:$I$89,3,0)*0.475*44/12</f>
        <v>0</v>
      </c>
      <c r="BR68" s="21">
        <f>EXP(-LN(2)/2)*BR67+(1-EXP(-LN(2)/2))/(LN(2)/2)*BL68*BO68*VLOOKUP('Données projet'!$B$11,Paramètres!$A$1:$I$89,3,0)*0.475*44/12</f>
        <v>0</v>
      </c>
      <c r="BS68" s="22">
        <f t="shared" ref="BS68:BS131" si="63">SUM(BP68:BR68)</f>
        <v>69.76028293493674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>
        <f>VLOOKUP(A68,'Données projet'!$A$113:$I$133,2,0)</f>
        <v>229</v>
      </c>
      <c r="BW68" s="12">
        <f>VLOOKUP(A68,'Données projet'!$A$113:$I$133,9,0)</f>
        <v>7.2</v>
      </c>
      <c r="BX68" s="12">
        <f t="array" ref="BX68">INDEX(BW:BW,MIN(IF(ISNUMBER(BW68:BW264),ROW(BW68:BW264),"")))</f>
        <v>7.2</v>
      </c>
      <c r="BY68" s="12">
        <f>IF('Données projet'!$A$114&gt;35,BY67+BX68-CG67,IF(A68&lt;'Données projet'!$A$114,$BV$205^A68,IF(A68='Données projet'!$A$114,'Données projet'!$B$114,BY67+BX68-CG67)))</f>
        <v>228.99999999999991</v>
      </c>
      <c r="BZ68" s="13">
        <f>BY68*VLOOKUP('Données projet'!$B$12,Paramètres!$A$1:$I$89,3,0)*VLOOKUP('Données projet'!$B$12,Paramètres!$A$1:$I$89,5,0)</f>
        <v>207.19919999999991</v>
      </c>
      <c r="CA68" s="13">
        <f t="shared" si="39"/>
        <v>51.3230629736655</v>
      </c>
      <c r="CB68" s="20">
        <f t="shared" ref="CB68:CB131" si="64">(BZ68+CA68)*0.475*44/12</f>
        <v>450.25960801246725</v>
      </c>
      <c r="CC68" s="59">
        <f t="shared" ref="CC68:CC131" si="65">CB68+(BT68+BU68)*44/12</f>
        <v>743.59294134580057</v>
      </c>
      <c r="CD68" s="59">
        <f ca="1">AVERAGE(OFFSET($CC$3,0,0,'Données projet'!$E$12+1,1))-AVERAGE(OFFSET($H$3,0,0,'Données projet'!$E$12+1,1))</f>
        <v>289.19622253646992</v>
      </c>
      <c r="CE68" s="59">
        <f t="shared" si="40"/>
        <v>191.23827338431175</v>
      </c>
      <c r="CF68" s="15">
        <f>IF(ISNA(VLOOKUP(A68,'Données projet'!$A$113:$I$133,3,0)),0,VLOOKUP(A68,'Données projet'!$A$113:$I$133,3,0))</f>
        <v>9</v>
      </c>
      <c r="CG68" s="15">
        <f>IF(ISNA(VLOOKUP(A68,'Données projet'!$A$113:$I$133,4,0)),0,VLOOKUP(A68,'Données projet'!$A$113:$I$133,4,0))</f>
        <v>21</v>
      </c>
      <c r="CH68" s="16">
        <f>IF(ISNA(VLOOKUP(A68,'Données projet'!$A$113:$I$133,5,0)),0%,VLOOKUP(A68,'Données projet'!$A$113:$I$133,5,0)*VLOOKUP('Données projet'!$B$12,Paramètres!$A$1:$I$89,7,0))</f>
        <v>0.43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>
        <f>EXP(-LN(2)/35)*CK67+(1-EXP(-LN(2)/35))/(LN(2)/35)*CG68*CH68*VLOOKUP('Données projet'!$B$12,Paramètres!$A$1:$I$89,3,0)*0.475*44/12</f>
        <v>47.902123115381436</v>
      </c>
      <c r="CL68" s="21">
        <f>EXP(-LN(2)/25)*CL67+(1-EXP(-LN(2)/25))/(LN(2)/25)*Calculateur!CG68*Calculateur!CI68*VLOOKUP('Données projet'!$B$12,Paramètres!$A$1:$I$89,3,0)*0.475*44/12</f>
        <v>0</v>
      </c>
      <c r="CM68" s="21">
        <f>EXP(-LN(2)/2)*CM67+(1-EXP(-LN(2)/2))/(LN(2)/2)*CG68*CJ68*VLOOKUP('Données projet'!$B$12,Paramètres!$A$1:$I$89,3,0)*0.475*44/12</f>
        <v>0</v>
      </c>
      <c r="CN68" s="22">
        <f t="shared" ref="CN68:CN131" si="66">SUM(CK68:CM68)</f>
        <v>47.902123115381436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3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38.095200000000006</v>
      </c>
      <c r="D69" s="11">
        <f t="shared" ref="D69:D132" si="86">IFERROR(EXP(-1.0587+0.8836*LN(C69)+0.284),0)</f>
        <v>11.492354785092406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382.78112465685371</v>
      </c>
      <c r="H69" s="67">
        <f t="shared" si="56"/>
        <v>343.03165791736927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0</v>
      </c>
      <c r="N69" s="13">
        <f>IF('Données projet'!$A$36&gt;35,N68+M69-V68,IF(A69&lt;'Données projet'!$A$36,$K$205^A69,IF(A69='Données projet'!$A$36,'Données projet'!$B$36,N68+M69-V68)))</f>
        <v>304.99999999999983</v>
      </c>
      <c r="O69" s="13">
        <f>N69*VLOOKUP('Données projet'!$B$9,Paramètres!$A$1:$I$89,3,0)*VLOOKUP('Données projet'!$B$9,Paramètres!$A$1:$I$89,5,0)</f>
        <v>275.96399999999983</v>
      </c>
      <c r="P69" s="13">
        <f t="shared" ref="P69:P132" si="87">EXP(-1.0587+0.8836*LN(O69)+0.284)</f>
        <v>66.113366665488854</v>
      </c>
      <c r="Q69" s="20">
        <f t="shared" si="54"/>
        <v>595.78474694239264</v>
      </c>
      <c r="R69" s="59">
        <f t="shared" si="55"/>
        <v>889.11808027572602</v>
      </c>
      <c r="S69" s="59">
        <f ca="1">AVERAGE(OFFSET($R$3,0,0,'Données projet'!$E$9+1,1))-AVERAGE(OFFSET($H$3,0,0,'Données projet'!$E$9+1,1))</f>
        <v>336.59194805061094</v>
      </c>
      <c r="T69" s="59">
        <f t="shared" ref="T69:T132" si="88">$T$3</f>
        <v>473.66884161123909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4.1025826964375591</v>
      </c>
      <c r="AA69" s="21">
        <f>EXP(-LN(2)/25)*AA68+(1-EXP(-LN(2)/25))/(LN(2)/25)*Calculateur!V69*Calculateur!X69*VLOOKUP('Données projet'!$B$9,Paramètres!$A$1:$I$89,3,0)*0.475*44/12</f>
        <v>0</v>
      </c>
      <c r="AB69" s="21">
        <f>EXP(-LN(2)/2)*AB68+(1-EXP(-LN(2)/2))/(LN(2)/2)*V69*Y69*VLOOKUP('Données projet'!$B$9,Paramètres!$A$1:$I$89,3,0)*0.475*44/12</f>
        <v>0</v>
      </c>
      <c r="AC69" s="22">
        <f t="shared" si="57"/>
        <v>4.1025826964375591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4.5999999999999996</v>
      </c>
      <c r="AI69" s="13">
        <f>IF('Données projet'!$A$62&gt;35,AI68+AH69-AQ68,IF(A69&lt;'Données projet'!$A$62,$AF$205^A69,IF(A69='Données projet'!$A$62,'Données projet'!$B$62,AI68+AH69-AQ68)))</f>
        <v>297.59999999999985</v>
      </c>
      <c r="AJ69" s="13">
        <f>AI69*VLOOKUP('Données projet'!$B$10,Paramètres!$A$1:$I$89,3,0)*VLOOKUP('Données projet'!$B$10,Paramètres!$A$1:$I$89,5,0)</f>
        <v>194.9875199999999</v>
      </c>
      <c r="AK69" s="13">
        <f t="shared" ref="AK69:AK132" si="89">EXP(-1.0587+0.8836*LN(AJ69)+0.284)</f>
        <v>48.640954330020342</v>
      </c>
      <c r="AL69" s="20">
        <f t="shared" si="58"/>
        <v>424.3195927914519</v>
      </c>
      <c r="AM69" s="59">
        <f t="shared" si="59"/>
        <v>717.65292612478515</v>
      </c>
      <c r="AN69" s="59">
        <f ca="1">AVERAGE(OFFSET($AM$3,0,0,'Données projet'!$E$10+1,1))-AVERAGE(OFFSET($H$3,0,0,'Données projet'!$E$10+1,1))</f>
        <v>244.66788784685366</v>
      </c>
      <c r="AO69" s="59">
        <f t="shared" ref="AO69:AO132" si="90">$AO$3</f>
        <v>252.04429018409274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33.50458801207629</v>
      </c>
      <c r="AV69" s="21">
        <f>EXP(-LN(2)/25)*AV68+(1-EXP(-LN(2)/25))/(LN(2)/25)*Calculateur!AQ69*Calculateur!AS69*VLOOKUP('Données projet'!$B$10,Paramètres!$A$1:$I$89,3,0)*0.475*44/12</f>
        <v>0</v>
      </c>
      <c r="AW69" s="21">
        <f>EXP(-LN(2)/2)*AW68+(1-EXP(-LN(2)/2))/(LN(2)/2)*AQ69*AT69*VLOOKUP('Données projet'!$B$10,Paramètres!$A$1:$I$89,3,0)*0.475*44/12</f>
        <v>0</v>
      </c>
      <c r="AX69" s="21">
        <f t="shared" si="60"/>
        <v>33.50458801207629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6</v>
      </c>
      <c r="BD69" s="12">
        <f>IF('Données projet'!$A$88&gt;35,BD68+BC69-BL68,IF(A69&lt;'Données projet'!$A$88,$BA$205^A69,IF(A69='Données projet'!$A$88,'Données projet'!$B$88,BD68+BC69-BL68)))</f>
        <v>234.99999999999983</v>
      </c>
      <c r="BE69" s="13">
        <f>BD69*VLOOKUP('Données projet'!$B$11,Paramètres!$A$1:$I$89,3,0)*VLOOKUP('Données projet'!$B$11,Paramètres!$A$1:$I$89,5,0)</f>
        <v>223.62599999999983</v>
      </c>
      <c r="BF69" s="13">
        <f t="shared" ref="BF69:BF132" si="91">EXP(-1.0587+0.8836*LN(BE69)+0.284)</f>
        <v>54.902227529974901</v>
      </c>
      <c r="BG69" s="20">
        <f t="shared" si="61"/>
        <v>485.10332961470596</v>
      </c>
      <c r="BH69" s="59">
        <f t="shared" si="62"/>
        <v>778.43666294803927</v>
      </c>
      <c r="BI69" s="59">
        <f ca="1">AVERAGE(OFFSET($BH$3,0,0,'Données projet'!$E$11+1,1))-AVERAGE(OFFSET($H$3,0,0,'Données projet'!$E$11+1,1))</f>
        <v>373.51596132356536</v>
      </c>
      <c r="BJ69" s="59">
        <f t="shared" ref="BJ69:BJ132" si="92">$BJ$3</f>
        <v>417.00150517020114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68.392326336153801</v>
      </c>
      <c r="BQ69" s="21">
        <f>EXP(-LN(2)/25)*BQ68+(1-EXP(-LN(2)/25))/(LN(2)/25)*Calculateur!BL69*Calculateur!BN69*VLOOKUP('Données projet'!$B$11,Paramètres!$A$1:$I$89,3,0)*0.475*44/12</f>
        <v>0</v>
      </c>
      <c r="BR69" s="21">
        <f>EXP(-LN(2)/2)*BR68+(1-EXP(-LN(2)/2))/(LN(2)/2)*BL69*BO69*VLOOKUP('Données projet'!$B$11,Paramètres!$A$1:$I$89,3,0)*0.475*44/12</f>
        <v>0</v>
      </c>
      <c r="BS69" s="22">
        <f t="shared" si="63"/>
        <v>68.392326336153801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6.8</v>
      </c>
      <c r="BY69" s="12">
        <f>IF('Données projet'!$A$114&gt;35,BY68+BX69-CG68,IF(A69&lt;'Données projet'!$A$114,$BV$205^A69,IF(A69='Données projet'!$A$114,'Données projet'!$B$114,BY68+BX69-CG68)))</f>
        <v>214.79999999999993</v>
      </c>
      <c r="BZ69" s="13">
        <f>BY69*VLOOKUP('Données projet'!$B$12,Paramètres!$A$1:$I$89,3,0)*VLOOKUP('Données projet'!$B$12,Paramètres!$A$1:$I$89,5,0)</f>
        <v>194.35103999999993</v>
      </c>
      <c r="CA69" s="13">
        <f t="shared" ref="CA69:CA132" si="93">EXP(-1.0587+0.8836*LN(BZ69)+0.284)</f>
        <v>48.500634729810159</v>
      </c>
      <c r="CB69" s="20">
        <f t="shared" si="64"/>
        <v>422.96666682108594</v>
      </c>
      <c r="CC69" s="59">
        <f t="shared" si="65"/>
        <v>716.30000015441919</v>
      </c>
      <c r="CD69" s="59">
        <f ca="1">AVERAGE(OFFSET($CC$3,0,0,'Données projet'!$E$12+1,1))-AVERAGE(OFFSET($H$3,0,0,'Données projet'!$E$12+1,1))</f>
        <v>289.19622253646992</v>
      </c>
      <c r="CE69" s="59">
        <f t="shared" ref="CE69:CE132" si="94">$CE$3</f>
        <v>191.23827338431175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>
        <f>EXP(-LN(2)/35)*CK68+(1-EXP(-LN(2)/35))/(LN(2)/35)*CG69*CH69*VLOOKUP('Données projet'!$B$12,Paramètres!$A$1:$I$89,3,0)*0.475*44/12</f>
        <v>46.962791698498926</v>
      </c>
      <c r="CL69" s="21">
        <f>EXP(-LN(2)/25)*CL68+(1-EXP(-LN(2)/25))/(LN(2)/25)*Calculateur!CG69*Calculateur!CI69*VLOOKUP('Données projet'!$B$12,Paramètres!$A$1:$I$89,3,0)*0.475*44/12</f>
        <v>0</v>
      </c>
      <c r="CM69" s="21">
        <f>EXP(-LN(2)/2)*CM68+(1-EXP(-LN(2)/2))/(LN(2)/2)*CG69*CJ69*VLOOKUP('Données projet'!$B$12,Paramètres!$A$1:$I$89,3,0)*0.475*44/12</f>
        <v>0</v>
      </c>
      <c r="CN69" s="22">
        <f t="shared" si="66"/>
        <v>46.962791698498926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3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38.672400000000003</v>
      </c>
      <c r="D70" s="11">
        <f t="shared" si="86"/>
        <v>11.646078121850156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388.42333988796622</v>
      </c>
      <c r="H70" s="67">
        <f t="shared" si="56"/>
        <v>344.30468272888902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0</v>
      </c>
      <c r="N70" s="13">
        <f>IF('Données projet'!$A$36&gt;35,N69+M70-V69,IF(A70&lt;'Données projet'!$A$36,$K$205^A70,IF(A70='Données projet'!$A$36,'Données projet'!$B$36,N69+M70-V69)))</f>
        <v>304.99999999999983</v>
      </c>
      <c r="O70" s="13">
        <f>N70*VLOOKUP('Données projet'!$B$9,Paramètres!$A$1:$I$89,3,0)*VLOOKUP('Données projet'!$B$9,Paramètres!$A$1:$I$89,5,0)</f>
        <v>275.96399999999983</v>
      </c>
      <c r="P70" s="13">
        <f t="shared" si="87"/>
        <v>66.113366665488854</v>
      </c>
      <c r="Q70" s="20">
        <f t="shared" si="54"/>
        <v>595.78474694239264</v>
      </c>
      <c r="R70" s="59">
        <f t="shared" si="55"/>
        <v>889.11808027572602</v>
      </c>
      <c r="S70" s="59">
        <f ca="1">AVERAGE(OFFSET($R$3,0,0,'Données projet'!$E$9+1,1))-AVERAGE(OFFSET($H$3,0,0,'Données projet'!$E$9+1,1))</f>
        <v>336.59194805061094</v>
      </c>
      <c r="T70" s="59">
        <f t="shared" si="88"/>
        <v>473.66884161123909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4.0221335520887793</v>
      </c>
      <c r="AA70" s="21">
        <f>EXP(-LN(2)/25)*AA69+(1-EXP(-LN(2)/25))/(LN(2)/25)*Calculateur!V70*Calculateur!X70*VLOOKUP('Données projet'!$B$9,Paramètres!$A$1:$I$89,3,0)*0.475*44/12</f>
        <v>0</v>
      </c>
      <c r="AB70" s="21">
        <f>EXP(-LN(2)/2)*AB69+(1-EXP(-LN(2)/2))/(LN(2)/2)*V70*Y70*VLOOKUP('Données projet'!$B$9,Paramètres!$A$1:$I$89,3,0)*0.475*44/12</f>
        <v>0</v>
      </c>
      <c r="AC70" s="22">
        <f t="shared" si="57"/>
        <v>4.0221335520887793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4.5999999999999996</v>
      </c>
      <c r="AI70" s="13">
        <f>IF('Données projet'!$A$62&gt;35,AI69+AH70-AQ69,IF(A70&lt;'Données projet'!$A$62,$AF$205^A70,IF(A70='Données projet'!$A$62,'Données projet'!$B$62,AI69+AH70-AQ69)))</f>
        <v>302.19999999999987</v>
      </c>
      <c r="AJ70" s="13">
        <f>AI70*VLOOKUP('Données projet'!$B$10,Paramètres!$A$1:$I$89,3,0)*VLOOKUP('Données projet'!$B$10,Paramètres!$A$1:$I$89,5,0)</f>
        <v>198.00143999999992</v>
      </c>
      <c r="AK70" s="13">
        <f t="shared" si="89"/>
        <v>49.304688329083952</v>
      </c>
      <c r="AL70" s="20">
        <f t="shared" si="58"/>
        <v>430.72484017315429</v>
      </c>
      <c r="AM70" s="59">
        <f t="shared" si="59"/>
        <v>724.05817350648761</v>
      </c>
      <c r="AN70" s="59">
        <f ca="1">AVERAGE(OFFSET($AM$3,0,0,'Données projet'!$E$10+1,1))-AVERAGE(OFFSET($H$3,0,0,'Données projet'!$E$10+1,1))</f>
        <v>244.66788784685366</v>
      </c>
      <c r="AO70" s="59">
        <f t="shared" si="90"/>
        <v>252.04429018409274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32.847583476940294</v>
      </c>
      <c r="AV70" s="21">
        <f>EXP(-LN(2)/25)*AV69+(1-EXP(-LN(2)/25))/(LN(2)/25)*Calculateur!AQ70*Calculateur!AS70*VLOOKUP('Données projet'!$B$10,Paramètres!$A$1:$I$89,3,0)*0.475*44/12</f>
        <v>0</v>
      </c>
      <c r="AW70" s="21">
        <f>EXP(-LN(2)/2)*AW69+(1-EXP(-LN(2)/2))/(LN(2)/2)*AQ70*AT70*VLOOKUP('Données projet'!$B$10,Paramètres!$A$1:$I$89,3,0)*0.475*44/12</f>
        <v>0</v>
      </c>
      <c r="AX70" s="21">
        <f t="shared" si="60"/>
        <v>32.847583476940294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6</v>
      </c>
      <c r="BD70" s="12">
        <f>IF('Données projet'!$A$88&gt;35,BD69+BC70-BL69,IF(A70&lt;'Données projet'!$A$88,$BA$205^A70,IF(A70='Données projet'!$A$88,'Données projet'!$B$88,BD69+BC70-BL69)))</f>
        <v>240.99999999999983</v>
      </c>
      <c r="BE70" s="13">
        <f>BD70*VLOOKUP('Données projet'!$B$11,Paramètres!$A$1:$I$89,3,0)*VLOOKUP('Données projet'!$B$11,Paramètres!$A$1:$I$89,5,0)</f>
        <v>229.33559999999986</v>
      </c>
      <c r="BF70" s="13">
        <f t="shared" si="91"/>
        <v>56.138998539243858</v>
      </c>
      <c r="BG70" s="20">
        <f t="shared" si="61"/>
        <v>497.20159245584955</v>
      </c>
      <c r="BH70" s="59">
        <f t="shared" si="62"/>
        <v>790.53492578918281</v>
      </c>
      <c r="BI70" s="59">
        <f ca="1">AVERAGE(OFFSET($BH$3,0,0,'Données projet'!$E$11+1,1))-AVERAGE(OFFSET($H$3,0,0,'Données projet'!$E$11+1,1))</f>
        <v>373.51596132356536</v>
      </c>
      <c r="BJ70" s="59">
        <f t="shared" si="92"/>
        <v>417.00150517020114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67.051194531901857</v>
      </c>
      <c r="BQ70" s="21">
        <f>EXP(-LN(2)/25)*BQ69+(1-EXP(-LN(2)/25))/(LN(2)/25)*Calculateur!BL70*Calculateur!BN70*VLOOKUP('Données projet'!$B$11,Paramètres!$A$1:$I$89,3,0)*0.475*44/12</f>
        <v>0</v>
      </c>
      <c r="BR70" s="21">
        <f>EXP(-LN(2)/2)*BR69+(1-EXP(-LN(2)/2))/(LN(2)/2)*BL70*BO70*VLOOKUP('Données projet'!$B$11,Paramètres!$A$1:$I$89,3,0)*0.475*44/12</f>
        <v>0</v>
      </c>
      <c r="BS70" s="22">
        <f t="shared" si="63"/>
        <v>67.051194531901857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6.8</v>
      </c>
      <c r="BY70" s="12">
        <f>IF('Données projet'!$A$114&gt;35,BY69+BX70-CG69,IF(A70&lt;'Données projet'!$A$114,$BV$205^A70,IF(A70='Données projet'!$A$114,'Données projet'!$B$114,BY69+BX70-CG69)))</f>
        <v>221.59999999999994</v>
      </c>
      <c r="BZ70" s="13">
        <f>BY70*VLOOKUP('Données projet'!$B$12,Paramètres!$A$1:$I$89,3,0)*VLOOKUP('Données projet'!$B$12,Paramètres!$A$1:$I$89,5,0)</f>
        <v>200.50367999999995</v>
      </c>
      <c r="CA70" s="13">
        <f t="shared" si="93"/>
        <v>49.854845135229887</v>
      </c>
      <c r="CB70" s="20">
        <f t="shared" si="64"/>
        <v>436.04109794385857</v>
      </c>
      <c r="CC70" s="59">
        <f t="shared" si="65"/>
        <v>729.37443127719189</v>
      </c>
      <c r="CD70" s="59">
        <f ca="1">AVERAGE(OFFSET($CC$3,0,0,'Données projet'!$E$12+1,1))-AVERAGE(OFFSET($H$3,0,0,'Données projet'!$E$12+1,1))</f>
        <v>289.19622253646992</v>
      </c>
      <c r="CE70" s="59">
        <f t="shared" si="94"/>
        <v>191.23827338431175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>
        <f>EXP(-LN(2)/35)*CK69+(1-EXP(-LN(2)/35))/(LN(2)/35)*CG70*CH70*VLOOKUP('Données projet'!$B$12,Paramètres!$A$1:$I$89,3,0)*0.475*44/12</f>
        <v>46.041879997765889</v>
      </c>
      <c r="CL70" s="21">
        <f>EXP(-LN(2)/25)*CL69+(1-EXP(-LN(2)/25))/(LN(2)/25)*Calculateur!CG70*Calculateur!CI70*VLOOKUP('Données projet'!$B$12,Paramètres!$A$1:$I$89,3,0)*0.475*44/12</f>
        <v>0</v>
      </c>
      <c r="CM70" s="21">
        <f>EXP(-LN(2)/2)*CM69+(1-EXP(-LN(2)/2))/(LN(2)/2)*CG70*CJ70*VLOOKUP('Données projet'!$B$12,Paramètres!$A$1:$I$89,3,0)*0.475*44/12</f>
        <v>0</v>
      </c>
      <c r="CN70" s="22">
        <f t="shared" si="66"/>
        <v>46.041879997765889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3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39.249600000000001</v>
      </c>
      <c r="D71" s="11">
        <f t="shared" si="86"/>
        <v>11.799534614368666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394.06349526881075</v>
      </c>
      <c r="H71" s="67">
        <f t="shared" si="56"/>
        <v>345.57724278669212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0</v>
      </c>
      <c r="N71" s="13">
        <f>IF('Données projet'!$A$36&gt;35,N70+M71-V70,IF(A71&lt;'Données projet'!$A$36,$K$205^A71,IF(A71='Données projet'!$A$36,'Données projet'!$B$36,N70+M71-V70)))</f>
        <v>304.99999999999983</v>
      </c>
      <c r="O71" s="13">
        <f>N71*VLOOKUP('Données projet'!$B$9,Paramètres!$A$1:$I$89,3,0)*VLOOKUP('Données projet'!$B$9,Paramètres!$A$1:$I$89,5,0)</f>
        <v>275.96399999999983</v>
      </c>
      <c r="P71" s="13">
        <f t="shared" si="87"/>
        <v>66.113366665488854</v>
      </c>
      <c r="Q71" s="20">
        <f t="shared" si="54"/>
        <v>595.78474694239264</v>
      </c>
      <c r="R71" s="59">
        <f t="shared" si="55"/>
        <v>889.11808027572602</v>
      </c>
      <c r="S71" s="59">
        <f ca="1">AVERAGE(OFFSET($R$3,0,0,'Données projet'!$E$9+1,1))-AVERAGE(OFFSET($H$3,0,0,'Données projet'!$E$9+1,1))</f>
        <v>336.59194805061094</v>
      </c>
      <c r="T71" s="59">
        <f t="shared" si="88"/>
        <v>473.66884161123909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3.943261966391546</v>
      </c>
      <c r="AA71" s="21">
        <f>EXP(-LN(2)/25)*AA70+(1-EXP(-LN(2)/25))/(LN(2)/25)*Calculateur!V71*Calculateur!X71*VLOOKUP('Données projet'!$B$9,Paramètres!$A$1:$I$89,3,0)*0.475*44/12</f>
        <v>0</v>
      </c>
      <c r="AB71" s="21">
        <f>EXP(-LN(2)/2)*AB70+(1-EXP(-LN(2)/2))/(LN(2)/2)*V71*Y71*VLOOKUP('Données projet'!$B$9,Paramètres!$A$1:$I$89,3,0)*0.475*44/12</f>
        <v>0</v>
      </c>
      <c r="AC71" s="22">
        <f t="shared" si="57"/>
        <v>3.943261966391546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4.5999999999999996</v>
      </c>
      <c r="AI71" s="13">
        <f>IF('Données projet'!$A$62&gt;35,AI70+AH71-AQ70,IF(A71&lt;'Données projet'!$A$62,$AF$205^A71,IF(A71='Données projet'!$A$62,'Données projet'!$B$62,AI70+AH71-AQ70)))</f>
        <v>306.7999999999999</v>
      </c>
      <c r="AJ71" s="13">
        <f>AI71*VLOOKUP('Données projet'!$B$10,Paramètres!$A$1:$I$89,3,0)*VLOOKUP('Données projet'!$B$10,Paramètres!$A$1:$I$89,5,0)</f>
        <v>201.01535999999996</v>
      </c>
      <c r="AK71" s="13">
        <f t="shared" si="89"/>
        <v>49.96724731300592</v>
      </c>
      <c r="AL71" s="20">
        <f t="shared" si="58"/>
        <v>437.12804107015182</v>
      </c>
      <c r="AM71" s="59">
        <f t="shared" si="59"/>
        <v>730.46137440348514</v>
      </c>
      <c r="AN71" s="59">
        <f ca="1">AVERAGE(OFFSET($AM$3,0,0,'Données projet'!$E$10+1,1))-AVERAGE(OFFSET($H$3,0,0,'Données projet'!$E$10+1,1))</f>
        <v>244.66788784685366</v>
      </c>
      <c r="AO71" s="59">
        <f t="shared" si="90"/>
        <v>252.04429018409274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32.203462400005115</v>
      </c>
      <c r="AV71" s="21">
        <f>EXP(-LN(2)/25)*AV70+(1-EXP(-LN(2)/25))/(LN(2)/25)*Calculateur!AQ71*Calculateur!AS71*VLOOKUP('Données projet'!$B$10,Paramètres!$A$1:$I$89,3,0)*0.475*44/12</f>
        <v>0</v>
      </c>
      <c r="AW71" s="21">
        <f>EXP(-LN(2)/2)*AW70+(1-EXP(-LN(2)/2))/(LN(2)/2)*AQ71*AT71*VLOOKUP('Données projet'!$B$10,Paramètres!$A$1:$I$89,3,0)*0.475*44/12</f>
        <v>0</v>
      </c>
      <c r="AX71" s="21">
        <f t="shared" si="60"/>
        <v>32.203462400005115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6</v>
      </c>
      <c r="BD71" s="12">
        <f>IF('Données projet'!$A$88&gt;35,BD70+BC71-BL70,IF(A71&lt;'Données projet'!$A$88,$BA$205^A71,IF(A71='Données projet'!$A$88,'Données projet'!$B$88,BD70+BC71-BL70)))</f>
        <v>246.99999999999983</v>
      </c>
      <c r="BE71" s="13">
        <f>BD71*VLOOKUP('Données projet'!$B$11,Paramètres!$A$1:$I$89,3,0)*VLOOKUP('Données projet'!$B$11,Paramètres!$A$1:$I$89,5,0)</f>
        <v>235.04519999999985</v>
      </c>
      <c r="BF71" s="13">
        <f t="shared" si="91"/>
        <v>57.372190275906782</v>
      </c>
      <c r="BG71" s="20">
        <f t="shared" si="61"/>
        <v>509.29362139720405</v>
      </c>
      <c r="BH71" s="59">
        <f t="shared" si="62"/>
        <v>802.62695473053736</v>
      </c>
      <c r="BI71" s="59">
        <f ca="1">AVERAGE(OFFSET($BH$3,0,0,'Données projet'!$E$11+1,1))-AVERAGE(OFFSET($H$3,0,0,'Données projet'!$E$11+1,1))</f>
        <v>373.51596132356536</v>
      </c>
      <c r="BJ71" s="59">
        <f t="shared" si="92"/>
        <v>417.00150517020114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65.736361504321664</v>
      </c>
      <c r="BQ71" s="21">
        <f>EXP(-LN(2)/25)*BQ70+(1-EXP(-LN(2)/25))/(LN(2)/25)*Calculateur!BL71*Calculateur!BN71*VLOOKUP('Données projet'!$B$11,Paramètres!$A$1:$I$89,3,0)*0.475*44/12</f>
        <v>0</v>
      </c>
      <c r="BR71" s="21">
        <f>EXP(-LN(2)/2)*BR70+(1-EXP(-LN(2)/2))/(LN(2)/2)*BL71*BO71*VLOOKUP('Données projet'!$B$11,Paramètres!$A$1:$I$89,3,0)*0.475*44/12</f>
        <v>0</v>
      </c>
      <c r="BS71" s="22">
        <f t="shared" si="63"/>
        <v>65.736361504321664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6.8</v>
      </c>
      <c r="BY71" s="12">
        <f>IF('Données projet'!$A$114&gt;35,BY70+BX71-CG70,IF(A71&lt;'Données projet'!$A$114,$BV$205^A71,IF(A71='Données projet'!$A$114,'Données projet'!$B$114,BY70+BX71-CG70)))</f>
        <v>228.39999999999995</v>
      </c>
      <c r="BZ71" s="13">
        <f>BY71*VLOOKUP('Données projet'!$B$12,Paramètres!$A$1:$I$89,3,0)*VLOOKUP('Données projet'!$B$12,Paramètres!$A$1:$I$89,5,0)</f>
        <v>206.65631999999994</v>
      </c>
      <c r="CA71" s="13">
        <f t="shared" si="93"/>
        <v>51.20422634371338</v>
      </c>
      <c r="CB71" s="20">
        <f t="shared" si="64"/>
        <v>449.10711821530072</v>
      </c>
      <c r="CC71" s="59">
        <f t="shared" si="65"/>
        <v>742.44045154863397</v>
      </c>
      <c r="CD71" s="59">
        <f ca="1">AVERAGE(OFFSET($CC$3,0,0,'Données projet'!$E$12+1,1))-AVERAGE(OFFSET($H$3,0,0,'Données projet'!$E$12+1,1))</f>
        <v>289.19622253646992</v>
      </c>
      <c r="CE71" s="59">
        <f t="shared" si="94"/>
        <v>191.23827338431175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>
        <f>EXP(-LN(2)/35)*CK70+(1-EXP(-LN(2)/35))/(LN(2)/35)*CG71*CH71*VLOOKUP('Données projet'!$B$12,Paramètres!$A$1:$I$89,3,0)*0.475*44/12</f>
        <v>45.139026813783552</v>
      </c>
      <c r="CL71" s="21">
        <f>EXP(-LN(2)/25)*CL70+(1-EXP(-LN(2)/25))/(LN(2)/25)*Calculateur!CG71*Calculateur!CI71*VLOOKUP('Données projet'!$B$12,Paramètres!$A$1:$I$89,3,0)*0.475*44/12</f>
        <v>0</v>
      </c>
      <c r="CM71" s="21">
        <f>EXP(-LN(2)/2)*CM70+(1-EXP(-LN(2)/2))/(LN(2)/2)*CG71*CJ71*VLOOKUP('Données projet'!$B$12,Paramètres!$A$1:$I$89,3,0)*0.475*44/12</f>
        <v>0</v>
      </c>
      <c r="CN71" s="22">
        <f t="shared" si="66"/>
        <v>45.139026813783552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3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39.826799999999999</v>
      </c>
      <c r="D72" s="11">
        <f t="shared" si="86"/>
        <v>11.95272864017269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399.70162459080666</v>
      </c>
      <c r="H72" s="67">
        <f t="shared" si="56"/>
        <v>346.84934571496746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0</v>
      </c>
      <c r="N72" s="13">
        <f>IF('Données projet'!$A$36&gt;35,N71+M72-V71,IF(A72&lt;'Données projet'!$A$36,$K$205^A72,IF(A72='Données projet'!$A$36,'Données projet'!$B$36,N71+M72-V71)))</f>
        <v>304.99999999999983</v>
      </c>
      <c r="O72" s="13">
        <f>N72*VLOOKUP('Données projet'!$B$9,Paramètres!$A$1:$I$89,3,0)*VLOOKUP('Données projet'!$B$9,Paramètres!$A$1:$I$89,5,0)</f>
        <v>275.96399999999983</v>
      </c>
      <c r="P72" s="13">
        <f t="shared" si="87"/>
        <v>66.113366665488854</v>
      </c>
      <c r="Q72" s="20">
        <f t="shared" si="54"/>
        <v>595.78474694239264</v>
      </c>
      <c r="R72" s="59">
        <f t="shared" si="55"/>
        <v>889.11808027572602</v>
      </c>
      <c r="S72" s="59">
        <f ca="1">AVERAGE(OFFSET($R$3,0,0,'Données projet'!$E$9+1,1))-AVERAGE(OFFSET($H$3,0,0,'Données projet'!$E$9+1,1))</f>
        <v>336.59194805061094</v>
      </c>
      <c r="T72" s="59">
        <f t="shared" si="88"/>
        <v>473.66884161123909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3.8659370043829182</v>
      </c>
      <c r="AA72" s="21">
        <f>EXP(-LN(2)/25)*AA71+(1-EXP(-LN(2)/25))/(LN(2)/25)*Calculateur!V72*Calculateur!X72*VLOOKUP('Données projet'!$B$9,Paramètres!$A$1:$I$89,3,0)*0.475*44/12</f>
        <v>0</v>
      </c>
      <c r="AB72" s="21">
        <f>EXP(-LN(2)/2)*AB71+(1-EXP(-LN(2)/2))/(LN(2)/2)*V72*Y72*VLOOKUP('Données projet'!$B$9,Paramètres!$A$1:$I$89,3,0)*0.475*44/12</f>
        <v>0</v>
      </c>
      <c r="AC72" s="22">
        <f t="shared" si="57"/>
        <v>3.8659370043829182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4.5999999999999996</v>
      </c>
      <c r="AI72" s="13">
        <f>IF('Données projet'!$A$62&gt;35,AI71+AH72-AQ71,IF(A72&lt;'Données projet'!$A$62,$AF$205^A72,IF(A72='Données projet'!$A$62,'Données projet'!$B$62,AI71+AH72-AQ71)))</f>
        <v>311.39999999999992</v>
      </c>
      <c r="AJ72" s="13">
        <f>AI72*VLOOKUP('Données projet'!$B$10,Paramètres!$A$1:$I$89,3,0)*VLOOKUP('Données projet'!$B$10,Paramètres!$A$1:$I$89,5,0)</f>
        <v>204.02927999999994</v>
      </c>
      <c r="AK72" s="13">
        <f t="shared" si="89"/>
        <v>50.628650934368238</v>
      </c>
      <c r="AL72" s="20">
        <f t="shared" si="58"/>
        <v>443.5292297106912</v>
      </c>
      <c r="AM72" s="59">
        <f t="shared" si="59"/>
        <v>736.86256304402445</v>
      </c>
      <c r="AN72" s="59">
        <f ca="1">AVERAGE(OFFSET($AM$3,0,0,'Données projet'!$E$10+1,1))-AVERAGE(OFFSET($H$3,0,0,'Données projet'!$E$10+1,1))</f>
        <v>244.66788784685366</v>
      </c>
      <c r="AO72" s="59">
        <f t="shared" si="90"/>
        <v>252.04429018409274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31.571972144513577</v>
      </c>
      <c r="AV72" s="21">
        <f>EXP(-LN(2)/25)*AV71+(1-EXP(-LN(2)/25))/(LN(2)/25)*Calculateur!AQ72*Calculateur!AS72*VLOOKUP('Données projet'!$B$10,Paramètres!$A$1:$I$89,3,0)*0.475*44/12</f>
        <v>0</v>
      </c>
      <c r="AW72" s="21">
        <f>EXP(-LN(2)/2)*AW71+(1-EXP(-LN(2)/2))/(LN(2)/2)*AQ72*AT72*VLOOKUP('Données projet'!$B$10,Paramètres!$A$1:$I$89,3,0)*0.475*44/12</f>
        <v>0</v>
      </c>
      <c r="AX72" s="21">
        <f t="shared" si="60"/>
        <v>31.571972144513577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6</v>
      </c>
      <c r="BD72" s="12">
        <f>IF('Données projet'!$A$88&gt;35,BD71+BC72-BL71,IF(A72&lt;'Données projet'!$A$88,$BA$205^A72,IF(A72='Données projet'!$A$88,'Données projet'!$B$88,BD71+BC72-BL71)))</f>
        <v>252.99999999999983</v>
      </c>
      <c r="BE72" s="13">
        <f>BD72*VLOOKUP('Données projet'!$B$11,Paramètres!$A$1:$I$89,3,0)*VLOOKUP('Données projet'!$B$11,Paramètres!$A$1:$I$89,5,0)</f>
        <v>240.75479999999985</v>
      </c>
      <c r="BF72" s="13">
        <f t="shared" si="91"/>
        <v>58.601899688541039</v>
      </c>
      <c r="BG72" s="20">
        <f t="shared" si="61"/>
        <v>521.3795852908753</v>
      </c>
      <c r="BH72" s="59">
        <f t="shared" si="62"/>
        <v>814.71291862420867</v>
      </c>
      <c r="BI72" s="59">
        <f ca="1">AVERAGE(OFFSET($BH$3,0,0,'Données projet'!$E$11+1,1))-AVERAGE(OFFSET($H$3,0,0,'Données projet'!$E$11+1,1))</f>
        <v>373.51596132356536</v>
      </c>
      <c r="BJ72" s="59">
        <f t="shared" si="92"/>
        <v>417.00150517020114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64.447311550443359</v>
      </c>
      <c r="BQ72" s="21">
        <f>EXP(-LN(2)/25)*BQ71+(1-EXP(-LN(2)/25))/(LN(2)/25)*Calculateur!BL72*Calculateur!BN72*VLOOKUP('Données projet'!$B$11,Paramètres!$A$1:$I$89,3,0)*0.475*44/12</f>
        <v>0</v>
      </c>
      <c r="BR72" s="21">
        <f>EXP(-LN(2)/2)*BR71+(1-EXP(-LN(2)/2))/(LN(2)/2)*BL72*BO72*VLOOKUP('Données projet'!$B$11,Paramètres!$A$1:$I$89,3,0)*0.475*44/12</f>
        <v>0</v>
      </c>
      <c r="BS72" s="22">
        <f t="shared" si="63"/>
        <v>64.447311550443359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6.8</v>
      </c>
      <c r="BY72" s="12">
        <f>IF('Données projet'!$A$114&gt;35,BY71+BX72-CG71,IF(A72&lt;'Données projet'!$A$114,$BV$205^A72,IF(A72='Données projet'!$A$114,'Données projet'!$B$114,BY71+BX72-CG71)))</f>
        <v>235.19999999999996</v>
      </c>
      <c r="BZ72" s="13">
        <f>BY72*VLOOKUP('Données projet'!$B$12,Paramètres!$A$1:$I$89,3,0)*VLOOKUP('Données projet'!$B$12,Paramètres!$A$1:$I$89,5,0)</f>
        <v>212.80895999999996</v>
      </c>
      <c r="CA72" s="13">
        <f t="shared" si="93"/>
        <v>52.548938637485847</v>
      </c>
      <c r="CB72" s="20">
        <f t="shared" si="64"/>
        <v>462.16500679362099</v>
      </c>
      <c r="CC72" s="59">
        <f t="shared" si="65"/>
        <v>755.4983401269543</v>
      </c>
      <c r="CD72" s="59">
        <f ca="1">AVERAGE(OFFSET($CC$3,0,0,'Données projet'!$E$12+1,1))-AVERAGE(OFFSET($H$3,0,0,'Données projet'!$E$12+1,1))</f>
        <v>289.19622253646992</v>
      </c>
      <c r="CE72" s="59">
        <f t="shared" si="94"/>
        <v>191.23827338431175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>
        <f>EXP(-LN(2)/35)*CK71+(1-EXP(-LN(2)/35))/(LN(2)/35)*CG72*CH72*VLOOKUP('Données projet'!$B$12,Paramètres!$A$1:$I$89,3,0)*0.475*44/12</f>
        <v>44.253878030053045</v>
      </c>
      <c r="CL72" s="21">
        <f>EXP(-LN(2)/25)*CL71+(1-EXP(-LN(2)/25))/(LN(2)/25)*Calculateur!CG72*Calculateur!CI72*VLOOKUP('Données projet'!$B$12,Paramètres!$A$1:$I$89,3,0)*0.475*44/12</f>
        <v>0</v>
      </c>
      <c r="CM72" s="21">
        <f>EXP(-LN(2)/2)*CM71+(1-EXP(-LN(2)/2))/(LN(2)/2)*CG72*CJ72*VLOOKUP('Données projet'!$B$12,Paramètres!$A$1:$I$89,3,0)*0.475*44/12</f>
        <v>0</v>
      </c>
      <c r="CN72" s="22">
        <f t="shared" si="66"/>
        <v>44.253878030053045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3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40.403999999999996</v>
      </c>
      <c r="D73" s="11">
        <f t="shared" si="86"/>
        <v>12.105664442616712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405.33776060967284</v>
      </c>
      <c r="H73" s="67">
        <f t="shared" si="56"/>
        <v>348.12099890422411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0</v>
      </c>
      <c r="N73" s="13">
        <f>IF('Données projet'!$A$36&gt;35,N72+M73-V72,IF(A73&lt;'Données projet'!$A$36,$K$205^A73,IF(A73='Données projet'!$A$36,'Données projet'!$B$36,N72+M73-V72)))</f>
        <v>304.99999999999983</v>
      </c>
      <c r="O73" s="13">
        <f>N73*VLOOKUP('Données projet'!$B$9,Paramètres!$A$1:$I$89,3,0)*VLOOKUP('Données projet'!$B$9,Paramètres!$A$1:$I$89,5,0)</f>
        <v>275.96399999999983</v>
      </c>
      <c r="P73" s="13">
        <f t="shared" si="87"/>
        <v>66.113366665488854</v>
      </c>
      <c r="Q73" s="20">
        <f t="shared" si="54"/>
        <v>595.78474694239264</v>
      </c>
      <c r="R73" s="59">
        <f t="shared" si="55"/>
        <v>889.11808027572602</v>
      </c>
      <c r="S73" s="59">
        <f ca="1">AVERAGE(OFFSET($R$3,0,0,'Données projet'!$E$9+1,1))-AVERAGE(OFFSET($H$3,0,0,'Données projet'!$E$9+1,1))</f>
        <v>336.59194805061094</v>
      </c>
      <c r="T73" s="59">
        <f t="shared" si="88"/>
        <v>473.66884161123909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3.7901283377157098</v>
      </c>
      <c r="AA73" s="21">
        <f>EXP(-LN(2)/25)*AA72+(1-EXP(-LN(2)/25))/(LN(2)/25)*Calculateur!V73*Calculateur!X73*VLOOKUP('Données projet'!$B$9,Paramètres!$A$1:$I$89,3,0)*0.475*44/12</f>
        <v>0</v>
      </c>
      <c r="AB73" s="21">
        <f>EXP(-LN(2)/2)*AB72+(1-EXP(-LN(2)/2))/(LN(2)/2)*V73*Y73*VLOOKUP('Données projet'!$B$9,Paramètres!$A$1:$I$89,3,0)*0.475*44/12</f>
        <v>0</v>
      </c>
      <c r="AC73" s="22">
        <f t="shared" si="57"/>
        <v>3.7901283377157098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>
        <f>VLOOKUP(A73,'Données projet'!$A$61:$I$81,2,0)</f>
        <v>316</v>
      </c>
      <c r="AG73" s="12">
        <f>VLOOKUP(A73,'Données projet'!$A$61:$I$81,9,0)</f>
        <v>4.5999999999999996</v>
      </c>
      <c r="AH73" s="12">
        <f t="array" ref="AH73">INDEX(AG:AG,MIN(IF(ISNUMBER(AG73:AG269),ROW(AG73:AG269),"")))</f>
        <v>4.5999999999999996</v>
      </c>
      <c r="AI73" s="13">
        <f>IF('Données projet'!$A$62&gt;35,AI72+AH73-AQ72,IF(A73&lt;'Données projet'!$A$62,$AF$205^A73,IF(A73='Données projet'!$A$62,'Données projet'!$B$62,AI72+AH73-AQ72)))</f>
        <v>315.99999999999994</v>
      </c>
      <c r="AJ73" s="13">
        <f>AI73*VLOOKUP('Données projet'!$B$10,Paramètres!$A$1:$I$89,3,0)*VLOOKUP('Données projet'!$B$10,Paramètres!$A$1:$I$89,5,0)</f>
        <v>207.04319999999996</v>
      </c>
      <c r="AK73" s="13">
        <f t="shared" si="89"/>
        <v>51.288918231806321</v>
      </c>
      <c r="AL73" s="20">
        <f t="shared" si="58"/>
        <v>449.92843925372921</v>
      </c>
      <c r="AM73" s="59">
        <f t="shared" si="59"/>
        <v>743.26177258706252</v>
      </c>
      <c r="AN73" s="59">
        <f ca="1">AVERAGE(OFFSET($AM$3,0,0,'Données projet'!$E$10+1,1))-AVERAGE(OFFSET($H$3,0,0,'Données projet'!$E$10+1,1))</f>
        <v>244.66788784685366</v>
      </c>
      <c r="AO73" s="59">
        <f t="shared" si="90"/>
        <v>252.04429018409274</v>
      </c>
      <c r="AP73" s="15">
        <f>IF(ISNA(VLOOKUP(A73,'Données projet'!$A$61:$I$81,3,0)),0,VLOOKUP(A73,'Données projet'!$A$61:$I$81,3,0))</f>
        <v>12</v>
      </c>
      <c r="AQ73" s="15">
        <f>IF(ISNA(VLOOKUP(A73,'Données projet'!$A$61:$I$81,4,0)),0,VLOOKUP(A73,'Données projet'!$A$61:$I$81,4,0))</f>
        <v>13</v>
      </c>
      <c r="AR73" s="16">
        <f>IF(ISNA(VLOOKUP(A73,'Données projet'!$A$61:$I$81,5,0)),0%,VLOOKUP(A73,'Données projet'!$A$61:$I$81,5,0)*VLOOKUP('Données projet'!$B$10,Paramètres!$A$1:$I$89,7,0))</f>
        <v>0.43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35.001725464786439</v>
      </c>
      <c r="AV73" s="21">
        <f>EXP(-LN(2)/25)*AV72+(1-EXP(-LN(2)/25))/(LN(2)/25)*Calculateur!AQ73*Calculateur!AS73*VLOOKUP('Données projet'!$B$10,Paramètres!$A$1:$I$89,3,0)*0.475*44/12</f>
        <v>0</v>
      </c>
      <c r="AW73" s="21">
        <f>EXP(-LN(2)/2)*AW72+(1-EXP(-LN(2)/2))/(LN(2)/2)*AQ73*AT73*VLOOKUP('Données projet'!$B$10,Paramètres!$A$1:$I$89,3,0)*0.475*44/12</f>
        <v>0</v>
      </c>
      <c r="AX73" s="21">
        <f t="shared" si="60"/>
        <v>35.001725464786439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>
        <f>VLOOKUP(A73,'Données projet'!$A$87:$I$107,2,0)</f>
        <v>259</v>
      </c>
      <c r="BB73" s="12">
        <f>VLOOKUP(A73,'Données projet'!$A$87:$I$107,9,0)</f>
        <v>6</v>
      </c>
      <c r="BC73" s="12">
        <f t="array" ref="BC73">INDEX(BB:BB,MIN(IF(ISNUMBER(BB73:BB269),ROW(BB73:BB269),"")))</f>
        <v>6</v>
      </c>
      <c r="BD73" s="12">
        <f>IF('Données projet'!$A$88&gt;35,BD72+BC73-BL72,IF(A73&lt;'Données projet'!$A$88,$BA$205^A73,IF(A73='Données projet'!$A$88,'Données projet'!$B$88,BD72+BC73-BL72)))</f>
        <v>258.99999999999983</v>
      </c>
      <c r="BE73" s="13">
        <f>BD73*VLOOKUP('Données projet'!$B$11,Paramètres!$A$1:$I$89,3,0)*VLOOKUP('Données projet'!$B$11,Paramètres!$A$1:$I$89,5,0)</f>
        <v>246.46439999999984</v>
      </c>
      <c r="BF73" s="13">
        <f t="shared" si="91"/>
        <v>59.828218865086768</v>
      </c>
      <c r="BG73" s="20">
        <f t="shared" si="61"/>
        <v>533.45964452335909</v>
      </c>
      <c r="BH73" s="59">
        <f t="shared" si="62"/>
        <v>826.79297785669246</v>
      </c>
      <c r="BI73" s="59">
        <f ca="1">AVERAGE(OFFSET($BH$3,0,0,'Données projet'!$E$11+1,1))-AVERAGE(OFFSET($H$3,0,0,'Données projet'!$E$11+1,1))</f>
        <v>373.51596132356536</v>
      </c>
      <c r="BJ73" s="59">
        <f t="shared" si="92"/>
        <v>417.00150517020114</v>
      </c>
      <c r="BK73" s="15">
        <f>IF(ISNA(VLOOKUP(A73,'Données projet'!$A$87:$I$107,3,0)),0,VLOOKUP(A73,'Données projet'!$A$87:$I$107,3,0))</f>
        <v>13</v>
      </c>
      <c r="BL73" s="15">
        <f>IF(ISNA(VLOOKUP(A73,'Données projet'!$A$87:$I$107,4,0)),0,VLOOKUP(A73,'Données projet'!$A$87:$I$107,4,0))</f>
        <v>27</v>
      </c>
      <c r="BM73" s="16">
        <f>IF(ISNA(VLOOKUP(A73,'Données projet'!$A$87:$I$107,5,0)),0%,VLOOKUP(A73,'Données projet'!$A$87:$I$107,5,0)*VLOOKUP('Données projet'!$B$11,Paramètres!$A$1:$I$89,7,0))</f>
        <v>0.43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75.396859848746644</v>
      </c>
      <c r="BQ73" s="21">
        <f>EXP(-LN(2)/25)*BQ72+(1-EXP(-LN(2)/25))/(LN(2)/25)*Calculateur!BL73*Calculateur!BN73*VLOOKUP('Données projet'!$B$11,Paramètres!$A$1:$I$89,3,0)*0.475*44/12</f>
        <v>0</v>
      </c>
      <c r="BR73" s="21">
        <f>EXP(-LN(2)/2)*BR72+(1-EXP(-LN(2)/2))/(LN(2)/2)*BL73*BO73*VLOOKUP('Données projet'!$B$11,Paramètres!$A$1:$I$89,3,0)*0.475*44/12</f>
        <v>0</v>
      </c>
      <c r="BS73" s="22">
        <f t="shared" si="63"/>
        <v>75.396859848746644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>
        <f>VLOOKUP(A73,'Données projet'!$A$113:$I$133,2,0)</f>
        <v>242</v>
      </c>
      <c r="BW73" s="12">
        <f>VLOOKUP(A73,'Données projet'!$A$113:$I$133,9,0)</f>
        <v>6.8</v>
      </c>
      <c r="BX73" s="12">
        <f t="array" ref="BX73">INDEX(BW:BW,MIN(IF(ISNUMBER(BW73:BW269),ROW(BW73:BW269),"")))</f>
        <v>6.8</v>
      </c>
      <c r="BY73" s="12">
        <f>IF('Données projet'!$A$114&gt;35,BY72+BX73-CG72,IF(A73&lt;'Données projet'!$A$114,$BV$205^A73,IF(A73='Données projet'!$A$114,'Données projet'!$B$114,BY72+BX73-CG72)))</f>
        <v>241.99999999999997</v>
      </c>
      <c r="BZ73" s="13">
        <f>BY73*VLOOKUP('Données projet'!$B$12,Paramètres!$A$1:$I$89,3,0)*VLOOKUP('Données projet'!$B$12,Paramètres!$A$1:$I$89,5,0)</f>
        <v>218.96159999999998</v>
      </c>
      <c r="CA73" s="13">
        <f t="shared" si="93"/>
        <v>53.88913250370743</v>
      </c>
      <c r="CB73" s="20">
        <f t="shared" si="64"/>
        <v>475.21502577729035</v>
      </c>
      <c r="CC73" s="59">
        <f t="shared" si="65"/>
        <v>768.54835911062366</v>
      </c>
      <c r="CD73" s="59">
        <f ca="1">AVERAGE(OFFSET($CC$3,0,0,'Données projet'!$E$12+1,1))-AVERAGE(OFFSET($H$3,0,0,'Données projet'!$E$12+1,1))</f>
        <v>289.19622253646992</v>
      </c>
      <c r="CE73" s="59">
        <f t="shared" si="94"/>
        <v>191.23827338431175</v>
      </c>
      <c r="CF73" s="15">
        <f>IF(ISNA(VLOOKUP(A73,'Données projet'!$A$113:$I$133,3,0)),0,VLOOKUP(A73,'Données projet'!$A$113:$I$133,3,0))</f>
        <v>10</v>
      </c>
      <c r="CG73" s="15">
        <f>IF(ISNA(VLOOKUP(A73,'Données projet'!$A$113:$I$133,4,0)),0,VLOOKUP(A73,'Données projet'!$A$113:$I$133,4,0))</f>
        <v>21</v>
      </c>
      <c r="CH73" s="16">
        <f>IF(ISNA(VLOOKUP(A73,'Données projet'!$A$113:$I$133,5,0)),0%,VLOOKUP(A73,'Données projet'!$A$113:$I$133,5,0)*VLOOKUP('Données projet'!$B$12,Paramètres!$A$1:$I$89,7,0))</f>
        <v>0.43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>
        <f>EXP(-LN(2)/35)*CK72+(1-EXP(-LN(2)/35))/(LN(2)/35)*CG73*CH73*VLOOKUP('Données projet'!$B$12,Paramètres!$A$1:$I$89,3,0)*0.475*44/12</f>
        <v>52.418159756678804</v>
      </c>
      <c r="CL73" s="21">
        <f>EXP(-LN(2)/25)*CL72+(1-EXP(-LN(2)/25))/(LN(2)/25)*Calculateur!CG73*Calculateur!CI73*VLOOKUP('Données projet'!$B$12,Paramètres!$A$1:$I$89,3,0)*0.475*44/12</f>
        <v>0</v>
      </c>
      <c r="CM73" s="21">
        <f>EXP(-LN(2)/2)*CM72+(1-EXP(-LN(2)/2))/(LN(2)/2)*CG73*CJ73*VLOOKUP('Données projet'!$B$12,Paramètres!$A$1:$I$89,3,0)*0.475*44/12</f>
        <v>0</v>
      </c>
      <c r="CN73" s="22">
        <f t="shared" si="66"/>
        <v>52.418159756678804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3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40.981199999999994</v>
      </c>
      <c r="D74" s="11">
        <f t="shared" si="86"/>
        <v>12.258346136853991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410.97193509150452</v>
      </c>
      <c r="H74" s="67">
        <f t="shared" si="56"/>
        <v>349.39220952168739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0</v>
      </c>
      <c r="N74" s="13">
        <f>IF('Données projet'!$A$36&gt;35,N73+M74-V73,IF(A74&lt;'Données projet'!$A$36,$K$205^A74,IF(A74='Données projet'!$A$36,'Données projet'!$B$36,N73+M74-V73)))</f>
        <v>304.99999999999983</v>
      </c>
      <c r="O74" s="13">
        <f>N74*VLOOKUP('Données projet'!$B$9,Paramètres!$A$1:$I$89,3,0)*VLOOKUP('Données projet'!$B$9,Paramètres!$A$1:$I$89,5,0)</f>
        <v>275.96399999999983</v>
      </c>
      <c r="P74" s="13">
        <f t="shared" si="87"/>
        <v>66.113366665488854</v>
      </c>
      <c r="Q74" s="20">
        <f t="shared" si="54"/>
        <v>595.78474694239264</v>
      </c>
      <c r="R74" s="59">
        <f t="shared" si="55"/>
        <v>889.11808027572602</v>
      </c>
      <c r="S74" s="59">
        <f ca="1">AVERAGE(OFFSET($R$3,0,0,'Données projet'!$E$9+1,1))-AVERAGE(OFFSET($H$3,0,0,'Données projet'!$E$9+1,1))</f>
        <v>336.59194805061094</v>
      </c>
      <c r="T74" s="59">
        <f t="shared" si="88"/>
        <v>473.66884161123909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3.7158062327631245</v>
      </c>
      <c r="AA74" s="21">
        <f>EXP(-LN(2)/25)*AA73+(1-EXP(-LN(2)/25))/(LN(2)/25)*Calculateur!V74*Calculateur!X74*VLOOKUP('Données projet'!$B$9,Paramètres!$A$1:$I$89,3,0)*0.475*44/12</f>
        <v>0</v>
      </c>
      <c r="AB74" s="21">
        <f>EXP(-LN(2)/2)*AB73+(1-EXP(-LN(2)/2))/(LN(2)/2)*V74*Y74*VLOOKUP('Données projet'!$B$9,Paramètres!$A$1:$I$89,3,0)*0.475*44/12</f>
        <v>0</v>
      </c>
      <c r="AC74" s="22">
        <f t="shared" si="57"/>
        <v>3.7158062327631245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4.2</v>
      </c>
      <c r="AI74" s="13">
        <f>IF('Données projet'!$A$62&gt;35,AI73+AH74-AQ73,IF(A74&lt;'Données projet'!$A$62,$AF$205^A74,IF(A74='Données projet'!$A$62,'Données projet'!$B$62,AI73+AH74-AQ73)))</f>
        <v>307.19999999999993</v>
      </c>
      <c r="AJ74" s="13">
        <f>AI74*VLOOKUP('Données projet'!$B$10,Paramètres!$A$1:$I$89,3,0)*VLOOKUP('Données projet'!$B$10,Paramètres!$A$1:$I$89,5,0)</f>
        <v>201.27743999999996</v>
      </c>
      <c r="AK74" s="13">
        <f t="shared" si="89"/>
        <v>50.024806258462775</v>
      </c>
      <c r="AL74" s="20">
        <f t="shared" si="58"/>
        <v>437.68474556682258</v>
      </c>
      <c r="AM74" s="59">
        <f t="shared" si="59"/>
        <v>731.01807890015584</v>
      </c>
      <c r="AN74" s="59">
        <f ca="1">AVERAGE(OFFSET($AM$3,0,0,'Données projet'!$E$10+1,1))-AVERAGE(OFFSET($H$3,0,0,'Données projet'!$E$10+1,1))</f>
        <v>244.66788784685366</v>
      </c>
      <c r="AO74" s="59">
        <f t="shared" si="90"/>
        <v>252.04429018409274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34.315362977366476</v>
      </c>
      <c r="AV74" s="21">
        <f>EXP(-LN(2)/25)*AV73+(1-EXP(-LN(2)/25))/(LN(2)/25)*Calculateur!AQ74*Calculateur!AS74*VLOOKUP('Données projet'!$B$10,Paramètres!$A$1:$I$89,3,0)*0.475*44/12</f>
        <v>0</v>
      </c>
      <c r="AW74" s="21">
        <f>EXP(-LN(2)/2)*AW73+(1-EXP(-LN(2)/2))/(LN(2)/2)*AQ74*AT74*VLOOKUP('Données projet'!$B$10,Paramètres!$A$1:$I$89,3,0)*0.475*44/12</f>
        <v>0</v>
      </c>
      <c r="AX74" s="21">
        <f t="shared" si="60"/>
        <v>34.315362977366476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5.8</v>
      </c>
      <c r="BD74" s="12">
        <f>IF('Données projet'!$A$88&gt;35,BD73+BC74-BL73,IF(A74&lt;'Données projet'!$A$88,$BA$205^A74,IF(A74='Données projet'!$A$88,'Données projet'!$B$88,BD73+BC74-BL73)))</f>
        <v>237.79999999999984</v>
      </c>
      <c r="BE74" s="13">
        <f>BD74*VLOOKUP('Données projet'!$B$11,Paramètres!$A$1:$I$89,3,0)*VLOOKUP('Données projet'!$B$11,Paramètres!$A$1:$I$89,5,0)</f>
        <v>226.29047999999986</v>
      </c>
      <c r="BF74" s="13">
        <f t="shared" si="91"/>
        <v>55.479839127853523</v>
      </c>
      <c r="BG74" s="20">
        <f t="shared" si="61"/>
        <v>490.74997248101135</v>
      </c>
      <c r="BH74" s="59">
        <f t="shared" si="62"/>
        <v>784.08330581434461</v>
      </c>
      <c r="BI74" s="59">
        <f ca="1">AVERAGE(OFFSET($BH$3,0,0,'Données projet'!$E$11+1,1))-AVERAGE(OFFSET($H$3,0,0,'Données projet'!$E$11+1,1))</f>
        <v>373.51596132356536</v>
      </c>
      <c r="BJ74" s="59">
        <f t="shared" si="92"/>
        <v>417.00150517020114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73.918373414656344</v>
      </c>
      <c r="BQ74" s="21">
        <f>EXP(-LN(2)/25)*BQ73+(1-EXP(-LN(2)/25))/(LN(2)/25)*Calculateur!BL74*Calculateur!BN74*VLOOKUP('Données projet'!$B$11,Paramètres!$A$1:$I$89,3,0)*0.475*44/12</f>
        <v>0</v>
      </c>
      <c r="BR74" s="21">
        <f>EXP(-LN(2)/2)*BR73+(1-EXP(-LN(2)/2))/(LN(2)/2)*BL74*BO74*VLOOKUP('Données projet'!$B$11,Paramètres!$A$1:$I$89,3,0)*0.475*44/12</f>
        <v>0</v>
      </c>
      <c r="BS74" s="22">
        <f t="shared" si="63"/>
        <v>73.918373414656344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6.2</v>
      </c>
      <c r="BY74" s="12">
        <f>IF('Données projet'!$A$114&gt;35,BY73+BX74-CG73,IF(A74&lt;'Données projet'!$A$114,$BV$205^A74,IF(A74='Données projet'!$A$114,'Données projet'!$B$114,BY73+BX74-CG73)))</f>
        <v>227.19999999999996</v>
      </c>
      <c r="BZ74" s="13">
        <f>BY74*VLOOKUP('Données projet'!$B$12,Paramètres!$A$1:$I$89,3,0)*VLOOKUP('Données projet'!$B$12,Paramètres!$A$1:$I$89,5,0)</f>
        <v>205.57055999999997</v>
      </c>
      <c r="CA74" s="13">
        <f t="shared" si="93"/>
        <v>50.966443946767392</v>
      </c>
      <c r="CB74" s="20">
        <f t="shared" si="64"/>
        <v>446.80194854061978</v>
      </c>
      <c r="CC74" s="59">
        <f t="shared" si="65"/>
        <v>740.13528187395309</v>
      </c>
      <c r="CD74" s="59">
        <f ca="1">AVERAGE(OFFSET($CC$3,0,0,'Données projet'!$E$12+1,1))-AVERAGE(OFFSET($H$3,0,0,'Données projet'!$E$12+1,1))</f>
        <v>289.19622253646992</v>
      </c>
      <c r="CE74" s="59">
        <f t="shared" si="94"/>
        <v>191.23827338431175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>
        <f>EXP(-LN(2)/35)*CK73+(1-EXP(-LN(2)/35))/(LN(2)/35)*CG74*CH74*VLOOKUP('Données projet'!$B$12,Paramètres!$A$1:$I$89,3,0)*0.475*44/12</f>
        <v>51.390271615770821</v>
      </c>
      <c r="CL74" s="21">
        <f>EXP(-LN(2)/25)*CL73+(1-EXP(-LN(2)/25))/(LN(2)/25)*Calculateur!CG74*Calculateur!CI74*VLOOKUP('Données projet'!$B$12,Paramètres!$A$1:$I$89,3,0)*0.475*44/12</f>
        <v>0</v>
      </c>
      <c r="CM74" s="21">
        <f>EXP(-LN(2)/2)*CM73+(1-EXP(-LN(2)/2))/(LN(2)/2)*CG74*CJ74*VLOOKUP('Données projet'!$B$12,Paramètres!$A$1:$I$89,3,0)*0.475*44/12</f>
        <v>0</v>
      </c>
      <c r="CN74" s="22">
        <f t="shared" si="66"/>
        <v>51.390271615770821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3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41.558399999999992</v>
      </c>
      <c r="D75" s="11">
        <f t="shared" si="86"/>
        <v>12.410777715459892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416.60417885618159</v>
      </c>
      <c r="H75" s="67">
        <f t="shared" si="56"/>
        <v>350.66298452109265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0</v>
      </c>
      <c r="N75" s="13">
        <f>IF('Données projet'!$A$36&gt;35,N74+M75-V74,IF(A75&lt;'Données projet'!$A$36,$K$205^A75,IF(A75='Données projet'!$A$36,'Données projet'!$B$36,N74+M75-V74)))</f>
        <v>304.99999999999983</v>
      </c>
      <c r="O75" s="13">
        <f>N75*VLOOKUP('Données projet'!$B$9,Paramètres!$A$1:$I$89,3,0)*VLOOKUP('Données projet'!$B$9,Paramètres!$A$1:$I$89,5,0)</f>
        <v>275.96399999999983</v>
      </c>
      <c r="P75" s="13">
        <f t="shared" si="87"/>
        <v>66.113366665488854</v>
      </c>
      <c r="Q75" s="20">
        <f t="shared" si="54"/>
        <v>595.78474694239264</v>
      </c>
      <c r="R75" s="59">
        <f t="shared" si="55"/>
        <v>889.11808027572602</v>
      </c>
      <c r="S75" s="59">
        <f ca="1">AVERAGE(OFFSET($R$3,0,0,'Données projet'!$E$9+1,1))-AVERAGE(OFFSET($H$3,0,0,'Données projet'!$E$9+1,1))</f>
        <v>336.59194805061094</v>
      </c>
      <c r="T75" s="59">
        <f t="shared" si="88"/>
        <v>473.66884161123909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3.6429415389566513</v>
      </c>
      <c r="AA75" s="21">
        <f>EXP(-LN(2)/25)*AA74+(1-EXP(-LN(2)/25))/(LN(2)/25)*Calculateur!V75*Calculateur!X75*VLOOKUP('Données projet'!$B$9,Paramètres!$A$1:$I$89,3,0)*0.475*44/12</f>
        <v>0</v>
      </c>
      <c r="AB75" s="21">
        <f>EXP(-LN(2)/2)*AB74+(1-EXP(-LN(2)/2))/(LN(2)/2)*V75*Y75*VLOOKUP('Données projet'!$B$9,Paramètres!$A$1:$I$89,3,0)*0.475*44/12</f>
        <v>0</v>
      </c>
      <c r="AC75" s="22">
        <f t="shared" si="57"/>
        <v>3.6429415389566513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4.2</v>
      </c>
      <c r="AI75" s="13">
        <f>IF('Données projet'!$A$62&gt;35,AI74+AH75-AQ74,IF(A75&lt;'Données projet'!$A$62,$AF$205^A75,IF(A75='Données projet'!$A$62,'Données projet'!$B$62,AI74+AH75-AQ74)))</f>
        <v>311.39999999999992</v>
      </c>
      <c r="AJ75" s="13">
        <f>AI75*VLOOKUP('Données projet'!$B$10,Paramètres!$A$1:$I$89,3,0)*VLOOKUP('Données projet'!$B$10,Paramètres!$A$1:$I$89,5,0)</f>
        <v>204.02927999999994</v>
      </c>
      <c r="AK75" s="13">
        <f t="shared" si="89"/>
        <v>50.628650934368238</v>
      </c>
      <c r="AL75" s="20">
        <f t="shared" si="58"/>
        <v>443.5292297106912</v>
      </c>
      <c r="AM75" s="59">
        <f t="shared" si="59"/>
        <v>736.86256304402445</v>
      </c>
      <c r="AN75" s="59">
        <f ca="1">AVERAGE(OFFSET($AM$3,0,0,'Données projet'!$E$10+1,1))-AVERAGE(OFFSET($H$3,0,0,'Données projet'!$E$10+1,1))</f>
        <v>244.66788784685366</v>
      </c>
      <c r="AO75" s="59">
        <f t="shared" si="90"/>
        <v>252.04429018409274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33.642459639685043</v>
      </c>
      <c r="AV75" s="21">
        <f>EXP(-LN(2)/25)*AV74+(1-EXP(-LN(2)/25))/(LN(2)/25)*Calculateur!AQ75*Calculateur!AS75*VLOOKUP('Données projet'!$B$10,Paramètres!$A$1:$I$89,3,0)*0.475*44/12</f>
        <v>0</v>
      </c>
      <c r="AW75" s="21">
        <f>EXP(-LN(2)/2)*AW74+(1-EXP(-LN(2)/2))/(LN(2)/2)*AQ75*AT75*VLOOKUP('Données projet'!$B$10,Paramètres!$A$1:$I$89,3,0)*0.475*44/12</f>
        <v>0</v>
      </c>
      <c r="AX75" s="21">
        <f t="shared" si="60"/>
        <v>33.642459639685043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5.8</v>
      </c>
      <c r="BD75" s="12">
        <f>IF('Données projet'!$A$88&gt;35,BD74+BC75-BL74,IF(A75&lt;'Données projet'!$A$88,$BA$205^A75,IF(A75='Données projet'!$A$88,'Données projet'!$B$88,BD74+BC75-BL74)))</f>
        <v>243.59999999999985</v>
      </c>
      <c r="BE75" s="13">
        <f>BD75*VLOOKUP('Données projet'!$B$11,Paramètres!$A$1:$I$89,3,0)*VLOOKUP('Données projet'!$B$11,Paramètres!$A$1:$I$89,5,0)</f>
        <v>231.80975999999987</v>
      </c>
      <c r="BF75" s="13">
        <f t="shared" si="91"/>
        <v>56.673815277159328</v>
      </c>
      <c r="BG75" s="20">
        <f t="shared" si="61"/>
        <v>502.44222694105224</v>
      </c>
      <c r="BH75" s="59">
        <f t="shared" si="62"/>
        <v>795.7755602743855</v>
      </c>
      <c r="BI75" s="59">
        <f ca="1">AVERAGE(OFFSET($BH$3,0,0,'Données projet'!$E$11+1,1))-AVERAGE(OFFSET($H$3,0,0,'Données projet'!$E$11+1,1))</f>
        <v>373.51596132356536</v>
      </c>
      <c r="BJ75" s="59">
        <f t="shared" si="92"/>
        <v>417.00150517020114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72.468879197750866</v>
      </c>
      <c r="BQ75" s="21">
        <f>EXP(-LN(2)/25)*BQ74+(1-EXP(-LN(2)/25))/(LN(2)/25)*Calculateur!BL75*Calculateur!BN75*VLOOKUP('Données projet'!$B$11,Paramètres!$A$1:$I$89,3,0)*0.475*44/12</f>
        <v>0</v>
      </c>
      <c r="BR75" s="21">
        <f>EXP(-LN(2)/2)*BR74+(1-EXP(-LN(2)/2))/(LN(2)/2)*BL75*BO75*VLOOKUP('Données projet'!$B$11,Paramètres!$A$1:$I$89,3,0)*0.475*44/12</f>
        <v>0</v>
      </c>
      <c r="BS75" s="22">
        <f t="shared" si="63"/>
        <v>72.468879197750866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6.2</v>
      </c>
      <c r="BY75" s="12">
        <f>IF('Données projet'!$A$114&gt;35,BY74+BX75-CG74,IF(A75&lt;'Données projet'!$A$114,$BV$205^A75,IF(A75='Données projet'!$A$114,'Données projet'!$B$114,BY74+BX75-CG74)))</f>
        <v>233.39999999999995</v>
      </c>
      <c r="BZ75" s="13">
        <f>BY75*VLOOKUP('Données projet'!$B$12,Paramètres!$A$1:$I$89,3,0)*VLOOKUP('Données projet'!$B$12,Paramètres!$A$1:$I$89,5,0)</f>
        <v>211.18031999999994</v>
      </c>
      <c r="CA75" s="13">
        <f t="shared" si="93"/>
        <v>52.193431117443019</v>
      </c>
      <c r="CB75" s="20">
        <f t="shared" si="64"/>
        <v>458.70928319621316</v>
      </c>
      <c r="CC75" s="59">
        <f t="shared" si="65"/>
        <v>752.04261652954642</v>
      </c>
      <c r="CD75" s="59">
        <f ca="1">AVERAGE(OFFSET($CC$3,0,0,'Données projet'!$E$12+1,1))-AVERAGE(OFFSET($H$3,0,0,'Données projet'!$E$12+1,1))</f>
        <v>289.19622253646992</v>
      </c>
      <c r="CE75" s="59">
        <f t="shared" si="94"/>
        <v>191.23827338431175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>
        <f>EXP(-LN(2)/35)*CK74+(1-EXP(-LN(2)/35))/(LN(2)/35)*CG75*CH75*VLOOKUP('Données projet'!$B$12,Paramètres!$A$1:$I$89,3,0)*0.475*44/12</f>
        <v>50.382539734356179</v>
      </c>
      <c r="CL75" s="21">
        <f>EXP(-LN(2)/25)*CL74+(1-EXP(-LN(2)/25))/(LN(2)/25)*Calculateur!CG75*Calculateur!CI75*VLOOKUP('Données projet'!$B$12,Paramètres!$A$1:$I$89,3,0)*0.475*44/12</f>
        <v>0</v>
      </c>
      <c r="CM75" s="21">
        <f>EXP(-LN(2)/2)*CM74+(1-EXP(-LN(2)/2))/(LN(2)/2)*CG75*CJ75*VLOOKUP('Données projet'!$B$12,Paramètres!$A$1:$I$89,3,0)*0.475*44/12</f>
        <v>0</v>
      </c>
      <c r="CN75" s="22">
        <f t="shared" si="66"/>
        <v>50.382539734356179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3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42.13559999999999</v>
      </c>
      <c r="D76" s="11">
        <f t="shared" si="86"/>
        <v>12.562963053733787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422.23452181829589</v>
      </c>
      <c r="H76" s="67">
        <f t="shared" si="56"/>
        <v>351.93333065191968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0</v>
      </c>
      <c r="N76" s="13">
        <f>IF('Données projet'!$A$36&gt;35,N75+M76-V75,IF(A76&lt;'Données projet'!$A$36,$K$205^A76,IF(A76='Données projet'!$A$36,'Données projet'!$B$36,N75+M76-V75)))</f>
        <v>304.99999999999983</v>
      </c>
      <c r="O76" s="13">
        <f>N76*VLOOKUP('Données projet'!$B$9,Paramètres!$A$1:$I$89,3,0)*VLOOKUP('Données projet'!$B$9,Paramètres!$A$1:$I$89,5,0)</f>
        <v>275.96399999999983</v>
      </c>
      <c r="P76" s="13">
        <f t="shared" si="87"/>
        <v>66.113366665488854</v>
      </c>
      <c r="Q76" s="20">
        <f t="shared" si="54"/>
        <v>595.78474694239264</v>
      </c>
      <c r="R76" s="59">
        <f t="shared" si="55"/>
        <v>889.11808027572602</v>
      </c>
      <c r="S76" s="59">
        <f ca="1">AVERAGE(OFFSET($R$3,0,0,'Données projet'!$E$9+1,1))-AVERAGE(OFFSET($H$3,0,0,'Données projet'!$E$9+1,1))</f>
        <v>336.59194805061094</v>
      </c>
      <c r="T76" s="59">
        <f t="shared" si="88"/>
        <v>473.66884161123909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3.5715056773526483</v>
      </c>
      <c r="AA76" s="21">
        <f>EXP(-LN(2)/25)*AA75+(1-EXP(-LN(2)/25))/(LN(2)/25)*Calculateur!V76*Calculateur!X76*VLOOKUP('Données projet'!$B$9,Paramètres!$A$1:$I$89,3,0)*0.475*44/12</f>
        <v>0</v>
      </c>
      <c r="AB76" s="21">
        <f>EXP(-LN(2)/2)*AB75+(1-EXP(-LN(2)/2))/(LN(2)/2)*V76*Y76*VLOOKUP('Données projet'!$B$9,Paramètres!$A$1:$I$89,3,0)*0.475*44/12</f>
        <v>0</v>
      </c>
      <c r="AC76" s="22">
        <f t="shared" si="57"/>
        <v>3.5715056773526483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4.2</v>
      </c>
      <c r="AI76" s="13">
        <f>IF('Données projet'!$A$62&gt;35,AI75+AH76-AQ75,IF(A76&lt;'Données projet'!$A$62,$AF$205^A76,IF(A76='Données projet'!$A$62,'Données projet'!$B$62,AI75+AH76-AQ75)))</f>
        <v>315.59999999999991</v>
      </c>
      <c r="AJ76" s="13">
        <f>AI76*VLOOKUP('Données projet'!$B$10,Paramètres!$A$1:$I$89,3,0)*VLOOKUP('Données projet'!$B$10,Paramètres!$A$1:$I$89,5,0)</f>
        <v>206.78111999999996</v>
      </c>
      <c r="AK76" s="13">
        <f t="shared" si="89"/>
        <v>51.231548322431642</v>
      </c>
      <c r="AL76" s="20">
        <f t="shared" si="58"/>
        <v>449.37206399490168</v>
      </c>
      <c r="AM76" s="59">
        <f t="shared" si="59"/>
        <v>742.70539732823499</v>
      </c>
      <c r="AN76" s="59">
        <f ca="1">AVERAGE(OFFSET($AM$3,0,0,'Données projet'!$E$10+1,1))-AVERAGE(OFFSET($H$3,0,0,'Données projet'!$E$10+1,1))</f>
        <v>244.66788784685366</v>
      </c>
      <c r="AO76" s="59">
        <f t="shared" si="90"/>
        <v>252.04429018409274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32.982751526025034</v>
      </c>
      <c r="AV76" s="21">
        <f>EXP(-LN(2)/25)*AV75+(1-EXP(-LN(2)/25))/(LN(2)/25)*Calculateur!AQ76*Calculateur!AS76*VLOOKUP('Données projet'!$B$10,Paramètres!$A$1:$I$89,3,0)*0.475*44/12</f>
        <v>0</v>
      </c>
      <c r="AW76" s="21">
        <f>EXP(-LN(2)/2)*AW75+(1-EXP(-LN(2)/2))/(LN(2)/2)*AQ76*AT76*VLOOKUP('Données projet'!$B$10,Paramètres!$A$1:$I$89,3,0)*0.475*44/12</f>
        <v>0</v>
      </c>
      <c r="AX76" s="21">
        <f t="shared" si="60"/>
        <v>32.982751526025034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5.8</v>
      </c>
      <c r="BD76" s="12">
        <f>IF('Données projet'!$A$88&gt;35,BD75+BC76-BL75,IF(A76&lt;'Données projet'!$A$88,$BA$205^A76,IF(A76='Données projet'!$A$88,'Données projet'!$B$88,BD75+BC76-BL75)))</f>
        <v>249.39999999999986</v>
      </c>
      <c r="BE76" s="13">
        <f>BD76*VLOOKUP('Données projet'!$B$11,Paramètres!$A$1:$I$89,3,0)*VLOOKUP('Données projet'!$B$11,Paramètres!$A$1:$I$89,5,0)</f>
        <v>237.32903999999985</v>
      </c>
      <c r="BF76" s="13">
        <f t="shared" si="91"/>
        <v>57.864486657971952</v>
      </c>
      <c r="BG76" s="20">
        <f t="shared" si="61"/>
        <v>514.12872559596747</v>
      </c>
      <c r="BH76" s="59">
        <f t="shared" si="62"/>
        <v>807.46205892930084</v>
      </c>
      <c r="BI76" s="59">
        <f ca="1">AVERAGE(OFFSET($BH$3,0,0,'Données projet'!$E$11+1,1))-AVERAGE(OFFSET($H$3,0,0,'Données projet'!$E$11+1,1))</f>
        <v>373.51596132356536</v>
      </c>
      <c r="BJ76" s="59">
        <f t="shared" si="92"/>
        <v>417.00150517020114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71.047808678334732</v>
      </c>
      <c r="BQ76" s="21">
        <f>EXP(-LN(2)/25)*BQ75+(1-EXP(-LN(2)/25))/(LN(2)/25)*Calculateur!BL76*Calculateur!BN76*VLOOKUP('Données projet'!$B$11,Paramètres!$A$1:$I$89,3,0)*0.475*44/12</f>
        <v>0</v>
      </c>
      <c r="BR76" s="21">
        <f>EXP(-LN(2)/2)*BR75+(1-EXP(-LN(2)/2))/(LN(2)/2)*BL76*BO76*VLOOKUP('Données projet'!$B$11,Paramètres!$A$1:$I$89,3,0)*0.475*44/12</f>
        <v>0</v>
      </c>
      <c r="BS76" s="22">
        <f t="shared" si="63"/>
        <v>71.047808678334732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6.2</v>
      </c>
      <c r="BY76" s="12">
        <f>IF('Données projet'!$A$114&gt;35,BY75+BX76-CG75,IF(A76&lt;'Données projet'!$A$114,$BV$205^A76,IF(A76='Données projet'!$A$114,'Données projet'!$B$114,BY75+BX76-CG75)))</f>
        <v>239.59999999999994</v>
      </c>
      <c r="BZ76" s="13">
        <f>BY76*VLOOKUP('Données projet'!$B$12,Paramètres!$A$1:$I$89,3,0)*VLOOKUP('Données projet'!$B$12,Paramètres!$A$1:$I$89,5,0)</f>
        <v>216.79007999999996</v>
      </c>
      <c r="CA76" s="13">
        <f t="shared" si="93"/>
        <v>53.416629794462551</v>
      </c>
      <c r="CB76" s="20">
        <f t="shared" si="64"/>
        <v>470.61001955868886</v>
      </c>
      <c r="CC76" s="59">
        <f t="shared" si="65"/>
        <v>763.94335289202218</v>
      </c>
      <c r="CD76" s="59">
        <f ca="1">AVERAGE(OFFSET($CC$3,0,0,'Données projet'!$E$12+1,1))-AVERAGE(OFFSET($H$3,0,0,'Données projet'!$E$12+1,1))</f>
        <v>289.19622253646992</v>
      </c>
      <c r="CE76" s="59">
        <f t="shared" si="94"/>
        <v>191.23827338431175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>
        <f>EXP(-LN(2)/35)*CK75+(1-EXP(-LN(2)/35))/(LN(2)/35)*CG76*CH76*VLOOKUP('Données projet'!$B$12,Paramètres!$A$1:$I$89,3,0)*0.475*44/12</f>
        <v>49.394568860480327</v>
      </c>
      <c r="CL76" s="21">
        <f>EXP(-LN(2)/25)*CL75+(1-EXP(-LN(2)/25))/(LN(2)/25)*Calculateur!CG76*Calculateur!CI76*VLOOKUP('Données projet'!$B$12,Paramètres!$A$1:$I$89,3,0)*0.475*44/12</f>
        <v>0</v>
      </c>
      <c r="CM76" s="21">
        <f>EXP(-LN(2)/2)*CM75+(1-EXP(-LN(2)/2))/(LN(2)/2)*CG76*CJ76*VLOOKUP('Données projet'!$B$12,Paramètres!$A$1:$I$89,3,0)*0.475*44/12</f>
        <v>0</v>
      </c>
      <c r="CN76" s="22">
        <f t="shared" si="66"/>
        <v>49.394568860480327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3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42.712799999999987</v>
      </c>
      <c r="D77" s="11">
        <f t="shared" si="86"/>
        <v>12.7149059147023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427.86299302577208</v>
      </c>
      <c r="H77" s="67">
        <f t="shared" si="56"/>
        <v>353.20325446810648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0</v>
      </c>
      <c r="N77" s="13">
        <f>IF('Données projet'!$A$36&gt;35,N76+M77-V76,IF(A77&lt;'Données projet'!$A$36,$K$205^A77,IF(A77='Données projet'!$A$36,'Données projet'!$B$36,N76+M77-V76)))</f>
        <v>304.99999999999983</v>
      </c>
      <c r="O77" s="13">
        <f>N77*VLOOKUP('Données projet'!$B$9,Paramètres!$A$1:$I$89,3,0)*VLOOKUP('Données projet'!$B$9,Paramètres!$A$1:$I$89,5,0)</f>
        <v>275.96399999999983</v>
      </c>
      <c r="P77" s="13">
        <f t="shared" si="87"/>
        <v>66.113366665488854</v>
      </c>
      <c r="Q77" s="20">
        <f t="shared" si="54"/>
        <v>595.78474694239264</v>
      </c>
      <c r="R77" s="59">
        <f t="shared" si="55"/>
        <v>889.11808027572602</v>
      </c>
      <c r="S77" s="59">
        <f ca="1">AVERAGE(OFFSET($R$3,0,0,'Données projet'!$E$9+1,1))-AVERAGE(OFFSET($H$3,0,0,'Données projet'!$E$9+1,1))</f>
        <v>336.59194805061094</v>
      </c>
      <c r="T77" s="59">
        <f t="shared" si="88"/>
        <v>473.66884161123909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3.5014706294231268</v>
      </c>
      <c r="AA77" s="21">
        <f>EXP(-LN(2)/25)*AA76+(1-EXP(-LN(2)/25))/(LN(2)/25)*Calculateur!V77*Calculateur!X77*VLOOKUP('Données projet'!$B$9,Paramètres!$A$1:$I$89,3,0)*0.475*44/12</f>
        <v>0</v>
      </c>
      <c r="AB77" s="21">
        <f>EXP(-LN(2)/2)*AB76+(1-EXP(-LN(2)/2))/(LN(2)/2)*V77*Y77*VLOOKUP('Données projet'!$B$9,Paramètres!$A$1:$I$89,3,0)*0.475*44/12</f>
        <v>0</v>
      </c>
      <c r="AC77" s="22">
        <f t="shared" si="57"/>
        <v>3.5014706294231268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4.2</v>
      </c>
      <c r="AI77" s="13">
        <f>IF('Données projet'!$A$62&gt;35,AI76+AH77-AQ76,IF(A77&lt;'Données projet'!$A$62,$AF$205^A77,IF(A77='Données projet'!$A$62,'Données projet'!$B$62,AI76+AH77-AQ76)))</f>
        <v>319.7999999999999</v>
      </c>
      <c r="AJ77" s="13">
        <f>AI77*VLOOKUP('Données projet'!$B$10,Paramètres!$A$1:$I$89,3,0)*VLOOKUP('Données projet'!$B$10,Paramètres!$A$1:$I$89,5,0)</f>
        <v>209.53295999999992</v>
      </c>
      <c r="AK77" s="13">
        <f t="shared" si="89"/>
        <v>51.833512486481077</v>
      </c>
      <c r="AL77" s="20">
        <f t="shared" si="58"/>
        <v>455.21327291395437</v>
      </c>
      <c r="AM77" s="59">
        <f t="shared" si="59"/>
        <v>748.54660624728763</v>
      </c>
      <c r="AN77" s="59">
        <f ca="1">AVERAGE(OFFSET($AM$3,0,0,'Données projet'!$E$10+1,1))-AVERAGE(OFFSET($H$3,0,0,'Données projet'!$E$10+1,1))</f>
        <v>244.66788784685366</v>
      </c>
      <c r="AO77" s="59">
        <f t="shared" si="90"/>
        <v>252.04429018409274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32.335979886091678</v>
      </c>
      <c r="AV77" s="21">
        <f>EXP(-LN(2)/25)*AV76+(1-EXP(-LN(2)/25))/(LN(2)/25)*Calculateur!AQ77*Calculateur!AS77*VLOOKUP('Données projet'!$B$10,Paramètres!$A$1:$I$89,3,0)*0.475*44/12</f>
        <v>0</v>
      </c>
      <c r="AW77" s="21">
        <f>EXP(-LN(2)/2)*AW76+(1-EXP(-LN(2)/2))/(LN(2)/2)*AQ77*AT77*VLOOKUP('Données projet'!$B$10,Paramètres!$A$1:$I$89,3,0)*0.475*44/12</f>
        <v>0</v>
      </c>
      <c r="AX77" s="21">
        <f t="shared" si="60"/>
        <v>32.335979886091678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5.8</v>
      </c>
      <c r="BD77" s="12">
        <f>IF('Données projet'!$A$88&gt;35,BD76+BC77-BL76,IF(A77&lt;'Données projet'!$A$88,$BA$205^A77,IF(A77='Données projet'!$A$88,'Données projet'!$B$88,BD76+BC77-BL76)))</f>
        <v>255.19999999999987</v>
      </c>
      <c r="BE77" s="13">
        <f>BD77*VLOOKUP('Données projet'!$B$11,Paramètres!$A$1:$I$89,3,0)*VLOOKUP('Données projet'!$B$11,Paramètres!$A$1:$I$89,5,0)</f>
        <v>242.84831999999986</v>
      </c>
      <c r="BF77" s="13">
        <f t="shared" si="91"/>
        <v>59.051938970892891</v>
      </c>
      <c r="BG77" s="20">
        <f t="shared" si="61"/>
        <v>525.80961770763827</v>
      </c>
      <c r="BH77" s="59">
        <f t="shared" si="62"/>
        <v>819.14295104097164</v>
      </c>
      <c r="BI77" s="59">
        <f ca="1">AVERAGE(OFFSET($BH$3,0,0,'Données projet'!$E$11+1,1))-AVERAGE(OFFSET($H$3,0,0,'Données projet'!$E$11+1,1))</f>
        <v>373.51596132356536</v>
      </c>
      <c r="BJ77" s="59">
        <f t="shared" si="92"/>
        <v>417.00150517020114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69.654604485036913</v>
      </c>
      <c r="BQ77" s="21">
        <f>EXP(-LN(2)/25)*BQ76+(1-EXP(-LN(2)/25))/(LN(2)/25)*Calculateur!BL77*Calculateur!BN77*VLOOKUP('Données projet'!$B$11,Paramètres!$A$1:$I$89,3,0)*0.475*44/12</f>
        <v>0</v>
      </c>
      <c r="BR77" s="21">
        <f>EXP(-LN(2)/2)*BR76+(1-EXP(-LN(2)/2))/(LN(2)/2)*BL77*BO77*VLOOKUP('Données projet'!$B$11,Paramètres!$A$1:$I$89,3,0)*0.475*44/12</f>
        <v>0</v>
      </c>
      <c r="BS77" s="22">
        <f t="shared" si="63"/>
        <v>69.654604485036913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6.2</v>
      </c>
      <c r="BY77" s="12">
        <f>IF('Données projet'!$A$114&gt;35,BY76+BX77-CG76,IF(A77&lt;'Données projet'!$A$114,$BV$205^A77,IF(A77='Données projet'!$A$114,'Données projet'!$B$114,BY76+BX77-CG76)))</f>
        <v>245.79999999999993</v>
      </c>
      <c r="BZ77" s="13">
        <f>BY77*VLOOKUP('Données projet'!$B$12,Paramètres!$A$1:$I$89,3,0)*VLOOKUP('Données projet'!$B$12,Paramètres!$A$1:$I$89,5,0)</f>
        <v>222.3998399999999</v>
      </c>
      <c r="CA77" s="13">
        <f t="shared" si="93"/>
        <v>54.636149281681448</v>
      </c>
      <c r="CB77" s="20">
        <f t="shared" si="64"/>
        <v>482.50434799892832</v>
      </c>
      <c r="CC77" s="59">
        <f t="shared" si="65"/>
        <v>775.83768133226158</v>
      </c>
      <c r="CD77" s="59">
        <f ca="1">AVERAGE(OFFSET($CC$3,0,0,'Données projet'!$E$12+1,1))-AVERAGE(OFFSET($H$3,0,0,'Données projet'!$E$12+1,1))</f>
        <v>289.19622253646992</v>
      </c>
      <c r="CE77" s="59">
        <f t="shared" si="94"/>
        <v>191.23827338431175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>
        <f>EXP(-LN(2)/35)*CK76+(1-EXP(-LN(2)/35))/(LN(2)/35)*CG77*CH77*VLOOKUP('Données projet'!$B$12,Paramètres!$A$1:$I$89,3,0)*0.475*44/12</f>
        <v>48.42597149283845</v>
      </c>
      <c r="CL77" s="21">
        <f>EXP(-LN(2)/25)*CL76+(1-EXP(-LN(2)/25))/(LN(2)/25)*Calculateur!CG77*Calculateur!CI77*VLOOKUP('Données projet'!$B$12,Paramètres!$A$1:$I$89,3,0)*0.475*44/12</f>
        <v>0</v>
      </c>
      <c r="CM77" s="21">
        <f>EXP(-LN(2)/2)*CM76+(1-EXP(-LN(2)/2))/(LN(2)/2)*CG77*CJ77*VLOOKUP('Données projet'!$B$12,Paramètres!$A$1:$I$89,3,0)*0.475*44/12</f>
        <v>0</v>
      </c>
      <c r="CN77" s="22">
        <f t="shared" si="66"/>
        <v>48.42597149283845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3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43.289999999999985</v>
      </c>
      <c r="D78" s="11">
        <f t="shared" si="86"/>
        <v>12.866609953844339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433.48962069634217</v>
      </c>
      <c r="H78" s="67">
        <f t="shared" si="56"/>
        <v>354.47276233627889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0</v>
      </c>
      <c r="N78" s="13">
        <f>IF('Données projet'!$A$36&gt;35,N77+M78-V77,IF(A78&lt;'Données projet'!$A$36,$K$205^A78,IF(A78='Données projet'!$A$36,'Données projet'!$B$36,N77+M78-V77)))</f>
        <v>304.99999999999983</v>
      </c>
      <c r="O78" s="13">
        <f>N78*VLOOKUP('Données projet'!$B$9,Paramètres!$A$1:$I$89,3,0)*VLOOKUP('Données projet'!$B$9,Paramètres!$A$1:$I$89,5,0)</f>
        <v>275.96399999999983</v>
      </c>
      <c r="P78" s="13">
        <f t="shared" si="87"/>
        <v>66.113366665488854</v>
      </c>
      <c r="Q78" s="20">
        <f t="shared" si="54"/>
        <v>595.78474694239264</v>
      </c>
      <c r="R78" s="59">
        <f t="shared" si="55"/>
        <v>889.11808027572602</v>
      </c>
      <c r="S78" s="59">
        <f ca="1">AVERAGE(OFFSET($R$3,0,0,'Données projet'!$E$9+1,1))-AVERAGE(OFFSET($H$3,0,0,'Données projet'!$E$9+1,1))</f>
        <v>336.59194805061094</v>
      </c>
      <c r="T78" s="59">
        <f t="shared" si="88"/>
        <v>473.66884161123909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3.4328089260663419</v>
      </c>
      <c r="AA78" s="21">
        <f>EXP(-LN(2)/25)*AA77+(1-EXP(-LN(2)/25))/(LN(2)/25)*Calculateur!V78*Calculateur!X78*VLOOKUP('Données projet'!$B$9,Paramètres!$A$1:$I$89,3,0)*0.475*44/12</f>
        <v>0</v>
      </c>
      <c r="AB78" s="21">
        <f>EXP(-LN(2)/2)*AB77+(1-EXP(-LN(2)/2))/(LN(2)/2)*V78*Y78*VLOOKUP('Données projet'!$B$9,Paramètres!$A$1:$I$89,3,0)*0.475*44/12</f>
        <v>0</v>
      </c>
      <c r="AC78" s="22">
        <f t="shared" si="57"/>
        <v>3.4328089260663419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>
        <f>VLOOKUP(A78,'Données projet'!$A$61:$I$81,2,0)</f>
        <v>324</v>
      </c>
      <c r="AG78" s="12">
        <f>VLOOKUP(A78,'Données projet'!$A$61:$I$81,9,0)</f>
        <v>4.2</v>
      </c>
      <c r="AH78" s="12">
        <f t="array" ref="AH78">INDEX(AG:AG,MIN(IF(ISNUMBER(AG78:AG274),ROW(AG78:AG274),"")))</f>
        <v>4.2</v>
      </c>
      <c r="AI78" s="13">
        <f>IF('Données projet'!$A$62&gt;35,AI77+AH78-AQ77,IF(A78&lt;'Données projet'!$A$62,$AF$205^A78,IF(A78='Données projet'!$A$62,'Données projet'!$B$62,AI77+AH78-AQ77)))</f>
        <v>323.99999999999989</v>
      </c>
      <c r="AJ78" s="13">
        <f>AI78*VLOOKUP('Données projet'!$B$10,Paramètres!$A$1:$I$89,3,0)*VLOOKUP('Données projet'!$B$10,Paramètres!$A$1:$I$89,5,0)</f>
        <v>212.28479999999993</v>
      </c>
      <c r="AK78" s="13">
        <f t="shared" si="89"/>
        <v>52.434557099704143</v>
      </c>
      <c r="AL78" s="20">
        <f t="shared" si="58"/>
        <v>461.05288028198464</v>
      </c>
      <c r="AM78" s="59">
        <f t="shared" si="59"/>
        <v>754.38621361531796</v>
      </c>
      <c r="AN78" s="59">
        <f ca="1">AVERAGE(OFFSET($AM$3,0,0,'Données projet'!$E$10+1,1))-AVERAGE(OFFSET($H$3,0,0,'Données projet'!$E$10+1,1))</f>
        <v>244.66788784685366</v>
      </c>
      <c r="AO78" s="59">
        <f t="shared" si="90"/>
        <v>252.04429018409274</v>
      </c>
      <c r="AP78" s="15">
        <f>IF(ISNA(VLOOKUP(A78,'Données projet'!$A$61:$I$81,3,0)),0,VLOOKUP(A78,'Données projet'!$A$61:$I$81,3,0))</f>
        <v>13</v>
      </c>
      <c r="AQ78" s="15">
        <f>IF(ISNA(VLOOKUP(A78,'Données projet'!$A$61:$I$81,4,0)),0,VLOOKUP(A78,'Données projet'!$A$61:$I$81,4,0))</f>
        <v>12</v>
      </c>
      <c r="AR78" s="16">
        <f>IF(ISNA(VLOOKUP(A78,'Données projet'!$A$61:$I$81,5,0)),0%,VLOOKUP(A78,'Données projet'!$A$61:$I$81,5,0)*VLOOKUP('Données projet'!$B$10,Paramètres!$A$1:$I$89,7,0))</f>
        <v>0.43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35.439300677702811</v>
      </c>
      <c r="AV78" s="21">
        <f>EXP(-LN(2)/25)*AV77+(1-EXP(-LN(2)/25))/(LN(2)/25)*Calculateur!AQ78*Calculateur!AS78*VLOOKUP('Données projet'!$B$10,Paramètres!$A$1:$I$89,3,0)*0.475*44/12</f>
        <v>0</v>
      </c>
      <c r="AW78" s="21">
        <f>EXP(-LN(2)/2)*AW77+(1-EXP(-LN(2)/2))/(LN(2)/2)*AQ78*AT78*VLOOKUP('Données projet'!$B$10,Paramètres!$A$1:$I$89,3,0)*0.475*44/12</f>
        <v>0</v>
      </c>
      <c r="AX78" s="21">
        <f t="shared" si="60"/>
        <v>35.439300677702811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>
        <f>VLOOKUP(A78,'Données projet'!$A$87:$I$107,2,0)</f>
        <v>261</v>
      </c>
      <c r="BB78" s="12">
        <f>VLOOKUP(A78,'Données projet'!$A$87:$I$107,9,0)</f>
        <v>5.8</v>
      </c>
      <c r="BC78" s="12">
        <f t="array" ref="BC78">INDEX(BB:BB,MIN(IF(ISNUMBER(BB78:BB274),ROW(BB78:BB274),"")))</f>
        <v>5.8</v>
      </c>
      <c r="BD78" s="12">
        <f>IF('Données projet'!$A$88&gt;35,BD77+BC78-BL77,IF(A78&lt;'Données projet'!$A$88,$BA$205^A78,IF(A78='Données projet'!$A$88,'Données projet'!$B$88,BD77+BC78-BL77)))</f>
        <v>260.99999999999989</v>
      </c>
      <c r="BE78" s="13">
        <f>BD78*VLOOKUP('Données projet'!$B$11,Paramètres!$A$1:$I$89,3,0)*VLOOKUP('Données projet'!$B$11,Paramètres!$A$1:$I$89,5,0)</f>
        <v>248.3675999999999</v>
      </c>
      <c r="BF78" s="13">
        <f t="shared" si="91"/>
        <v>60.236253798706286</v>
      </c>
      <c r="BG78" s="20">
        <f t="shared" si="61"/>
        <v>537.48504536607982</v>
      </c>
      <c r="BH78" s="59">
        <f t="shared" si="62"/>
        <v>830.81837869941319</v>
      </c>
      <c r="BI78" s="59">
        <f ca="1">AVERAGE(OFFSET($BH$3,0,0,'Données projet'!$E$11+1,1))-AVERAGE(OFFSET($H$3,0,0,'Données projet'!$E$11+1,1))</f>
        <v>373.51596132356536</v>
      </c>
      <c r="BJ78" s="59">
        <f t="shared" si="92"/>
        <v>417.00150517020114</v>
      </c>
      <c r="BK78" s="15">
        <f>IF(ISNA(VLOOKUP(A78,'Données projet'!$A$87:$I$107,3,0)),0,VLOOKUP(A78,'Données projet'!$A$87:$I$107,3,0))</f>
        <v>14</v>
      </c>
      <c r="BL78" s="15">
        <f>IF(ISNA(VLOOKUP(A78,'Données projet'!$A$87:$I$107,4,0)),0,VLOOKUP(A78,'Données projet'!$A$87:$I$107,4,0))</f>
        <v>27</v>
      </c>
      <c r="BM78" s="16">
        <f>IF(ISNA(VLOOKUP(A78,'Données projet'!$A$87:$I$107,5,0)),0%,VLOOKUP(A78,'Données projet'!$A$87:$I$107,5,0)*VLOOKUP('Données projet'!$B$11,Paramètres!$A$1:$I$89,7,0))</f>
        <v>0.43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80.5020409450279</v>
      </c>
      <c r="BQ78" s="21">
        <f>EXP(-LN(2)/25)*BQ77+(1-EXP(-LN(2)/25))/(LN(2)/25)*Calculateur!BL78*Calculateur!BN78*VLOOKUP('Données projet'!$B$11,Paramètres!$A$1:$I$89,3,0)*0.475*44/12</f>
        <v>0</v>
      </c>
      <c r="BR78" s="21">
        <f>EXP(-LN(2)/2)*BR77+(1-EXP(-LN(2)/2))/(LN(2)/2)*BL78*BO78*VLOOKUP('Données projet'!$B$11,Paramètres!$A$1:$I$89,3,0)*0.475*44/12</f>
        <v>0</v>
      </c>
      <c r="BS78" s="22">
        <f t="shared" si="63"/>
        <v>80.5020409450279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>
        <f>VLOOKUP(A78,'Données projet'!$A$113:$I$133,2,0)</f>
        <v>252</v>
      </c>
      <c r="BW78" s="12">
        <f>VLOOKUP(A78,'Données projet'!$A$113:$I$133,9,0)</f>
        <v>6.2</v>
      </c>
      <c r="BX78" s="12">
        <f t="array" ref="BX78">INDEX(BW:BW,MIN(IF(ISNUMBER(BW78:BW274),ROW(BW78:BW274),"")))</f>
        <v>6.2</v>
      </c>
      <c r="BY78" s="12">
        <f>IF('Données projet'!$A$114&gt;35,BY77+BX78-CG77,IF(A78&lt;'Données projet'!$A$114,$BV$205^A78,IF(A78='Données projet'!$A$114,'Données projet'!$B$114,BY77+BX78-CG77)))</f>
        <v>251.99999999999991</v>
      </c>
      <c r="BZ78" s="13">
        <f>BY78*VLOOKUP('Données projet'!$B$12,Paramètres!$A$1:$I$89,3,0)*VLOOKUP('Données projet'!$B$12,Paramètres!$A$1:$I$89,5,0)</f>
        <v>228.00959999999992</v>
      </c>
      <c r="CA78" s="13">
        <f t="shared" si="93"/>
        <v>55.852093054619829</v>
      </c>
      <c r="CB78" s="20">
        <f t="shared" si="64"/>
        <v>494.3924487367961</v>
      </c>
      <c r="CC78" s="59">
        <f t="shared" si="65"/>
        <v>787.72578207012941</v>
      </c>
      <c r="CD78" s="59">
        <f ca="1">AVERAGE(OFFSET($CC$3,0,0,'Données projet'!$E$12+1,1))-AVERAGE(OFFSET($H$3,0,0,'Données projet'!$E$12+1,1))</f>
        <v>289.19622253646992</v>
      </c>
      <c r="CE78" s="59">
        <f t="shared" si="94"/>
        <v>191.23827338431175</v>
      </c>
      <c r="CF78" s="15">
        <f>IF(ISNA(VLOOKUP(A78,'Données projet'!$A$113:$I$133,3,0)),0,VLOOKUP(A78,'Données projet'!$A$113:$I$133,3,0))</f>
        <v>11</v>
      </c>
      <c r="CG78" s="15">
        <f>IF(ISNA(VLOOKUP(A78,'Données projet'!$A$113:$I$133,4,0)),0,VLOOKUP(A78,'Données projet'!$A$113:$I$133,4,0))</f>
        <v>21</v>
      </c>
      <c r="CH78" s="16">
        <f>IF(ISNA(VLOOKUP(A78,'Données projet'!$A$113:$I$133,5,0)),0%,VLOOKUP(A78,'Données projet'!$A$113:$I$133,5,0)*VLOOKUP('Données projet'!$B$12,Paramètres!$A$1:$I$89,7,0))</f>
        <v>0.43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>
        <f>EXP(-LN(2)/35)*CK77+(1-EXP(-LN(2)/35))/(LN(2)/35)*CG78*CH78*VLOOKUP('Données projet'!$B$12,Paramètres!$A$1:$I$89,3,0)*0.475*44/12</f>
        <v>56.508441011384726</v>
      </c>
      <c r="CL78" s="21">
        <f>EXP(-LN(2)/25)*CL77+(1-EXP(-LN(2)/25))/(LN(2)/25)*Calculateur!CG78*Calculateur!CI78*VLOOKUP('Données projet'!$B$12,Paramètres!$A$1:$I$89,3,0)*0.475*44/12</f>
        <v>0</v>
      </c>
      <c r="CM78" s="21">
        <f>EXP(-LN(2)/2)*CM77+(1-EXP(-LN(2)/2))/(LN(2)/2)*CG78*CJ78*VLOOKUP('Données projet'!$B$12,Paramètres!$A$1:$I$89,3,0)*0.475*44/12</f>
        <v>0</v>
      </c>
      <c r="CN78" s="22">
        <f t="shared" si="66"/>
        <v>56.508441011384726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3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43.867199999999983</v>
      </c>
      <c r="D79" s="11">
        <f t="shared" si="86"/>
        <v>13.018078723556957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439.1144322520185</v>
      </c>
      <c r="H79" s="67">
        <f t="shared" si="56"/>
        <v>355.74186044352837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0</v>
      </c>
      <c r="N79" s="13">
        <f>IF('Données projet'!$A$36&gt;35,N78+M79-V78,IF(A79&lt;'Données projet'!$A$36,$K$205^A79,IF(A79='Données projet'!$A$36,'Données projet'!$B$36,N78+M79-V78)))</f>
        <v>304.99999999999983</v>
      </c>
      <c r="O79" s="13">
        <f>N79*VLOOKUP('Données projet'!$B$9,Paramètres!$A$1:$I$89,3,0)*VLOOKUP('Données projet'!$B$9,Paramètres!$A$1:$I$89,5,0)</f>
        <v>275.96399999999983</v>
      </c>
      <c r="P79" s="13">
        <f t="shared" si="87"/>
        <v>66.113366665488854</v>
      </c>
      <c r="Q79" s="20">
        <f t="shared" si="54"/>
        <v>595.78474694239264</v>
      </c>
      <c r="R79" s="59">
        <f t="shared" si="55"/>
        <v>889.11808027572602</v>
      </c>
      <c r="S79" s="59">
        <f ca="1">AVERAGE(OFFSET($R$3,0,0,'Données projet'!$E$9+1,1))-AVERAGE(OFFSET($H$3,0,0,'Données projet'!$E$9+1,1))</f>
        <v>336.59194805061094</v>
      </c>
      <c r="T79" s="59">
        <f t="shared" si="88"/>
        <v>473.66884161123909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3.3654936368328796</v>
      </c>
      <c r="AA79" s="21">
        <f>EXP(-LN(2)/25)*AA78+(1-EXP(-LN(2)/25))/(LN(2)/25)*Calculateur!V79*Calculateur!X79*VLOOKUP('Données projet'!$B$9,Paramètres!$A$1:$I$89,3,0)*0.475*44/12</f>
        <v>0</v>
      </c>
      <c r="AB79" s="21">
        <f>EXP(-LN(2)/2)*AB78+(1-EXP(-LN(2)/2))/(LN(2)/2)*V79*Y79*VLOOKUP('Données projet'!$B$9,Paramètres!$A$1:$I$89,3,0)*0.475*44/12</f>
        <v>0</v>
      </c>
      <c r="AC79" s="22">
        <f t="shared" si="57"/>
        <v>3.3654936368328796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3.6</v>
      </c>
      <c r="AI79" s="13">
        <f>IF('Données projet'!$A$62&gt;35,AI78+AH79-AQ78,IF(A79&lt;'Données projet'!$A$62,$AF$205^A79,IF(A79='Données projet'!$A$62,'Données projet'!$B$62,AI78+AH79-AQ78)))</f>
        <v>315.59999999999991</v>
      </c>
      <c r="AJ79" s="13">
        <f>AI79*VLOOKUP('Données projet'!$B$10,Paramètres!$A$1:$I$89,3,0)*VLOOKUP('Données projet'!$B$10,Paramètres!$A$1:$I$89,5,0)</f>
        <v>206.78111999999996</v>
      </c>
      <c r="AK79" s="13">
        <f t="shared" si="89"/>
        <v>51.231548322431642</v>
      </c>
      <c r="AL79" s="20">
        <f t="shared" si="58"/>
        <v>449.37206399490168</v>
      </c>
      <c r="AM79" s="59">
        <f t="shared" si="59"/>
        <v>742.70539732823499</v>
      </c>
      <c r="AN79" s="59">
        <f ca="1">AVERAGE(OFFSET($AM$3,0,0,'Données projet'!$E$10+1,1))-AVERAGE(OFFSET($H$3,0,0,'Données projet'!$E$10+1,1))</f>
        <v>244.66788784685366</v>
      </c>
      <c r="AO79" s="59">
        <f t="shared" si="90"/>
        <v>252.04429018409274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34.744357607252084</v>
      </c>
      <c r="AV79" s="21">
        <f>EXP(-LN(2)/25)*AV78+(1-EXP(-LN(2)/25))/(LN(2)/25)*Calculateur!AQ79*Calculateur!AS79*VLOOKUP('Données projet'!$B$10,Paramètres!$A$1:$I$89,3,0)*0.475*44/12</f>
        <v>0</v>
      </c>
      <c r="AW79" s="21">
        <f>EXP(-LN(2)/2)*AW78+(1-EXP(-LN(2)/2))/(LN(2)/2)*AQ79*AT79*VLOOKUP('Données projet'!$B$10,Paramètres!$A$1:$I$89,3,0)*0.475*44/12</f>
        <v>0</v>
      </c>
      <c r="AX79" s="21">
        <f t="shared" si="60"/>
        <v>34.744357607252084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5.6</v>
      </c>
      <c r="BD79" s="12">
        <f>IF('Données projet'!$A$88&gt;35,BD78+BC79-BL78,IF(A79&lt;'Données projet'!$A$88,$BA$205^A79,IF(A79='Données projet'!$A$88,'Données projet'!$B$88,BD78+BC79-BL78)))</f>
        <v>239.59999999999991</v>
      </c>
      <c r="BE79" s="13">
        <f>BD79*VLOOKUP('Données projet'!$B$11,Paramètres!$A$1:$I$89,3,0)*VLOOKUP('Données projet'!$B$11,Paramètres!$A$1:$I$89,5,0)</f>
        <v>228.00335999999993</v>
      </c>
      <c r="BF79" s="13">
        <f t="shared" si="91"/>
        <v>55.850742452867522</v>
      </c>
      <c r="BG79" s="20">
        <f t="shared" si="61"/>
        <v>494.37922843874412</v>
      </c>
      <c r="BH79" s="59">
        <f t="shared" si="62"/>
        <v>787.71256177207738</v>
      </c>
      <c r="BI79" s="59">
        <f ca="1">AVERAGE(OFFSET($BH$3,0,0,'Données projet'!$E$11+1,1))-AVERAGE(OFFSET($H$3,0,0,'Données projet'!$E$11+1,1))</f>
        <v>373.51596132356536</v>
      </c>
      <c r="BJ79" s="59">
        <f t="shared" si="92"/>
        <v>417.00150517020114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78.923445023492519</v>
      </c>
      <c r="BQ79" s="21">
        <f>EXP(-LN(2)/25)*BQ78+(1-EXP(-LN(2)/25))/(LN(2)/25)*Calculateur!BL79*Calculateur!BN79*VLOOKUP('Données projet'!$B$11,Paramètres!$A$1:$I$89,3,0)*0.475*44/12</f>
        <v>0</v>
      </c>
      <c r="BR79" s="21">
        <f>EXP(-LN(2)/2)*BR78+(1-EXP(-LN(2)/2))/(LN(2)/2)*BL79*BO79*VLOOKUP('Données projet'!$B$11,Paramètres!$A$1:$I$89,3,0)*0.475*44/12</f>
        <v>0</v>
      </c>
      <c r="BS79" s="22">
        <f t="shared" si="63"/>
        <v>78.923445023492519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6</v>
      </c>
      <c r="BY79" s="12">
        <f>IF('Données projet'!$A$114&gt;35,BY78+BX79-CG78,IF(A79&lt;'Données projet'!$A$114,$BV$205^A79,IF(A79='Données projet'!$A$114,'Données projet'!$B$114,BY78+BX79-CG78)))</f>
        <v>236.99999999999989</v>
      </c>
      <c r="BZ79" s="13">
        <f>BY79*VLOOKUP('Données projet'!$B$12,Paramètres!$A$1:$I$89,3,0)*VLOOKUP('Données projet'!$B$12,Paramètres!$A$1:$I$89,5,0)</f>
        <v>214.43759999999989</v>
      </c>
      <c r="CA79" s="13">
        <f t="shared" si="93"/>
        <v>52.904129603372375</v>
      </c>
      <c r="CB79" s="20">
        <f t="shared" si="64"/>
        <v>465.62017905920658</v>
      </c>
      <c r="CC79" s="59">
        <f t="shared" si="65"/>
        <v>758.95351239253989</v>
      </c>
      <c r="CD79" s="59">
        <f ca="1">AVERAGE(OFFSET($CC$3,0,0,'Données projet'!$E$12+1,1))-AVERAGE(OFFSET($H$3,0,0,'Données projet'!$E$12+1,1))</f>
        <v>289.19622253646992</v>
      </c>
      <c r="CE79" s="59">
        <f t="shared" si="94"/>
        <v>191.23827338431175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>
        <f>EXP(-LN(2)/35)*CK78+(1-EXP(-LN(2)/35))/(LN(2)/35)*CG79*CH79*VLOOKUP('Données projet'!$B$12,Paramètres!$A$1:$I$89,3,0)*0.475*44/12</f>
        <v>55.400344949897182</v>
      </c>
      <c r="CL79" s="21">
        <f>EXP(-LN(2)/25)*CL78+(1-EXP(-LN(2)/25))/(LN(2)/25)*Calculateur!CG79*Calculateur!CI79*VLOOKUP('Données projet'!$B$12,Paramètres!$A$1:$I$89,3,0)*0.475*44/12</f>
        <v>0</v>
      </c>
      <c r="CM79" s="21">
        <f>EXP(-LN(2)/2)*CM78+(1-EXP(-LN(2)/2))/(LN(2)/2)*CG79*CJ79*VLOOKUP('Données projet'!$B$12,Paramètres!$A$1:$I$89,3,0)*0.475*44/12</f>
        <v>0</v>
      </c>
      <c r="CN79" s="22">
        <f t="shared" si="66"/>
        <v>55.400344949897182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3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44.44439999999998</v>
      </c>
      <c r="D80" s="11">
        <f t="shared" si="86"/>
        <v>13.169315677379528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444.7374543517015</v>
      </c>
      <c r="H80" s="67">
        <f t="shared" si="56"/>
        <v>357.01055480476936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0</v>
      </c>
      <c r="N80" s="13">
        <f>IF('Données projet'!$A$36&gt;35,N79+M80-V79,IF(A80&lt;'Données projet'!$A$36,$K$205^A80,IF(A80='Données projet'!$A$36,'Données projet'!$B$36,N79+M80-V79)))</f>
        <v>304.99999999999983</v>
      </c>
      <c r="O80" s="13">
        <f>N80*VLOOKUP('Données projet'!$B$9,Paramètres!$A$1:$I$89,3,0)*VLOOKUP('Données projet'!$B$9,Paramètres!$A$1:$I$89,5,0)</f>
        <v>275.96399999999983</v>
      </c>
      <c r="P80" s="13">
        <f t="shared" si="87"/>
        <v>66.113366665488854</v>
      </c>
      <c r="Q80" s="20">
        <f t="shared" si="54"/>
        <v>595.78474694239264</v>
      </c>
      <c r="R80" s="59">
        <f t="shared" si="55"/>
        <v>889.11808027572602</v>
      </c>
      <c r="S80" s="59">
        <f ca="1">AVERAGE(OFFSET($R$3,0,0,'Données projet'!$E$9+1,1))-AVERAGE(OFFSET($H$3,0,0,'Données projet'!$E$9+1,1))</f>
        <v>336.59194805061094</v>
      </c>
      <c r="T80" s="59">
        <f t="shared" si="88"/>
        <v>473.66884161123909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3.2994983593630134</v>
      </c>
      <c r="AA80" s="21">
        <f>EXP(-LN(2)/25)*AA79+(1-EXP(-LN(2)/25))/(LN(2)/25)*Calculateur!V80*Calculateur!X80*VLOOKUP('Données projet'!$B$9,Paramètres!$A$1:$I$89,3,0)*0.475*44/12</f>
        <v>0</v>
      </c>
      <c r="AB80" s="21">
        <f>EXP(-LN(2)/2)*AB79+(1-EXP(-LN(2)/2))/(LN(2)/2)*V80*Y80*VLOOKUP('Données projet'!$B$9,Paramètres!$A$1:$I$89,3,0)*0.475*44/12</f>
        <v>0</v>
      </c>
      <c r="AC80" s="22">
        <f t="shared" si="57"/>
        <v>3.2994983593630134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3.6</v>
      </c>
      <c r="AI80" s="13">
        <f>IF('Données projet'!$A$62&gt;35,AI79+AH80-AQ79,IF(A80&lt;'Données projet'!$A$62,$AF$205^A80,IF(A80='Données projet'!$A$62,'Données projet'!$B$62,AI79+AH80-AQ79)))</f>
        <v>319.19999999999993</v>
      </c>
      <c r="AJ80" s="13">
        <f>AI80*VLOOKUP('Données projet'!$B$10,Paramètres!$A$1:$I$89,3,0)*VLOOKUP('Données projet'!$B$10,Paramètres!$A$1:$I$89,5,0)</f>
        <v>209.13983999999996</v>
      </c>
      <c r="AK80" s="13">
        <f t="shared" si="89"/>
        <v>51.747574219710266</v>
      </c>
      <c r="AL80" s="20">
        <f t="shared" si="58"/>
        <v>454.37891309932866</v>
      </c>
      <c r="AM80" s="59">
        <f t="shared" si="59"/>
        <v>747.71224643266191</v>
      </c>
      <c r="AN80" s="59">
        <f ca="1">AVERAGE(OFFSET($AM$3,0,0,'Données projet'!$E$10+1,1))-AVERAGE(OFFSET($H$3,0,0,'Données projet'!$E$10+1,1))</f>
        <v>244.66788784685366</v>
      </c>
      <c r="AO80" s="59">
        <f t="shared" si="90"/>
        <v>252.04429018409274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34.063041946539478</v>
      </c>
      <c r="AV80" s="21">
        <f>EXP(-LN(2)/25)*AV79+(1-EXP(-LN(2)/25))/(LN(2)/25)*Calculateur!AQ80*Calculateur!AS80*VLOOKUP('Données projet'!$B$10,Paramètres!$A$1:$I$89,3,0)*0.475*44/12</f>
        <v>0</v>
      </c>
      <c r="AW80" s="21">
        <f>EXP(-LN(2)/2)*AW79+(1-EXP(-LN(2)/2))/(LN(2)/2)*AQ80*AT80*VLOOKUP('Données projet'!$B$10,Paramètres!$A$1:$I$89,3,0)*0.475*44/12</f>
        <v>0</v>
      </c>
      <c r="AX80" s="21">
        <f t="shared" si="60"/>
        <v>34.063041946539478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5.6</v>
      </c>
      <c r="BD80" s="12">
        <f>IF('Données projet'!$A$88&gt;35,BD79+BC80-BL79,IF(A80&lt;'Données projet'!$A$88,$BA$205^A80,IF(A80='Données projet'!$A$88,'Données projet'!$B$88,BD79+BC80-BL79)))</f>
        <v>245.1999999999999</v>
      </c>
      <c r="BE80" s="13">
        <f>BD80*VLOOKUP('Données projet'!$B$11,Paramètres!$A$1:$I$89,3,0)*VLOOKUP('Données projet'!$B$11,Paramètres!$A$1:$I$89,5,0)</f>
        <v>233.33231999999992</v>
      </c>
      <c r="BF80" s="13">
        <f t="shared" si="91"/>
        <v>57.00260271280834</v>
      </c>
      <c r="BG80" s="20">
        <f t="shared" si="61"/>
        <v>505.66665705814108</v>
      </c>
      <c r="BH80" s="59">
        <f t="shared" si="62"/>
        <v>798.9999903914744</v>
      </c>
      <c r="BI80" s="59">
        <f ca="1">AVERAGE(OFFSET($BH$3,0,0,'Données projet'!$E$11+1,1))-AVERAGE(OFFSET($H$3,0,0,'Données projet'!$E$11+1,1))</f>
        <v>373.51596132356536</v>
      </c>
      <c r="BJ80" s="59">
        <f t="shared" si="92"/>
        <v>417.00150517020114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77.375804405130012</v>
      </c>
      <c r="BQ80" s="21">
        <f>EXP(-LN(2)/25)*BQ79+(1-EXP(-LN(2)/25))/(LN(2)/25)*Calculateur!BL80*Calculateur!BN80*VLOOKUP('Données projet'!$B$11,Paramètres!$A$1:$I$89,3,0)*0.475*44/12</f>
        <v>0</v>
      </c>
      <c r="BR80" s="21">
        <f>EXP(-LN(2)/2)*BR79+(1-EXP(-LN(2)/2))/(LN(2)/2)*BL80*BO80*VLOOKUP('Données projet'!$B$11,Paramètres!$A$1:$I$89,3,0)*0.475*44/12</f>
        <v>0</v>
      </c>
      <c r="BS80" s="22">
        <f t="shared" si="63"/>
        <v>77.375804405130012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6</v>
      </c>
      <c r="BY80" s="12">
        <f>IF('Données projet'!$A$114&gt;35,BY79+BX80-CG79,IF(A80&lt;'Données projet'!$A$114,$BV$205^A80,IF(A80='Données projet'!$A$114,'Données projet'!$B$114,BY79+BX80-CG79)))</f>
        <v>242.99999999999989</v>
      </c>
      <c r="BZ80" s="13">
        <f>BY80*VLOOKUP('Données projet'!$B$12,Paramètres!$A$1:$I$89,3,0)*VLOOKUP('Données projet'!$B$12,Paramètres!$A$1:$I$89,5,0)</f>
        <v>219.86639999999989</v>
      </c>
      <c r="CA80" s="13">
        <f t="shared" si="93"/>
        <v>54.085847394182416</v>
      </c>
      <c r="CB80" s="20">
        <f t="shared" si="64"/>
        <v>477.13349754486745</v>
      </c>
      <c r="CC80" s="59">
        <f t="shared" si="65"/>
        <v>770.46683087820077</v>
      </c>
      <c r="CD80" s="59">
        <f ca="1">AVERAGE(OFFSET($CC$3,0,0,'Données projet'!$E$12+1,1))-AVERAGE(OFFSET($H$3,0,0,'Données projet'!$E$12+1,1))</f>
        <v>289.19622253646992</v>
      </c>
      <c r="CE80" s="59">
        <f t="shared" si="94"/>
        <v>191.23827338431175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>
        <f>EXP(-LN(2)/35)*CK79+(1-EXP(-LN(2)/35))/(LN(2)/35)*CG80*CH80*VLOOKUP('Données projet'!$B$12,Paramètres!$A$1:$I$89,3,0)*0.475*44/12</f>
        <v>54.313977976303548</v>
      </c>
      <c r="CL80" s="21">
        <f>EXP(-LN(2)/25)*CL79+(1-EXP(-LN(2)/25))/(LN(2)/25)*Calculateur!CG80*Calculateur!CI80*VLOOKUP('Données projet'!$B$12,Paramètres!$A$1:$I$89,3,0)*0.475*44/12</f>
        <v>0</v>
      </c>
      <c r="CM80" s="21">
        <f>EXP(-LN(2)/2)*CM79+(1-EXP(-LN(2)/2))/(LN(2)/2)*CG80*CJ80*VLOOKUP('Données projet'!$B$12,Paramètres!$A$1:$I$89,3,0)*0.475*44/12</f>
        <v>0</v>
      </c>
      <c r="CN80" s="22">
        <f t="shared" si="66"/>
        <v>54.313977976303548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3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45.021599999999978</v>
      </c>
      <c r="D81" s="11">
        <f t="shared" si="86"/>
        <v>13.3203241739922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450.35871292204484</v>
      </c>
      <c r="H81" s="67">
        <f t="shared" si="56"/>
        <v>358.27885126970307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0</v>
      </c>
      <c r="N81" s="13">
        <f>IF('Données projet'!$A$36&gt;35,N80+M81-V80,IF(A81&lt;'Données projet'!$A$36,$K$205^A81,IF(A81='Données projet'!$A$36,'Données projet'!$B$36,N80+M81-V80)))</f>
        <v>304.99999999999983</v>
      </c>
      <c r="O81" s="13">
        <f>N81*VLOOKUP('Données projet'!$B$9,Paramètres!$A$1:$I$89,3,0)*VLOOKUP('Données projet'!$B$9,Paramètres!$A$1:$I$89,5,0)</f>
        <v>275.96399999999983</v>
      </c>
      <c r="P81" s="13">
        <f t="shared" si="87"/>
        <v>66.113366665488854</v>
      </c>
      <c r="Q81" s="20">
        <f t="shared" si="54"/>
        <v>595.78474694239264</v>
      </c>
      <c r="R81" s="59">
        <f t="shared" si="55"/>
        <v>889.11808027572602</v>
      </c>
      <c r="S81" s="59">
        <f ca="1">AVERAGE(OFFSET($R$3,0,0,'Données projet'!$E$9+1,1))-AVERAGE(OFFSET($H$3,0,0,'Données projet'!$E$9+1,1))</f>
        <v>336.59194805061094</v>
      </c>
      <c r="T81" s="59">
        <f t="shared" si="88"/>
        <v>473.66884161123909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3.2347972090311865</v>
      </c>
      <c r="AA81" s="21">
        <f>EXP(-LN(2)/25)*AA80+(1-EXP(-LN(2)/25))/(LN(2)/25)*Calculateur!V81*Calculateur!X81*VLOOKUP('Données projet'!$B$9,Paramètres!$A$1:$I$89,3,0)*0.475*44/12</f>
        <v>0</v>
      </c>
      <c r="AB81" s="21">
        <f>EXP(-LN(2)/2)*AB80+(1-EXP(-LN(2)/2))/(LN(2)/2)*V81*Y81*VLOOKUP('Données projet'!$B$9,Paramètres!$A$1:$I$89,3,0)*0.475*44/12</f>
        <v>0</v>
      </c>
      <c r="AC81" s="22">
        <f t="shared" si="57"/>
        <v>3.2347972090311865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3.6</v>
      </c>
      <c r="AI81" s="13">
        <f>IF('Données projet'!$A$62&gt;35,AI80+AH81-AQ80,IF(A81&lt;'Données projet'!$A$62,$AF$205^A81,IF(A81='Données projet'!$A$62,'Données projet'!$B$62,AI80+AH81-AQ80)))</f>
        <v>322.79999999999995</v>
      </c>
      <c r="AJ81" s="13">
        <f>AI81*VLOOKUP('Données projet'!$B$10,Paramètres!$A$1:$I$89,3,0)*VLOOKUP('Données projet'!$B$10,Paramètres!$A$1:$I$89,5,0)</f>
        <v>211.49855999999994</v>
      </c>
      <c r="AK81" s="13">
        <f t="shared" si="89"/>
        <v>52.262923116788812</v>
      </c>
      <c r="AL81" s="20">
        <f t="shared" si="58"/>
        <v>459.38458309507376</v>
      </c>
      <c r="AM81" s="59">
        <f t="shared" si="59"/>
        <v>752.71791642840708</v>
      </c>
      <c r="AN81" s="59">
        <f ca="1">AVERAGE(OFFSET($AM$3,0,0,'Données projet'!$E$10+1,1))-AVERAGE(OFFSET($H$3,0,0,'Données projet'!$E$10+1,1))</f>
        <v>244.66788784685366</v>
      </c>
      <c r="AO81" s="59">
        <f t="shared" si="90"/>
        <v>252.04429018409274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33.395086470371929</v>
      </c>
      <c r="AV81" s="21">
        <f>EXP(-LN(2)/25)*AV80+(1-EXP(-LN(2)/25))/(LN(2)/25)*Calculateur!AQ81*Calculateur!AS81*VLOOKUP('Données projet'!$B$10,Paramètres!$A$1:$I$89,3,0)*0.475*44/12</f>
        <v>0</v>
      </c>
      <c r="AW81" s="21">
        <f>EXP(-LN(2)/2)*AW80+(1-EXP(-LN(2)/2))/(LN(2)/2)*AQ81*AT81*VLOOKUP('Données projet'!$B$10,Paramètres!$A$1:$I$89,3,0)*0.475*44/12</f>
        <v>0</v>
      </c>
      <c r="AX81" s="21">
        <f t="shared" si="60"/>
        <v>33.395086470371929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5.6</v>
      </c>
      <c r="BD81" s="12">
        <f>IF('Données projet'!$A$88&gt;35,BD80+BC81-BL80,IF(A81&lt;'Données projet'!$A$88,$BA$205^A81,IF(A81='Données projet'!$A$88,'Données projet'!$B$88,BD80+BC81-BL80)))</f>
        <v>250.7999999999999</v>
      </c>
      <c r="BE81" s="13">
        <f>BD81*VLOOKUP('Données projet'!$B$11,Paramètres!$A$1:$I$89,3,0)*VLOOKUP('Données projet'!$B$11,Paramètres!$A$1:$I$89,5,0)</f>
        <v>238.66127999999992</v>
      </c>
      <c r="BF81" s="13">
        <f t="shared" si="91"/>
        <v>58.151404651477137</v>
      </c>
      <c r="BG81" s="20">
        <f t="shared" si="61"/>
        <v>516.94875910132259</v>
      </c>
      <c r="BH81" s="59">
        <f t="shared" si="62"/>
        <v>810.28209243465585</v>
      </c>
      <c r="BI81" s="59">
        <f ca="1">AVERAGE(OFFSET($BH$3,0,0,'Données projet'!$E$11+1,1))-AVERAGE(OFFSET($H$3,0,0,'Données projet'!$E$11+1,1))</f>
        <v>373.51596132356536</v>
      </c>
      <c r="BJ81" s="59">
        <f t="shared" si="92"/>
        <v>417.00150517020114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75.858512075326018</v>
      </c>
      <c r="BQ81" s="21">
        <f>EXP(-LN(2)/25)*BQ80+(1-EXP(-LN(2)/25))/(LN(2)/25)*Calculateur!BL81*Calculateur!BN81*VLOOKUP('Données projet'!$B$11,Paramètres!$A$1:$I$89,3,0)*0.475*44/12</f>
        <v>0</v>
      </c>
      <c r="BR81" s="21">
        <f>EXP(-LN(2)/2)*BR80+(1-EXP(-LN(2)/2))/(LN(2)/2)*BL81*BO81*VLOOKUP('Données projet'!$B$11,Paramètres!$A$1:$I$89,3,0)*0.475*44/12</f>
        <v>0</v>
      </c>
      <c r="BS81" s="22">
        <f t="shared" si="63"/>
        <v>75.858512075326018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6</v>
      </c>
      <c r="BY81" s="12">
        <f>IF('Données projet'!$A$114&gt;35,BY80+BX81-CG80,IF(A81&lt;'Données projet'!$A$114,$BV$205^A81,IF(A81='Données projet'!$A$114,'Données projet'!$B$114,BY80+BX81-CG80)))</f>
        <v>248.99999999999989</v>
      </c>
      <c r="BZ81" s="13">
        <f>BY81*VLOOKUP('Données projet'!$B$12,Paramètres!$A$1:$I$89,3,0)*VLOOKUP('Données projet'!$B$12,Paramètres!$A$1:$I$89,5,0)</f>
        <v>225.29519999999991</v>
      </c>
      <c r="CA81" s="13">
        <f t="shared" si="93"/>
        <v>55.264173352293078</v>
      </c>
      <c r="CB81" s="20">
        <f t="shared" si="64"/>
        <v>488.64090858857691</v>
      </c>
      <c r="CC81" s="59">
        <f t="shared" si="65"/>
        <v>781.97424192191022</v>
      </c>
      <c r="CD81" s="59">
        <f ca="1">AVERAGE(OFFSET($CC$3,0,0,'Données projet'!$E$12+1,1))-AVERAGE(OFFSET($H$3,0,0,'Données projet'!$E$12+1,1))</f>
        <v>289.19622253646992</v>
      </c>
      <c r="CE81" s="59">
        <f t="shared" si="94"/>
        <v>191.23827338431175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>
        <f>EXP(-LN(2)/35)*CK80+(1-EXP(-LN(2)/35))/(LN(2)/35)*CG81*CH81*VLOOKUP('Données projet'!$B$12,Paramètres!$A$1:$I$89,3,0)*0.475*44/12</f>
        <v>53.248913996443655</v>
      </c>
      <c r="CL81" s="21">
        <f>EXP(-LN(2)/25)*CL80+(1-EXP(-LN(2)/25))/(LN(2)/25)*Calculateur!CG81*Calculateur!CI81*VLOOKUP('Données projet'!$B$12,Paramètres!$A$1:$I$89,3,0)*0.475*44/12</f>
        <v>0</v>
      </c>
      <c r="CM81" s="21">
        <f>EXP(-LN(2)/2)*CM80+(1-EXP(-LN(2)/2))/(LN(2)/2)*CG81*CJ81*VLOOKUP('Données projet'!$B$12,Paramètres!$A$1:$I$89,3,0)*0.475*44/12</f>
        <v>0</v>
      </c>
      <c r="CN81" s="22">
        <f t="shared" si="66"/>
        <v>53.248913996443655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3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45.598799999999976</v>
      </c>
      <c r="D82" s="11">
        <f t="shared" si="86"/>
        <v>13.471107481003459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455.97823318669322</v>
      </c>
      <c r="H82" s="67">
        <f t="shared" si="56"/>
        <v>359.54675552941433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304.99999999999983</v>
      </c>
      <c r="O82" s="13">
        <f>N82*VLOOKUP('Données projet'!$B$9,Paramètres!$A$1:$I$89,3,0)*VLOOKUP('Données projet'!$B$9,Paramètres!$A$1:$I$89,5,0)</f>
        <v>275.96399999999983</v>
      </c>
      <c r="P82" s="13">
        <f t="shared" si="87"/>
        <v>66.113366665488854</v>
      </c>
      <c r="Q82" s="20">
        <f t="shared" si="54"/>
        <v>595.78474694239264</v>
      </c>
      <c r="R82" s="59">
        <f t="shared" si="55"/>
        <v>889.11808027572602</v>
      </c>
      <c r="S82" s="59">
        <f ca="1">AVERAGE(OFFSET($R$3,0,0,'Données projet'!$E$9+1,1))-AVERAGE(OFFSET($H$3,0,0,'Données projet'!$E$9+1,1))</f>
        <v>336.59194805061094</v>
      </c>
      <c r="T82" s="59">
        <f t="shared" si="88"/>
        <v>473.66884161123909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3.171364808793562</v>
      </c>
      <c r="AA82" s="21">
        <f>EXP(-LN(2)/25)*AA81+(1-EXP(-LN(2)/25))/(LN(2)/25)*Calculateur!V82*Calculateur!X82*VLOOKUP('Données projet'!$B$9,Paramètres!$A$1:$I$89,3,0)*0.475*44/12</f>
        <v>0</v>
      </c>
      <c r="AB82" s="21">
        <f>EXP(-LN(2)/2)*AB81+(1-EXP(-LN(2)/2))/(LN(2)/2)*V82*Y82*VLOOKUP('Données projet'!$B$9,Paramètres!$A$1:$I$89,3,0)*0.475*44/12</f>
        <v>0</v>
      </c>
      <c r="AC82" s="22">
        <f t="shared" si="57"/>
        <v>3.171364808793562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3.6</v>
      </c>
      <c r="AI82" s="13">
        <f>IF('Données projet'!$A$62&gt;35,AI81+AH82-AQ81,IF(A82&lt;'Données projet'!$A$62,$AF$205^A82,IF(A82='Données projet'!$A$62,'Données projet'!$B$62,AI81+AH82-AQ81)))</f>
        <v>326.39999999999998</v>
      </c>
      <c r="AJ82" s="13">
        <f>AI82*VLOOKUP('Données projet'!$B$10,Paramètres!$A$1:$I$89,3,0)*VLOOKUP('Données projet'!$B$10,Paramètres!$A$1:$I$89,5,0)</f>
        <v>213.85728</v>
      </c>
      <c r="AK82" s="13">
        <f t="shared" si="89"/>
        <v>52.777603437579678</v>
      </c>
      <c r="AL82" s="20">
        <f t="shared" si="58"/>
        <v>464.38908865378454</v>
      </c>
      <c r="AM82" s="59">
        <f t="shared" si="59"/>
        <v>757.72242198711785</v>
      </c>
      <c r="AN82" s="59">
        <f ca="1">AVERAGE(OFFSET($AM$3,0,0,'Données projet'!$E$10+1,1))-AVERAGE(OFFSET($H$3,0,0,'Données projet'!$E$10+1,1))</f>
        <v>244.66788784685366</v>
      </c>
      <c r="AO82" s="59">
        <f t="shared" si="90"/>
        <v>252.04429018409274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32.740229193679411</v>
      </c>
      <c r="AV82" s="21">
        <f>EXP(-LN(2)/25)*AV81+(1-EXP(-LN(2)/25))/(LN(2)/25)*Calculateur!AQ82*Calculateur!AS82*VLOOKUP('Données projet'!$B$10,Paramètres!$A$1:$I$89,3,0)*0.475*44/12</f>
        <v>0</v>
      </c>
      <c r="AW82" s="21">
        <f>EXP(-LN(2)/2)*AW81+(1-EXP(-LN(2)/2))/(LN(2)/2)*AQ82*AT82*VLOOKUP('Données projet'!$B$10,Paramètres!$A$1:$I$89,3,0)*0.475*44/12</f>
        <v>0</v>
      </c>
      <c r="AX82" s="21">
        <f t="shared" si="60"/>
        <v>32.740229193679411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5.6</v>
      </c>
      <c r="BD82" s="12">
        <f>IF('Données projet'!$A$88&gt;35,BD81+BC82-BL81,IF(A82&lt;'Données projet'!$A$88,$BA$205^A82,IF(A82='Données projet'!$A$88,'Données projet'!$B$88,BD81+BC82-BL81)))</f>
        <v>256.39999999999992</v>
      </c>
      <c r="BE82" s="13">
        <f>BD82*VLOOKUP('Données projet'!$B$11,Paramètres!$A$1:$I$89,3,0)*VLOOKUP('Données projet'!$B$11,Paramètres!$A$1:$I$89,5,0)</f>
        <v>243.99023999999991</v>
      </c>
      <c r="BF82" s="13">
        <f t="shared" si="91"/>
        <v>59.297224419257304</v>
      </c>
      <c r="BG82" s="20">
        <f t="shared" si="61"/>
        <v>528.22566719687291</v>
      </c>
      <c r="BH82" s="59">
        <f t="shared" si="62"/>
        <v>821.55900053020628</v>
      </c>
      <c r="BI82" s="59">
        <f ca="1">AVERAGE(OFFSET($BH$3,0,0,'Données projet'!$E$11+1,1))-AVERAGE(OFFSET($H$3,0,0,'Données projet'!$E$11+1,1))</f>
        <v>373.51596132356536</v>
      </c>
      <c r="BJ82" s="59">
        <f t="shared" si="92"/>
        <v>417.00150517020114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74.370972922652541</v>
      </c>
      <c r="BQ82" s="21">
        <f>EXP(-LN(2)/25)*BQ81+(1-EXP(-LN(2)/25))/(LN(2)/25)*Calculateur!BL82*Calculateur!BN82*VLOOKUP('Données projet'!$B$11,Paramètres!$A$1:$I$89,3,0)*0.475*44/12</f>
        <v>0</v>
      </c>
      <c r="BR82" s="21">
        <f>EXP(-LN(2)/2)*BR81+(1-EXP(-LN(2)/2))/(LN(2)/2)*BL82*BO82*VLOOKUP('Données projet'!$B$11,Paramètres!$A$1:$I$89,3,0)*0.475*44/12</f>
        <v>0</v>
      </c>
      <c r="BS82" s="22">
        <f t="shared" si="63"/>
        <v>74.370972922652541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6</v>
      </c>
      <c r="BY82" s="12">
        <f>IF('Données projet'!$A$114&gt;35,BY81+BX82-CG81,IF(A82&lt;'Données projet'!$A$114,$BV$205^A82,IF(A82='Données projet'!$A$114,'Données projet'!$B$114,BY81+BX82-CG81)))</f>
        <v>254.99999999999989</v>
      </c>
      <c r="BZ82" s="13">
        <f>BY82*VLOOKUP('Données projet'!$B$12,Paramètres!$A$1:$I$89,3,0)*VLOOKUP('Données projet'!$B$12,Paramètres!$A$1:$I$89,5,0)</f>
        <v>230.72399999999988</v>
      </c>
      <c r="CA82" s="13">
        <f t="shared" si="93"/>
        <v>56.439198612082045</v>
      </c>
      <c r="CB82" s="20">
        <f t="shared" si="64"/>
        <v>500.14257091604264</v>
      </c>
      <c r="CC82" s="59">
        <f t="shared" si="65"/>
        <v>793.47590424937596</v>
      </c>
      <c r="CD82" s="59">
        <f ca="1">AVERAGE(OFFSET($CC$3,0,0,'Données projet'!$E$12+1,1))-AVERAGE(OFFSET($H$3,0,0,'Données projet'!$E$12+1,1))</f>
        <v>289.19622253646992</v>
      </c>
      <c r="CE82" s="59">
        <f t="shared" si="94"/>
        <v>191.23827338431175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>
        <f>EXP(-LN(2)/35)*CK81+(1-EXP(-LN(2)/35))/(LN(2)/35)*CG82*CH82*VLOOKUP('Données projet'!$B$12,Paramètres!$A$1:$I$89,3,0)*0.475*44/12</f>
        <v>52.204735271603937</v>
      </c>
      <c r="CL82" s="21">
        <f>EXP(-LN(2)/25)*CL81+(1-EXP(-LN(2)/25))/(LN(2)/25)*Calculateur!CG82*Calculateur!CI82*VLOOKUP('Données projet'!$B$12,Paramètres!$A$1:$I$89,3,0)*0.475*44/12</f>
        <v>0</v>
      </c>
      <c r="CM82" s="21">
        <f>EXP(-LN(2)/2)*CM81+(1-EXP(-LN(2)/2))/(LN(2)/2)*CG82*CJ82*VLOOKUP('Données projet'!$B$12,Paramètres!$A$1:$I$89,3,0)*0.475*44/12</f>
        <v>0</v>
      </c>
      <c r="CN82" s="22">
        <f t="shared" si="66"/>
        <v>52.204735271603937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3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46.175999999999974</v>
      </c>
      <c r="D83" s="11">
        <f t="shared" si="86"/>
        <v>13.621668778540482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461.59603969399654</v>
      </c>
      <c r="H83" s="67">
        <f t="shared" si="56"/>
        <v>360.81427312262463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304.99999999999983</v>
      </c>
      <c r="O83" s="13">
        <f>N83*VLOOKUP('Données projet'!$B$9,Paramètres!$A$1:$I$89,3,0)*VLOOKUP('Données projet'!$B$9,Paramètres!$A$1:$I$89,5,0)</f>
        <v>275.96399999999983</v>
      </c>
      <c r="P83" s="13">
        <f t="shared" si="87"/>
        <v>66.113366665488854</v>
      </c>
      <c r="Q83" s="20">
        <f t="shared" si="54"/>
        <v>595.78474694239264</v>
      </c>
      <c r="R83" s="59">
        <f t="shared" si="55"/>
        <v>889.11808027572602</v>
      </c>
      <c r="S83" s="59">
        <f ca="1">AVERAGE(OFFSET($R$3,0,0,'Données projet'!$E$9+1,1))-AVERAGE(OFFSET($H$3,0,0,'Données projet'!$E$9+1,1))</f>
        <v>336.59194805061094</v>
      </c>
      <c r="T83" s="59">
        <f t="shared" si="88"/>
        <v>473.66884161123909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3.1091762792346533</v>
      </c>
      <c r="AA83" s="21">
        <f>EXP(-LN(2)/25)*AA82+(1-EXP(-LN(2)/25))/(LN(2)/25)*Calculateur!V83*Calculateur!X83*VLOOKUP('Données projet'!$B$9,Paramètres!$A$1:$I$89,3,0)*0.475*44/12</f>
        <v>0</v>
      </c>
      <c r="AB83" s="21">
        <f>EXP(-LN(2)/2)*AB82+(1-EXP(-LN(2)/2))/(LN(2)/2)*V83*Y83*VLOOKUP('Données projet'!$B$9,Paramètres!$A$1:$I$89,3,0)*0.475*44/12</f>
        <v>0</v>
      </c>
      <c r="AC83" s="22">
        <f t="shared" si="57"/>
        <v>3.1091762792346533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>
        <f>VLOOKUP(A83,'Données projet'!$A$61:$I$81,2,0)</f>
        <v>330</v>
      </c>
      <c r="AG83" s="12">
        <f>VLOOKUP(A83,'Données projet'!$A$61:$I$81,9,0)</f>
        <v>3.6</v>
      </c>
      <c r="AH83" s="12">
        <f t="array" ref="AH83">INDEX(AG:AG,MIN(IF(ISNUMBER(AG83:AG279),ROW(AG83:AG279),"")))</f>
        <v>3.6</v>
      </c>
      <c r="AI83" s="13">
        <f>IF('Données projet'!$A$62&gt;35,AI82+AH83-AQ82,IF(A83&lt;'Données projet'!$A$62,$AF$205^A83,IF(A83='Données projet'!$A$62,'Données projet'!$B$62,AI82+AH83-AQ82)))</f>
        <v>330</v>
      </c>
      <c r="AJ83" s="13">
        <f>AI83*VLOOKUP('Données projet'!$B$10,Paramètres!$A$1:$I$89,3,0)*VLOOKUP('Données projet'!$B$10,Paramètres!$A$1:$I$89,5,0)</f>
        <v>216.21600000000001</v>
      </c>
      <c r="AK83" s="13">
        <f t="shared" si="89"/>
        <v>53.291623409473033</v>
      </c>
      <c r="AL83" s="20">
        <f t="shared" si="58"/>
        <v>469.39244410483212</v>
      </c>
      <c r="AM83" s="59">
        <f t="shared" si="59"/>
        <v>762.72577743816544</v>
      </c>
      <c r="AN83" s="59">
        <f ca="1">AVERAGE(OFFSET($AM$3,0,0,'Données projet'!$E$10+1,1))-AVERAGE(OFFSET($H$3,0,0,'Données projet'!$E$10+1,1))</f>
        <v>244.66788784685366</v>
      </c>
      <c r="AO83" s="59">
        <f t="shared" si="90"/>
        <v>252.04429018409274</v>
      </c>
      <c r="AP83" s="15">
        <f>IF(ISNA(VLOOKUP(A83,'Données projet'!$A$61:$I$81,3,0)),0,VLOOKUP(A83,'Données projet'!$A$61:$I$81,3,0))</f>
        <v>14</v>
      </c>
      <c r="AQ83" s="15">
        <f>IF(ISNA(VLOOKUP(A83,'Données projet'!$A$61:$I$81,4,0)),0,VLOOKUP(A83,'Données projet'!$A$61:$I$81,4,0))</f>
        <v>11</v>
      </c>
      <c r="AR83" s="16">
        <f>IF(ISNA(VLOOKUP(A83,'Données projet'!$A$61:$I$81,5,0)),0%,VLOOKUP(A83,'Données projet'!$A$61:$I$81,5,0)*VLOOKUP('Données projet'!$B$10,Paramètres!$A$1:$I$89,7,0))</f>
        <v>0.43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35.524172100088386</v>
      </c>
      <c r="AV83" s="21">
        <f>EXP(-LN(2)/25)*AV82+(1-EXP(-LN(2)/25))/(LN(2)/25)*Calculateur!AQ83*Calculateur!AS83*VLOOKUP('Données projet'!$B$10,Paramètres!$A$1:$I$89,3,0)*0.475*44/12</f>
        <v>0</v>
      </c>
      <c r="AW83" s="21">
        <f>EXP(-LN(2)/2)*AW82+(1-EXP(-LN(2)/2))/(LN(2)/2)*AQ83*AT83*VLOOKUP('Données projet'!$B$10,Paramètres!$A$1:$I$89,3,0)*0.475*44/12</f>
        <v>0</v>
      </c>
      <c r="AX83" s="21">
        <f t="shared" si="60"/>
        <v>35.524172100088386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>
        <f>VLOOKUP(A83,'Données projet'!$A$87:$I$107,2,0)</f>
        <v>262</v>
      </c>
      <c r="BB83" s="12">
        <f>VLOOKUP(A83,'Données projet'!$A$87:$I$107,9,0)</f>
        <v>5.6</v>
      </c>
      <c r="BC83" s="12">
        <f t="array" ref="BC83">INDEX(BB:BB,MIN(IF(ISNUMBER(BB83:BB279),ROW(BB83:BB279),"")))</f>
        <v>5.6</v>
      </c>
      <c r="BD83" s="12">
        <f>IF('Données projet'!$A$88&gt;35,BD82+BC83-BL82,IF(A83&lt;'Données projet'!$A$88,$BA$205^A83,IF(A83='Données projet'!$A$88,'Données projet'!$B$88,BD82+BC83-BL82)))</f>
        <v>261.99999999999994</v>
      </c>
      <c r="BE83" s="13">
        <f>BD83*VLOOKUP('Données projet'!$B$11,Paramètres!$A$1:$I$89,3,0)*VLOOKUP('Données projet'!$B$11,Paramètres!$A$1:$I$89,5,0)</f>
        <v>249.31919999999997</v>
      </c>
      <c r="BF83" s="13">
        <f t="shared" si="91"/>
        <v>60.440134650185499</v>
      </c>
      <c r="BG83" s="20">
        <f t="shared" si="61"/>
        <v>539.49750784907303</v>
      </c>
      <c r="BH83" s="59">
        <f t="shared" si="62"/>
        <v>832.8308411824064</v>
      </c>
      <c r="BI83" s="59">
        <f ca="1">AVERAGE(OFFSET($BH$3,0,0,'Données projet'!$E$11+1,1))-AVERAGE(OFFSET($H$3,0,0,'Données projet'!$E$11+1,1))</f>
        <v>373.51596132356536</v>
      </c>
      <c r="BJ83" s="59">
        <f t="shared" si="92"/>
        <v>417.00150517020114</v>
      </c>
      <c r="BK83" s="15">
        <f>IF(ISNA(VLOOKUP(A83,'Données projet'!$A$87:$I$107,3,0)),0,VLOOKUP(A83,'Données projet'!$A$87:$I$107,3,0))</f>
        <v>15</v>
      </c>
      <c r="BL83" s="21">
        <f>IF(ISNA(VLOOKUP(A83,'Données projet'!$A$87:$I$107,4,0)),0,VLOOKUP(A83,'Données projet'!$A$87:$I$107,4,0))</f>
        <v>26</v>
      </c>
      <c r="BM83" s="16">
        <f>IF(ISNA(VLOOKUP(A83,'Données projet'!$A$87:$I$107,5,0)),0%,VLOOKUP(A83,'Données projet'!$A$87:$I$107,5,0)*VLOOKUP('Données projet'!$B$11,Paramètres!$A$1:$I$89,7,0))</f>
        <v>0.43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84.673579060622245</v>
      </c>
      <c r="BQ83" s="21">
        <f>EXP(-LN(2)/25)*BQ82+(1-EXP(-LN(2)/25))/(LN(2)/25)*Calculateur!BL83*Calculateur!BN83*VLOOKUP('Données projet'!$B$11,Paramètres!$A$1:$I$89,3,0)*0.475*44/12</f>
        <v>0</v>
      </c>
      <c r="BR83" s="21">
        <f>EXP(-LN(2)/2)*BR82+(1-EXP(-LN(2)/2))/(LN(2)/2)*BL83*BO83*VLOOKUP('Données projet'!$B$11,Paramètres!$A$1:$I$89,3,0)*0.475*44/12</f>
        <v>0</v>
      </c>
      <c r="BS83" s="22">
        <f t="shared" si="63"/>
        <v>84.673579060622245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>
        <f>VLOOKUP(A83,'Données projet'!$A$113:$I$133,2,0)</f>
        <v>261</v>
      </c>
      <c r="BW83" s="12">
        <f>VLOOKUP(A83,'Données projet'!$A$113:$I$133,9,0)</f>
        <v>6</v>
      </c>
      <c r="BX83" s="12">
        <f t="array" ref="BX83">INDEX(BW:BW,MIN(IF(ISNUMBER(BW83:BW279),ROW(BW83:BW279),"")))</f>
        <v>6</v>
      </c>
      <c r="BY83" s="12">
        <f>IF('Données projet'!$A$114&gt;35,BY82+BX83-CG82,IF(A83&lt;'Données projet'!$A$114,$BV$205^A83,IF(A83='Données projet'!$A$114,'Données projet'!$B$114,BY82+BX83-CG82)))</f>
        <v>260.99999999999989</v>
      </c>
      <c r="BZ83" s="13">
        <f>BY83*VLOOKUP('Données projet'!$B$12,Paramètres!$A$1:$I$89,3,0)*VLOOKUP('Données projet'!$B$12,Paramètres!$A$1:$I$89,5,0)</f>
        <v>236.15279999999987</v>
      </c>
      <c r="CA83" s="13">
        <f t="shared" si="93"/>
        <v>57.61100977459931</v>
      </c>
      <c r="CB83" s="20">
        <f t="shared" si="64"/>
        <v>511.63863535742689</v>
      </c>
      <c r="CC83" s="59">
        <f t="shared" si="65"/>
        <v>804.97196869076015</v>
      </c>
      <c r="CD83" s="59">
        <f ca="1">AVERAGE(OFFSET($CC$3,0,0,'Données projet'!$E$12+1,1))-AVERAGE(OFFSET($H$3,0,0,'Données projet'!$E$12+1,1))</f>
        <v>289.19622253646992</v>
      </c>
      <c r="CE83" s="59">
        <f t="shared" si="94"/>
        <v>191.23827338431175</v>
      </c>
      <c r="CF83" s="15">
        <f>IF(ISNA(VLOOKUP(A83,'Données projet'!$A$113:$I$133,3,0)),0,VLOOKUP(A83,'Données projet'!$A$113:$I$133,3,0))</f>
        <v>12</v>
      </c>
      <c r="CG83" s="15">
        <f>IF(ISNA(VLOOKUP(A83,'Données projet'!$A$113:$I$133,4,0)),0,VLOOKUP(A83,'Données projet'!$A$113:$I$133,4,0))</f>
        <v>21</v>
      </c>
      <c r="CH83" s="16">
        <f>IF(ISNA(VLOOKUP(A83,'Données projet'!$A$113:$I$133,5,0)),0%,VLOOKUP(A83,'Données projet'!$A$113:$I$133,5,0)*VLOOKUP('Données projet'!$B$12,Paramètres!$A$1:$I$89,7,0))</f>
        <v>0.43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>
        <f>EXP(-LN(2)/35)*CK82+(1-EXP(-LN(2)/35))/(LN(2)/35)*CG83*CH83*VLOOKUP('Données projet'!$B$12,Paramètres!$A$1:$I$89,3,0)*0.475*44/12</f>
        <v>60.213105537266948</v>
      </c>
      <c r="CL83" s="21">
        <f>EXP(-LN(2)/25)*CL82+(1-EXP(-LN(2)/25))/(LN(2)/25)*Calculateur!CG83*Calculateur!CI83*VLOOKUP('Données projet'!$B$12,Paramètres!$A$1:$I$89,3,0)*0.475*44/12</f>
        <v>0</v>
      </c>
      <c r="CM83" s="21">
        <f>EXP(-LN(2)/2)*CM82+(1-EXP(-LN(2)/2))/(LN(2)/2)*CG83*CJ83*VLOOKUP('Données projet'!$B$12,Paramètres!$A$1:$I$89,3,0)*0.475*44/12</f>
        <v>0</v>
      </c>
      <c r="CN83" s="22">
        <f t="shared" si="66"/>
        <v>60.213105537266948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3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46.753199999999971</v>
      </c>
      <c r="D84" s="11">
        <f t="shared" si="86"/>
        <v>13.772011162654831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467.21215634330019</v>
      </c>
      <c r="H84" s="67">
        <f t="shared" si="56"/>
        <v>362.0814094416238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304.99999999999983</v>
      </c>
      <c r="O84" s="13">
        <f>N84*VLOOKUP('Données projet'!$B$9,Paramètres!$A$1:$I$89,3,0)*VLOOKUP('Données projet'!$B$9,Paramètres!$A$1:$I$89,5,0)</f>
        <v>275.96399999999983</v>
      </c>
      <c r="P84" s="13">
        <f t="shared" si="87"/>
        <v>66.113366665488854</v>
      </c>
      <c r="Q84" s="20">
        <f t="shared" si="54"/>
        <v>595.78474694239264</v>
      </c>
      <c r="R84" s="59">
        <f t="shared" si="55"/>
        <v>889.11808027572602</v>
      </c>
      <c r="S84" s="59">
        <f ca="1">AVERAGE(OFFSET($R$3,0,0,'Données projet'!$E$9+1,1))-AVERAGE(OFFSET($H$3,0,0,'Données projet'!$E$9+1,1))</f>
        <v>336.59194805061094</v>
      </c>
      <c r="T84" s="59">
        <f t="shared" si="88"/>
        <v>473.66884161123909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3.0482072288091371</v>
      </c>
      <c r="AA84" s="21">
        <f>EXP(-LN(2)/25)*AA83+(1-EXP(-LN(2)/25))/(LN(2)/25)*Calculateur!V84*Calculateur!X84*VLOOKUP('Données projet'!$B$9,Paramètres!$A$1:$I$89,3,0)*0.475*44/12</f>
        <v>0</v>
      </c>
      <c r="AB84" s="21">
        <f>EXP(-LN(2)/2)*AB83+(1-EXP(-LN(2)/2))/(LN(2)/2)*V84*Y84*VLOOKUP('Données projet'!$B$9,Paramètres!$A$1:$I$89,3,0)*0.475*44/12</f>
        <v>0</v>
      </c>
      <c r="AC84" s="22">
        <f t="shared" si="57"/>
        <v>3.0482072288091371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0</v>
      </c>
      <c r="AI84" s="13">
        <f>IF('Données projet'!$A$62&gt;35,AI83+AH84-AQ83,IF(A84&lt;'Données projet'!$A$62,$AF$205^A84,IF(A84='Données projet'!$A$62,'Données projet'!$B$62,AI83+AH84-AQ83)))</f>
        <v>319</v>
      </c>
      <c r="AJ84" s="13">
        <f>AI84*VLOOKUP('Données projet'!$B$10,Paramètres!$A$1:$I$89,3,0)*VLOOKUP('Données projet'!$B$10,Paramètres!$A$1:$I$89,5,0)</f>
        <v>209.00879999999998</v>
      </c>
      <c r="AK84" s="13">
        <f t="shared" si="89"/>
        <v>51.718923953824202</v>
      </c>
      <c r="AL84" s="20">
        <f t="shared" si="58"/>
        <v>454.10078588624373</v>
      </c>
      <c r="AM84" s="59">
        <f t="shared" si="59"/>
        <v>747.43411921957704</v>
      </c>
      <c r="AN84" s="59">
        <f ca="1">AVERAGE(OFFSET($AM$3,0,0,'Données projet'!$E$10+1,1))-AVERAGE(OFFSET($H$3,0,0,'Données projet'!$E$10+1,1))</f>
        <v>244.66788784685366</v>
      </c>
      <c r="AO84" s="59">
        <f t="shared" si="90"/>
        <v>252.04429018409274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34.827564752811135</v>
      </c>
      <c r="AV84" s="21">
        <f>EXP(-LN(2)/25)*AV83+(1-EXP(-LN(2)/25))/(LN(2)/25)*Calculateur!AQ84*Calculateur!AS84*VLOOKUP('Données projet'!$B$10,Paramètres!$A$1:$I$89,3,0)*0.475*44/12</f>
        <v>0</v>
      </c>
      <c r="AW84" s="21">
        <f>EXP(-LN(2)/2)*AW83+(1-EXP(-LN(2)/2))/(LN(2)/2)*AQ84*AT84*VLOOKUP('Données projet'!$B$10,Paramètres!$A$1:$I$89,3,0)*0.475*44/12</f>
        <v>0</v>
      </c>
      <c r="AX84" s="21">
        <f t="shared" si="60"/>
        <v>34.827564752811135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5.4</v>
      </c>
      <c r="BD84" s="12">
        <f>IF('Données projet'!$A$88&gt;35,BD83+BC84-BL83,IF(A84&lt;'Données projet'!$A$88,$BA$205^A84,IF(A84='Données projet'!$A$88,'Données projet'!$B$88,BD83+BC84-BL83)))</f>
        <v>241.39999999999992</v>
      </c>
      <c r="BE84" s="13">
        <f>BD84*VLOOKUP('Données projet'!$B$11,Paramètres!$A$1:$I$89,3,0)*VLOOKUP('Données projet'!$B$11,Paramètres!$A$1:$I$89,5,0)</f>
        <v>229.71623999999994</v>
      </c>
      <c r="BF84" s="13">
        <f t="shared" si="91"/>
        <v>56.22132157725693</v>
      </c>
      <c r="BG84" s="20">
        <f t="shared" si="61"/>
        <v>498.00791974705572</v>
      </c>
      <c r="BH84" s="59">
        <f t="shared" si="62"/>
        <v>791.34125308038904</v>
      </c>
      <c r="BI84" s="59">
        <f ca="1">AVERAGE(OFFSET($BH$3,0,0,'Données projet'!$E$11+1,1))-AVERAGE(OFFSET($H$3,0,0,'Données projet'!$E$11+1,1))</f>
        <v>373.51596132356536</v>
      </c>
      <c r="BJ84" s="59">
        <f t="shared" si="92"/>
        <v>417.00150517020114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83.013181821027075</v>
      </c>
      <c r="BQ84" s="21">
        <f>EXP(-LN(2)/25)*BQ83+(1-EXP(-LN(2)/25))/(LN(2)/25)*Calculateur!BL84*Calculateur!BN84*VLOOKUP('Données projet'!$B$11,Paramètres!$A$1:$I$89,3,0)*0.475*44/12</f>
        <v>0</v>
      </c>
      <c r="BR84" s="21">
        <f>EXP(-LN(2)/2)*BR83+(1-EXP(-LN(2)/2))/(LN(2)/2)*BL84*BO84*VLOOKUP('Données projet'!$B$11,Paramètres!$A$1:$I$89,3,0)*0.475*44/12</f>
        <v>0</v>
      </c>
      <c r="BS84" s="22">
        <f t="shared" si="63"/>
        <v>83.013181821027075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5.8</v>
      </c>
      <c r="BY84" s="12">
        <f>IF('Données projet'!$A$114&gt;35,BY83+BX84-CG83,IF(A84&lt;'Données projet'!$A$114,$BV$205^A84,IF(A84='Données projet'!$A$114,'Données projet'!$B$114,BY83+BX84-CG83)))</f>
        <v>245.7999999999999</v>
      </c>
      <c r="BZ84" s="13">
        <f>BY84*VLOOKUP('Données projet'!$B$12,Paramètres!$A$1:$I$89,3,0)*VLOOKUP('Données projet'!$B$12,Paramètres!$A$1:$I$89,5,0)</f>
        <v>222.3998399999999</v>
      </c>
      <c r="CA84" s="13">
        <f t="shared" si="93"/>
        <v>54.636149281681448</v>
      </c>
      <c r="CB84" s="20">
        <f t="shared" si="64"/>
        <v>482.50434799892832</v>
      </c>
      <c r="CC84" s="59">
        <f t="shared" si="65"/>
        <v>775.83768133226158</v>
      </c>
      <c r="CD84" s="59">
        <f ca="1">AVERAGE(OFFSET($CC$3,0,0,'Données projet'!$E$12+1,1))-AVERAGE(OFFSET($H$3,0,0,'Données projet'!$E$12+1,1))</f>
        <v>289.19622253646992</v>
      </c>
      <c r="CE84" s="59">
        <f t="shared" si="94"/>
        <v>191.23827338431175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>
        <f>EXP(-LN(2)/35)*CK83+(1-EXP(-LN(2)/35))/(LN(2)/35)*CG84*CH84*VLOOKUP('Données projet'!$B$12,Paramètres!$A$1:$I$89,3,0)*0.475*44/12</f>
        <v>59.032363264049096</v>
      </c>
      <c r="CL84" s="21">
        <f>EXP(-LN(2)/25)*CL83+(1-EXP(-LN(2)/25))/(LN(2)/25)*Calculateur!CG84*Calculateur!CI84*VLOOKUP('Données projet'!$B$12,Paramètres!$A$1:$I$89,3,0)*0.475*44/12</f>
        <v>0</v>
      </c>
      <c r="CM84" s="21">
        <f>EXP(-LN(2)/2)*CM83+(1-EXP(-LN(2)/2))/(LN(2)/2)*CG84*CJ84*VLOOKUP('Données projet'!$B$12,Paramètres!$A$1:$I$89,3,0)*0.475*44/12</f>
        <v>0</v>
      </c>
      <c r="CN84" s="22">
        <f t="shared" si="66"/>
        <v>59.032363264049096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3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47.330399999999969</v>
      </c>
      <c r="D85" s="11">
        <f t="shared" si="86"/>
        <v>13.922137648555204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472.82660640989963</v>
      </c>
      <c r="H85" s="67">
        <f t="shared" si="56"/>
        <v>363.34816973790026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304.99999999999983</v>
      </c>
      <c r="O85" s="13">
        <f>N85*VLOOKUP('Données projet'!$B$9,Paramètres!$A$1:$I$89,3,0)*VLOOKUP('Données projet'!$B$9,Paramètres!$A$1:$I$89,5,0)</f>
        <v>275.96399999999983</v>
      </c>
      <c r="P85" s="13">
        <f t="shared" si="87"/>
        <v>66.113366665488854</v>
      </c>
      <c r="Q85" s="20">
        <f t="shared" si="54"/>
        <v>595.78474694239264</v>
      </c>
      <c r="R85" s="59">
        <f t="shared" si="55"/>
        <v>889.11808027572602</v>
      </c>
      <c r="S85" s="59">
        <f ca="1">AVERAGE(OFFSET($R$3,0,0,'Données projet'!$E$9+1,1))-AVERAGE(OFFSET($H$3,0,0,'Données projet'!$E$9+1,1))</f>
        <v>336.59194805061094</v>
      </c>
      <c r="T85" s="59">
        <f t="shared" si="88"/>
        <v>473.66884161123909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2.9884337442750164</v>
      </c>
      <c r="AA85" s="21">
        <f>EXP(-LN(2)/25)*AA84+(1-EXP(-LN(2)/25))/(LN(2)/25)*Calculateur!V85*Calculateur!X85*VLOOKUP('Données projet'!$B$9,Paramètres!$A$1:$I$89,3,0)*0.475*44/12</f>
        <v>0</v>
      </c>
      <c r="AB85" s="21">
        <f>EXP(-LN(2)/2)*AB84+(1-EXP(-LN(2)/2))/(LN(2)/2)*V85*Y85*VLOOKUP('Données projet'!$B$9,Paramètres!$A$1:$I$89,3,0)*0.475*44/12</f>
        <v>0</v>
      </c>
      <c r="AC85" s="22">
        <f t="shared" si="57"/>
        <v>2.9884337442750164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0</v>
      </c>
      <c r="AI85" s="13">
        <f>IF('Données projet'!$A$62&gt;35,AI84+AH85-AQ84,IF(A85&lt;'Données projet'!$A$62,$AF$205^A85,IF(A85='Données projet'!$A$62,'Données projet'!$B$62,AI84+AH85-AQ84)))</f>
        <v>319</v>
      </c>
      <c r="AJ85" s="13">
        <f>AI85*VLOOKUP('Données projet'!$B$10,Paramètres!$A$1:$I$89,3,0)*VLOOKUP('Données projet'!$B$10,Paramètres!$A$1:$I$89,5,0)</f>
        <v>209.00879999999998</v>
      </c>
      <c r="AK85" s="13">
        <f t="shared" si="89"/>
        <v>51.718923953824202</v>
      </c>
      <c r="AL85" s="20">
        <f t="shared" si="58"/>
        <v>454.10078588624373</v>
      </c>
      <c r="AM85" s="59">
        <f t="shared" si="59"/>
        <v>747.43411921957704</v>
      </c>
      <c r="AN85" s="59">
        <f ca="1">AVERAGE(OFFSET($AM$3,0,0,'Données projet'!$E$10+1,1))-AVERAGE(OFFSET($H$3,0,0,'Données projet'!$E$10+1,1))</f>
        <v>244.66788784685366</v>
      </c>
      <c r="AO85" s="59">
        <f t="shared" si="90"/>
        <v>252.04429018409274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34.144617450725463</v>
      </c>
      <c r="AV85" s="21">
        <f>EXP(-LN(2)/25)*AV84+(1-EXP(-LN(2)/25))/(LN(2)/25)*Calculateur!AQ85*Calculateur!AS85*VLOOKUP('Données projet'!$B$10,Paramètres!$A$1:$I$89,3,0)*0.475*44/12</f>
        <v>0</v>
      </c>
      <c r="AW85" s="21">
        <f>EXP(-LN(2)/2)*AW84+(1-EXP(-LN(2)/2))/(LN(2)/2)*AQ85*AT85*VLOOKUP('Données projet'!$B$10,Paramètres!$A$1:$I$89,3,0)*0.475*44/12</f>
        <v>0</v>
      </c>
      <c r="AX85" s="21">
        <f t="shared" si="60"/>
        <v>34.144617450725463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5.4</v>
      </c>
      <c r="BD85" s="12">
        <f>IF('Données projet'!$A$88&gt;35,BD84+BC85-BL84,IF(A85&lt;'Données projet'!$A$88,$BA$205^A85,IF(A85='Données projet'!$A$88,'Données projet'!$B$88,BD84+BC85-BL84)))</f>
        <v>246.79999999999993</v>
      </c>
      <c r="BE85" s="13">
        <f>BD85*VLOOKUP('Données projet'!$B$11,Paramètres!$A$1:$I$89,3,0)*VLOOKUP('Données projet'!$B$11,Paramètres!$A$1:$I$89,5,0)</f>
        <v>234.85487999999992</v>
      </c>
      <c r="BF85" s="13">
        <f t="shared" si="91"/>
        <v>57.331140513128211</v>
      </c>
      <c r="BG85" s="20">
        <f t="shared" si="61"/>
        <v>508.89065239369819</v>
      </c>
      <c r="BH85" s="59">
        <f t="shared" si="62"/>
        <v>802.2239857270315</v>
      </c>
      <c r="BI85" s="59">
        <f ca="1">AVERAGE(OFFSET($BH$3,0,0,'Données projet'!$E$11+1,1))-AVERAGE(OFFSET($H$3,0,0,'Données projet'!$E$11+1,1))</f>
        <v>373.51596132356536</v>
      </c>
      <c r="BJ85" s="59">
        <f t="shared" si="92"/>
        <v>417.00150517020114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81.385343958558053</v>
      </c>
      <c r="BQ85" s="21">
        <f>EXP(-LN(2)/25)*BQ84+(1-EXP(-LN(2)/25))/(LN(2)/25)*Calculateur!BL85*Calculateur!BN85*VLOOKUP('Données projet'!$B$11,Paramètres!$A$1:$I$89,3,0)*0.475*44/12</f>
        <v>0</v>
      </c>
      <c r="BR85" s="21">
        <f>EXP(-LN(2)/2)*BR84+(1-EXP(-LN(2)/2))/(LN(2)/2)*BL85*BO85*VLOOKUP('Données projet'!$B$11,Paramètres!$A$1:$I$89,3,0)*0.475*44/12</f>
        <v>0</v>
      </c>
      <c r="BS85" s="22">
        <f t="shared" si="63"/>
        <v>81.385343958558053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5.8</v>
      </c>
      <c r="BY85" s="12">
        <f>IF('Données projet'!$A$114&gt;35,BY84+BX85-CG84,IF(A85&lt;'Données projet'!$A$114,$BV$205^A85,IF(A85='Données projet'!$A$114,'Données projet'!$B$114,BY84+BX85-CG84)))</f>
        <v>251.59999999999991</v>
      </c>
      <c r="BZ85" s="13">
        <f>BY85*VLOOKUP('Données projet'!$B$12,Paramètres!$A$1:$I$89,3,0)*VLOOKUP('Données projet'!$B$12,Paramètres!$A$1:$I$89,5,0)</f>
        <v>227.64767999999992</v>
      </c>
      <c r="CA85" s="13">
        <f t="shared" si="93"/>
        <v>55.773751036838313</v>
      </c>
      <c r="CB85" s="20">
        <f t="shared" si="64"/>
        <v>493.62565905582659</v>
      </c>
      <c r="CC85" s="59">
        <f t="shared" si="65"/>
        <v>786.9589923891599</v>
      </c>
      <c r="CD85" s="59">
        <f ca="1">AVERAGE(OFFSET($CC$3,0,0,'Données projet'!$E$12+1,1))-AVERAGE(OFFSET($H$3,0,0,'Données projet'!$E$12+1,1))</f>
        <v>289.19622253646992</v>
      </c>
      <c r="CE85" s="59">
        <f t="shared" si="94"/>
        <v>191.23827338431175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>
        <f>EXP(-LN(2)/35)*CK84+(1-EXP(-LN(2)/35))/(LN(2)/35)*CG85*CH85*VLOOKUP('Données projet'!$B$12,Paramètres!$A$1:$I$89,3,0)*0.475*44/12</f>
        <v>57.874774626627371</v>
      </c>
      <c r="CL85" s="21">
        <f>EXP(-LN(2)/25)*CL84+(1-EXP(-LN(2)/25))/(LN(2)/25)*Calculateur!CG85*Calculateur!CI85*VLOOKUP('Données projet'!$B$12,Paramètres!$A$1:$I$89,3,0)*0.475*44/12</f>
        <v>0</v>
      </c>
      <c r="CM85" s="21">
        <f>EXP(-LN(2)/2)*CM84+(1-EXP(-LN(2)/2))/(LN(2)/2)*CG85*CJ85*VLOOKUP('Données projet'!$B$12,Paramètres!$A$1:$I$89,3,0)*0.475*44/12</f>
        <v>0</v>
      </c>
      <c r="CN85" s="22">
        <f t="shared" si="66"/>
        <v>57.874774626627371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3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47.907599999999967</v>
      </c>
      <c r="D86" s="11">
        <f t="shared" si="86"/>
        <v>14.072051173677968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478.439412568742</v>
      </c>
      <c r="H86" s="67">
        <f t="shared" si="56"/>
        <v>364.61455912748909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304.99999999999983</v>
      </c>
      <c r="O86" s="13">
        <f>N86*VLOOKUP('Données projet'!$B$9,Paramètres!$A$1:$I$89,3,0)*VLOOKUP('Données projet'!$B$9,Paramètres!$A$1:$I$89,5,0)</f>
        <v>275.96399999999983</v>
      </c>
      <c r="P86" s="13">
        <f t="shared" si="87"/>
        <v>66.113366665488854</v>
      </c>
      <c r="Q86" s="20">
        <f t="shared" si="54"/>
        <v>595.78474694239264</v>
      </c>
      <c r="R86" s="59">
        <f t="shared" si="55"/>
        <v>889.11808027572602</v>
      </c>
      <c r="S86" s="59">
        <f ca="1">AVERAGE(OFFSET($R$3,0,0,'Données projet'!$E$9+1,1))-AVERAGE(OFFSET($H$3,0,0,'Données projet'!$E$9+1,1))</f>
        <v>336.59194805061094</v>
      </c>
      <c r="T86" s="59">
        <f t="shared" si="88"/>
        <v>473.66884161123909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2.9298323813143843</v>
      </c>
      <c r="AA86" s="21">
        <f>EXP(-LN(2)/25)*AA85+(1-EXP(-LN(2)/25))/(LN(2)/25)*Calculateur!V86*Calculateur!X86*VLOOKUP('Données projet'!$B$9,Paramètres!$A$1:$I$89,3,0)*0.475*44/12</f>
        <v>0</v>
      </c>
      <c r="AB86" s="21">
        <f>EXP(-LN(2)/2)*AB85+(1-EXP(-LN(2)/2))/(LN(2)/2)*V86*Y86*VLOOKUP('Données projet'!$B$9,Paramètres!$A$1:$I$89,3,0)*0.475*44/12</f>
        <v>0</v>
      </c>
      <c r="AC86" s="22">
        <f t="shared" si="57"/>
        <v>2.9298323813143843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IF('Données projet'!$A$62&gt;35,AI85+AH86-AQ85,IF(A86&lt;'Données projet'!$A$62,$AF$205^A86,IF(A86='Données projet'!$A$62,'Données projet'!$B$62,AI85+AH86-AQ85)))</f>
        <v>319</v>
      </c>
      <c r="AJ86" s="13">
        <f>AI86*VLOOKUP('Données projet'!$B$10,Paramètres!$A$1:$I$89,3,0)*VLOOKUP('Données projet'!$B$10,Paramètres!$A$1:$I$89,5,0)</f>
        <v>209.00879999999998</v>
      </c>
      <c r="AK86" s="13">
        <f t="shared" si="89"/>
        <v>51.718923953824202</v>
      </c>
      <c r="AL86" s="20">
        <f t="shared" si="58"/>
        <v>454.10078588624373</v>
      </c>
      <c r="AM86" s="59">
        <f t="shared" si="59"/>
        <v>747.43411921957704</v>
      </c>
      <c r="AN86" s="59">
        <f ca="1">AVERAGE(OFFSET($AM$3,0,0,'Données projet'!$E$10+1,1))-AVERAGE(OFFSET($H$3,0,0,'Données projet'!$E$10+1,1))</f>
        <v>244.66788784685366</v>
      </c>
      <c r="AO86" s="59">
        <f t="shared" si="90"/>
        <v>252.04429018409274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33.47506232867697</v>
      </c>
      <c r="AV86" s="21">
        <f>EXP(-LN(2)/25)*AV85+(1-EXP(-LN(2)/25))/(LN(2)/25)*Calculateur!AQ86*Calculateur!AS86*VLOOKUP('Données projet'!$B$10,Paramètres!$A$1:$I$89,3,0)*0.475*44/12</f>
        <v>0</v>
      </c>
      <c r="AW86" s="21">
        <f>EXP(-LN(2)/2)*AW85+(1-EXP(-LN(2)/2))/(LN(2)/2)*AQ86*AT86*VLOOKUP('Données projet'!$B$10,Paramètres!$A$1:$I$89,3,0)*0.475*44/12</f>
        <v>0</v>
      </c>
      <c r="AX86" s="21">
        <f t="shared" si="60"/>
        <v>33.47506232867697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5.4</v>
      </c>
      <c r="BD86" s="12">
        <f>IF('Données projet'!$A$88&gt;35,BD85+BC86-BL85,IF(A86&lt;'Données projet'!$A$88,$BA$205^A86,IF(A86='Données projet'!$A$88,'Données projet'!$B$88,BD85+BC86-BL85)))</f>
        <v>252.19999999999993</v>
      </c>
      <c r="BE86" s="13">
        <f>BD86*VLOOKUP('Données projet'!$B$11,Paramètres!$A$1:$I$89,3,0)*VLOOKUP('Données projet'!$B$11,Paramètres!$A$1:$I$89,5,0)</f>
        <v>239.99351999999993</v>
      </c>
      <c r="BF86" s="13">
        <f t="shared" si="91"/>
        <v>58.438136276457023</v>
      </c>
      <c r="BG86" s="20">
        <f t="shared" si="61"/>
        <v>519.76846801482918</v>
      </c>
      <c r="BH86" s="59">
        <f t="shared" si="62"/>
        <v>813.10180134816255</v>
      </c>
      <c r="BI86" s="59">
        <f ca="1">AVERAGE(OFFSET($BH$3,0,0,'Données projet'!$E$11+1,1))-AVERAGE(OFFSET($H$3,0,0,'Données projet'!$E$11+1,1))</f>
        <v>373.51596132356536</v>
      </c>
      <c r="BJ86" s="59">
        <f t="shared" si="92"/>
        <v>417.00150517020114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79.789427003688985</v>
      </c>
      <c r="BQ86" s="21">
        <f>EXP(-LN(2)/25)*BQ85+(1-EXP(-LN(2)/25))/(LN(2)/25)*Calculateur!BL86*Calculateur!BN86*VLOOKUP('Données projet'!$B$11,Paramètres!$A$1:$I$89,3,0)*0.475*44/12</f>
        <v>0</v>
      </c>
      <c r="BR86" s="21">
        <f>EXP(-LN(2)/2)*BR85+(1-EXP(-LN(2)/2))/(LN(2)/2)*BL86*BO86*VLOOKUP('Données projet'!$B$11,Paramètres!$A$1:$I$89,3,0)*0.475*44/12</f>
        <v>0</v>
      </c>
      <c r="BS86" s="22">
        <f t="shared" si="63"/>
        <v>79.789427003688985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5.8</v>
      </c>
      <c r="BY86" s="12">
        <f>IF('Données projet'!$A$114&gt;35,BY85+BX86-CG85,IF(A86&lt;'Données projet'!$A$114,$BV$205^A86,IF(A86='Données projet'!$A$114,'Données projet'!$B$114,BY85+BX86-CG85)))</f>
        <v>257.39999999999992</v>
      </c>
      <c r="BZ86" s="13">
        <f>BY86*VLOOKUP('Données projet'!$B$12,Paramètres!$A$1:$I$89,3,0)*VLOOKUP('Données projet'!$B$12,Paramètres!$A$1:$I$89,5,0)</f>
        <v>232.89551999999992</v>
      </c>
      <c r="CA86" s="13">
        <f t="shared" si="93"/>
        <v>56.908304063818662</v>
      </c>
      <c r="CB86" s="20">
        <f t="shared" si="64"/>
        <v>504.74166024448397</v>
      </c>
      <c r="CC86" s="59">
        <f t="shared" si="65"/>
        <v>798.07499357781728</v>
      </c>
      <c r="CD86" s="59">
        <f ca="1">AVERAGE(OFFSET($CC$3,0,0,'Données projet'!$E$12+1,1))-AVERAGE(OFFSET($H$3,0,0,'Données projet'!$E$12+1,1))</f>
        <v>289.19622253646992</v>
      </c>
      <c r="CE86" s="59">
        <f t="shared" si="94"/>
        <v>191.23827338431175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>
        <f>EXP(-LN(2)/35)*CK85+(1-EXP(-LN(2)/35))/(LN(2)/35)*CG86*CH86*VLOOKUP('Données projet'!$B$12,Paramètres!$A$1:$I$89,3,0)*0.475*44/12</f>
        <v>56.739885596326133</v>
      </c>
      <c r="CL86" s="21">
        <f>EXP(-LN(2)/25)*CL85+(1-EXP(-LN(2)/25))/(LN(2)/25)*Calculateur!CG86*Calculateur!CI86*VLOOKUP('Données projet'!$B$12,Paramètres!$A$1:$I$89,3,0)*0.475*44/12</f>
        <v>0</v>
      </c>
      <c r="CM86" s="21">
        <f>EXP(-LN(2)/2)*CM85+(1-EXP(-LN(2)/2))/(LN(2)/2)*CG86*CJ86*VLOOKUP('Données projet'!$B$12,Paramètres!$A$1:$I$89,3,0)*0.475*44/12</f>
        <v>0</v>
      </c>
      <c r="CN86" s="22">
        <f t="shared" si="66"/>
        <v>56.739885596326133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3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48.484799999999964</v>
      </c>
      <c r="D87" s="11">
        <f t="shared" si="86"/>
        <v>14.22175460060549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484.05059691695442</v>
      </c>
      <c r="H87" s="67">
        <f t="shared" si="56"/>
        <v>365.88058259605452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304.99999999999983</v>
      </c>
      <c r="O87" s="13">
        <f>N87*VLOOKUP('Données projet'!$B$9,Paramètres!$A$1:$I$89,3,0)*VLOOKUP('Données projet'!$B$9,Paramètres!$A$1:$I$89,5,0)</f>
        <v>275.96399999999983</v>
      </c>
      <c r="P87" s="13">
        <f t="shared" si="87"/>
        <v>66.113366665488854</v>
      </c>
      <c r="Q87" s="20">
        <f t="shared" si="54"/>
        <v>595.78474694239264</v>
      </c>
      <c r="R87" s="59">
        <f t="shared" si="55"/>
        <v>889.11808027572602</v>
      </c>
      <c r="S87" s="59">
        <f ca="1">AVERAGE(OFFSET($R$3,0,0,'Données projet'!$E$9+1,1))-AVERAGE(OFFSET($H$3,0,0,'Données projet'!$E$9+1,1))</f>
        <v>336.59194805061094</v>
      </c>
      <c r="T87" s="59">
        <f t="shared" si="88"/>
        <v>473.66884161123909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2.8723801553381083</v>
      </c>
      <c r="AA87" s="21">
        <f>EXP(-LN(2)/25)*AA86+(1-EXP(-LN(2)/25))/(LN(2)/25)*Calculateur!V87*Calculateur!X87*VLOOKUP('Données projet'!$B$9,Paramètres!$A$1:$I$89,3,0)*0.475*44/12</f>
        <v>0</v>
      </c>
      <c r="AB87" s="21">
        <f>EXP(-LN(2)/2)*AB86+(1-EXP(-LN(2)/2))/(LN(2)/2)*V87*Y87*VLOOKUP('Données projet'!$B$9,Paramètres!$A$1:$I$89,3,0)*0.475*44/12</f>
        <v>0</v>
      </c>
      <c r="AC87" s="22">
        <f t="shared" si="57"/>
        <v>2.8723801553381083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IF('Données projet'!$A$62&gt;35,AI86+AH87-AQ86,IF(A87&lt;'Données projet'!$A$62,$AF$205^A87,IF(A87='Données projet'!$A$62,'Données projet'!$B$62,AI86+AH87-AQ86)))</f>
        <v>319</v>
      </c>
      <c r="AJ87" s="13">
        <f>AI87*VLOOKUP('Données projet'!$B$10,Paramètres!$A$1:$I$89,3,0)*VLOOKUP('Données projet'!$B$10,Paramètres!$A$1:$I$89,5,0)</f>
        <v>209.00879999999998</v>
      </c>
      <c r="AK87" s="13">
        <f t="shared" si="89"/>
        <v>51.718923953824202</v>
      </c>
      <c r="AL87" s="20">
        <f t="shared" si="58"/>
        <v>454.10078588624373</v>
      </c>
      <c r="AM87" s="59">
        <f t="shared" si="59"/>
        <v>747.43411921957704</v>
      </c>
      <c r="AN87" s="59">
        <f ca="1">AVERAGE(OFFSET($AM$3,0,0,'Données projet'!$E$10+1,1))-AVERAGE(OFFSET($H$3,0,0,'Données projet'!$E$10+1,1))</f>
        <v>244.66788784685366</v>
      </c>
      <c r="AO87" s="59">
        <f t="shared" si="90"/>
        <v>252.04429018409274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32.818636774183545</v>
      </c>
      <c r="AV87" s="21">
        <f>EXP(-LN(2)/25)*AV86+(1-EXP(-LN(2)/25))/(LN(2)/25)*Calculateur!AQ87*Calculateur!AS87*VLOOKUP('Données projet'!$B$10,Paramètres!$A$1:$I$89,3,0)*0.475*44/12</f>
        <v>0</v>
      </c>
      <c r="AW87" s="21">
        <f>EXP(-LN(2)/2)*AW86+(1-EXP(-LN(2)/2))/(LN(2)/2)*AQ87*AT87*VLOOKUP('Données projet'!$B$10,Paramètres!$A$1:$I$89,3,0)*0.475*44/12</f>
        <v>0</v>
      </c>
      <c r="AX87" s="21">
        <f t="shared" si="60"/>
        <v>32.818636774183545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5.4</v>
      </c>
      <c r="BD87" s="12">
        <f>IF('Données projet'!$A$88&gt;35,BD86+BC87-BL86,IF(A87&lt;'Données projet'!$A$88,$BA$205^A87,IF(A87='Données projet'!$A$88,'Données projet'!$B$88,BD86+BC87-BL86)))</f>
        <v>257.59999999999991</v>
      </c>
      <c r="BE87" s="13">
        <f>BD87*VLOOKUP('Données projet'!$B$11,Paramètres!$A$1:$I$89,3,0)*VLOOKUP('Données projet'!$B$11,Paramètres!$A$1:$I$89,5,0)</f>
        <v>245.13215999999991</v>
      </c>
      <c r="BF87" s="13">
        <f t="shared" si="91"/>
        <v>59.542376278413307</v>
      </c>
      <c r="BG87" s="20">
        <f t="shared" si="61"/>
        <v>530.64148401823638</v>
      </c>
      <c r="BH87" s="59">
        <f t="shared" si="62"/>
        <v>823.97481735156975</v>
      </c>
      <c r="BI87" s="59">
        <f ca="1">AVERAGE(OFFSET($BH$3,0,0,'Données projet'!$E$11+1,1))-AVERAGE(OFFSET($H$3,0,0,'Données projet'!$E$11+1,1))</f>
        <v>373.51596132356536</v>
      </c>
      <c r="BJ87" s="59">
        <f t="shared" si="92"/>
        <v>417.00150517020114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78.224805006891671</v>
      </c>
      <c r="BQ87" s="21">
        <f>EXP(-LN(2)/25)*BQ86+(1-EXP(-LN(2)/25))/(LN(2)/25)*Calculateur!BL87*Calculateur!BN87*VLOOKUP('Données projet'!$B$11,Paramètres!$A$1:$I$89,3,0)*0.475*44/12</f>
        <v>0</v>
      </c>
      <c r="BR87" s="21">
        <f>EXP(-LN(2)/2)*BR86+(1-EXP(-LN(2)/2))/(LN(2)/2)*BL87*BO87*VLOOKUP('Données projet'!$B$11,Paramètres!$A$1:$I$89,3,0)*0.475*44/12</f>
        <v>0</v>
      </c>
      <c r="BS87" s="22">
        <f t="shared" si="63"/>
        <v>78.224805006891671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5.8</v>
      </c>
      <c r="BY87" s="12">
        <f>IF('Données projet'!$A$114&gt;35,BY86+BX87-CG86,IF(A87&lt;'Données projet'!$A$114,$BV$205^A87,IF(A87='Données projet'!$A$114,'Données projet'!$B$114,BY86+BX87-CG86)))</f>
        <v>263.19999999999993</v>
      </c>
      <c r="BZ87" s="13">
        <f>BY87*VLOOKUP('Données projet'!$B$12,Paramètres!$A$1:$I$89,3,0)*VLOOKUP('Données projet'!$B$12,Paramètres!$A$1:$I$89,5,0)</f>
        <v>238.14335999999992</v>
      </c>
      <c r="CA87" s="13">
        <f t="shared" si="93"/>
        <v>58.039884968630489</v>
      </c>
      <c r="CB87" s="20">
        <f t="shared" si="64"/>
        <v>515.85248498703129</v>
      </c>
      <c r="CC87" s="59">
        <f t="shared" si="65"/>
        <v>809.18581832036466</v>
      </c>
      <c r="CD87" s="59">
        <f ca="1">AVERAGE(OFFSET($CC$3,0,0,'Données projet'!$E$12+1,1))-AVERAGE(OFFSET($H$3,0,0,'Données projet'!$E$12+1,1))</f>
        <v>289.19622253646992</v>
      </c>
      <c r="CE87" s="59">
        <f t="shared" si="94"/>
        <v>191.23827338431175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>
        <f>EXP(-LN(2)/35)*CK86+(1-EXP(-LN(2)/35))/(LN(2)/35)*CG87*CH87*VLOOKUP('Données projet'!$B$12,Paramètres!$A$1:$I$89,3,0)*0.475*44/12</f>
        <v>55.627251047695147</v>
      </c>
      <c r="CL87" s="21">
        <f>EXP(-LN(2)/25)*CL86+(1-EXP(-LN(2)/25))/(LN(2)/25)*Calculateur!CG87*Calculateur!CI87*VLOOKUP('Données projet'!$B$12,Paramètres!$A$1:$I$89,3,0)*0.475*44/12</f>
        <v>0</v>
      </c>
      <c r="CM87" s="21">
        <f>EXP(-LN(2)/2)*CM86+(1-EXP(-LN(2)/2))/(LN(2)/2)*CG87*CJ87*VLOOKUP('Données projet'!$B$12,Paramètres!$A$1:$I$89,3,0)*0.475*44/12</f>
        <v>0</v>
      </c>
      <c r="CN87" s="22">
        <f t="shared" si="66"/>
        <v>55.627251047695147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3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49.061999999999962</v>
      </c>
      <c r="D88" s="11">
        <f t="shared" si="86"/>
        <v>14.371250719841598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489.66018099526826</v>
      </c>
      <c r="H88" s="67">
        <f t="shared" si="56"/>
        <v>367.14624500372406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304.99999999999983</v>
      </c>
      <c r="O88" s="13">
        <f>N88*VLOOKUP('Données projet'!$B$9,Paramètres!$A$1:$I$89,3,0)*VLOOKUP('Données projet'!$B$9,Paramètres!$A$1:$I$89,5,0)</f>
        <v>275.96399999999983</v>
      </c>
      <c r="P88" s="13">
        <f t="shared" si="87"/>
        <v>66.113366665488854</v>
      </c>
      <c r="Q88" s="20">
        <f t="shared" si="54"/>
        <v>595.78474694239264</v>
      </c>
      <c r="R88" s="59">
        <f t="shared" si="55"/>
        <v>889.11808027572602</v>
      </c>
      <c r="S88" s="59">
        <f ca="1">AVERAGE(OFFSET($R$3,0,0,'Données projet'!$E$9+1,1))-AVERAGE(OFFSET($H$3,0,0,'Données projet'!$E$9+1,1))</f>
        <v>336.59194805061094</v>
      </c>
      <c r="T88" s="59">
        <f t="shared" si="88"/>
        <v>473.66884161123909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2.816054532470829</v>
      </c>
      <c r="AA88" s="21">
        <f>EXP(-LN(2)/25)*AA87+(1-EXP(-LN(2)/25))/(LN(2)/25)*Calculateur!V88*Calculateur!X88*VLOOKUP('Données projet'!$B$9,Paramètres!$A$1:$I$89,3,0)*0.475*44/12</f>
        <v>0</v>
      </c>
      <c r="AB88" s="21">
        <f>EXP(-LN(2)/2)*AB87+(1-EXP(-LN(2)/2))/(LN(2)/2)*V88*Y88*VLOOKUP('Données projet'!$B$9,Paramètres!$A$1:$I$89,3,0)*0.475*44/12</f>
        <v>0</v>
      </c>
      <c r="AC88" s="22">
        <f t="shared" si="57"/>
        <v>2.816054532470829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319</v>
      </c>
      <c r="AJ88" s="13">
        <f>AI88*VLOOKUP('Données projet'!$B$10,Paramètres!$A$1:$I$89,3,0)*VLOOKUP('Données projet'!$B$10,Paramètres!$A$1:$I$89,5,0)</f>
        <v>209.00879999999998</v>
      </c>
      <c r="AK88" s="13">
        <f t="shared" si="89"/>
        <v>51.718923953824202</v>
      </c>
      <c r="AL88" s="20">
        <f t="shared" si="58"/>
        <v>454.10078588624373</v>
      </c>
      <c r="AM88" s="59">
        <f t="shared" si="59"/>
        <v>747.43411921957704</v>
      </c>
      <c r="AN88" s="59">
        <f ca="1">AVERAGE(OFFSET($AM$3,0,0,'Données projet'!$E$10+1,1))-AVERAGE(OFFSET($H$3,0,0,'Données projet'!$E$10+1,1))</f>
        <v>244.66788784685366</v>
      </c>
      <c r="AO88" s="59">
        <f t="shared" si="90"/>
        <v>252.04429018409274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32.175083324433686</v>
      </c>
      <c r="AV88" s="21">
        <f>EXP(-LN(2)/25)*AV87+(1-EXP(-LN(2)/25))/(LN(2)/25)*Calculateur!AQ88*Calculateur!AS88*VLOOKUP('Données projet'!$B$10,Paramètres!$A$1:$I$89,3,0)*0.475*44/12</f>
        <v>0</v>
      </c>
      <c r="AW88" s="21">
        <f>EXP(-LN(2)/2)*AW87+(1-EXP(-LN(2)/2))/(LN(2)/2)*AQ88*AT88*VLOOKUP('Données projet'!$B$10,Paramètres!$A$1:$I$89,3,0)*0.475*44/12</f>
        <v>0</v>
      </c>
      <c r="AX88" s="21">
        <f t="shared" si="60"/>
        <v>32.175083324433686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>
        <f>VLOOKUP(A88,'Données projet'!$A$87:$I$107,2,0)</f>
        <v>263</v>
      </c>
      <c r="BB88" s="12">
        <f>VLOOKUP(A88,'Données projet'!$A$87:$I$107,9,0)</f>
        <v>5.4</v>
      </c>
      <c r="BC88" s="12">
        <f t="array" ref="BC88">INDEX(BB:BB,MIN(IF(ISNUMBER(BB88:BB284),ROW(BB88:BB284),"")))</f>
        <v>5.4</v>
      </c>
      <c r="BD88" s="12">
        <f>IF('Données projet'!$A$88&gt;35,BD87+BC88-BL87,IF(A88&lt;'Données projet'!$A$88,$BA$205^A88,IF(A88='Données projet'!$A$88,'Données projet'!$B$88,BD87+BC88-BL87)))</f>
        <v>262.99999999999989</v>
      </c>
      <c r="BE88" s="13">
        <f>BD88*VLOOKUP('Données projet'!$B$11,Paramètres!$A$1:$I$89,3,0)*VLOOKUP('Données projet'!$B$11,Paramètres!$A$1:$I$89,5,0)</f>
        <v>250.27079999999989</v>
      </c>
      <c r="BF88" s="13">
        <f t="shared" si="91"/>
        <v>60.643924942423787</v>
      </c>
      <c r="BG88" s="20">
        <f t="shared" si="61"/>
        <v>541.50981260805463</v>
      </c>
      <c r="BH88" s="59">
        <f t="shared" si="62"/>
        <v>834.843145941388</v>
      </c>
      <c r="BI88" s="59">
        <f ca="1">AVERAGE(OFFSET($BH$3,0,0,'Données projet'!$E$11+1,1))-AVERAGE(OFFSET($H$3,0,0,'Données projet'!$E$11+1,1))</f>
        <v>373.51596132356536</v>
      </c>
      <c r="BJ88" s="59">
        <f t="shared" si="92"/>
        <v>417.00150517020114</v>
      </c>
      <c r="BK88" s="15">
        <f>IF(ISNA(VLOOKUP(A88,'Données projet'!$A$87:$I$107,3,0)),0,VLOOKUP(A88,'Données projet'!$A$87:$I$107,3,0))</f>
        <v>16</v>
      </c>
      <c r="BL88" s="15">
        <f>IF(ISNA(VLOOKUP(A88,'Données projet'!$A$87:$I$107,4,0)),0,VLOOKUP(A88,'Données projet'!$A$87:$I$107,4,0))</f>
        <v>25</v>
      </c>
      <c r="BM88" s="16">
        <f>IF(ISNA(VLOOKUP(A88,'Données projet'!$A$87:$I$107,5,0)),0%,VLOOKUP(A88,'Données projet'!$A$87:$I$107,5,0)*VLOOKUP('Données projet'!$B$11,Paramètres!$A$1:$I$89,7,0))</f>
        <v>0.43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87.999494634634587</v>
      </c>
      <c r="BQ88" s="21">
        <f>EXP(-LN(2)/25)*BQ87+(1-EXP(-LN(2)/25))/(LN(2)/25)*Calculateur!BL88*Calculateur!BN88*VLOOKUP('Données projet'!$B$11,Paramètres!$A$1:$I$89,3,0)*0.475*44/12</f>
        <v>0</v>
      </c>
      <c r="BR88" s="21">
        <f>EXP(-LN(2)/2)*BR87+(1-EXP(-LN(2)/2))/(LN(2)/2)*BL88*BO88*VLOOKUP('Données projet'!$B$11,Paramètres!$A$1:$I$89,3,0)*0.475*44/12</f>
        <v>0</v>
      </c>
      <c r="BS88" s="22">
        <f t="shared" si="63"/>
        <v>87.999494634634587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>
        <f>VLOOKUP(A88,'Données projet'!$A$113:$I$133,2,0)</f>
        <v>269</v>
      </c>
      <c r="BW88" s="12">
        <f>VLOOKUP(A88,'Données projet'!$A$113:$I$133,9,0)</f>
        <v>5.8</v>
      </c>
      <c r="BX88" s="12">
        <f t="array" ref="BX88">INDEX(BW:BW,MIN(IF(ISNUMBER(BW88:BW284),ROW(BW88:BW284),"")))</f>
        <v>5.8</v>
      </c>
      <c r="BY88" s="12">
        <f>IF('Données projet'!$A$114&gt;35,BY87+BX88-CG87,IF(A88&lt;'Données projet'!$A$114,$BV$205^A88,IF(A88='Données projet'!$A$114,'Données projet'!$B$114,BY87+BX88-CG87)))</f>
        <v>268.99999999999994</v>
      </c>
      <c r="BZ88" s="13">
        <f>BY88*VLOOKUP('Données projet'!$B$12,Paramètres!$A$1:$I$89,3,0)*VLOOKUP('Données projet'!$B$12,Paramètres!$A$1:$I$89,5,0)</f>
        <v>243.39119999999994</v>
      </c>
      <c r="CA88" s="13">
        <f t="shared" si="93"/>
        <v>59.168566788241527</v>
      </c>
      <c r="CB88" s="20">
        <f t="shared" si="64"/>
        <v>526.95826048952051</v>
      </c>
      <c r="CC88" s="59">
        <f t="shared" si="65"/>
        <v>820.29159382285388</v>
      </c>
      <c r="CD88" s="59">
        <f ca="1">AVERAGE(OFFSET($CC$3,0,0,'Données projet'!$E$12+1,1))-AVERAGE(OFFSET($H$3,0,0,'Données projet'!$E$12+1,1))</f>
        <v>289.19622253646992</v>
      </c>
      <c r="CE88" s="59">
        <f t="shared" si="94"/>
        <v>191.23827338431175</v>
      </c>
      <c r="CF88" s="15">
        <f>IF(ISNA(VLOOKUP(A88,'Données projet'!$A$113:$I$133,3,0)),0,VLOOKUP(A88,'Données projet'!$A$113:$I$133,3,0))</f>
        <v>13</v>
      </c>
      <c r="CG88" s="15">
        <f>IF(ISNA(VLOOKUP(A88,'Données projet'!$A$113:$I$133,4,0)),0,VLOOKUP(A88,'Données projet'!$A$113:$I$133,4,0))</f>
        <v>21</v>
      </c>
      <c r="CH88" s="16">
        <f>IF(ISNA(VLOOKUP(A88,'Données projet'!$A$113:$I$133,5,0)),0%,VLOOKUP(A88,'Données projet'!$A$113:$I$133,5,0)*VLOOKUP('Données projet'!$B$12,Paramètres!$A$1:$I$89,7,0))</f>
        <v>0.43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>
        <f>EXP(-LN(2)/35)*CK87+(1-EXP(-LN(2)/35))/(LN(2)/35)*CG88*CH88*VLOOKUP('Données projet'!$B$12,Paramètres!$A$1:$I$89,3,0)*0.475*44/12</f>
        <v>63.568507866517507</v>
      </c>
      <c r="CL88" s="21">
        <f>EXP(-LN(2)/25)*CL87+(1-EXP(-LN(2)/25))/(LN(2)/25)*Calculateur!CG88*Calculateur!CI88*VLOOKUP('Données projet'!$B$12,Paramètres!$A$1:$I$89,3,0)*0.475*44/12</f>
        <v>0</v>
      </c>
      <c r="CM88" s="21">
        <f>EXP(-LN(2)/2)*CM87+(1-EXP(-LN(2)/2))/(LN(2)/2)*CG88*CJ88*VLOOKUP('Données projet'!$B$12,Paramètres!$A$1:$I$89,3,0)*0.475*44/12</f>
        <v>0</v>
      </c>
      <c r="CN88" s="22">
        <f t="shared" si="66"/>
        <v>63.568507866517507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3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49.63919999999996</v>
      </c>
      <c r="D89" s="11">
        <f t="shared" si="86"/>
        <v>14.520542252452634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495.26818580840592</v>
      </c>
      <c r="H89" s="67">
        <f t="shared" si="56"/>
        <v>368.41155108968826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304.99999999999983</v>
      </c>
      <c r="O89" s="13">
        <f>N89*VLOOKUP('Données projet'!$B$9,Paramètres!$A$1:$I$89,3,0)*VLOOKUP('Données projet'!$B$9,Paramètres!$A$1:$I$89,5,0)</f>
        <v>275.96399999999983</v>
      </c>
      <c r="P89" s="13">
        <f t="shared" si="87"/>
        <v>66.113366665488854</v>
      </c>
      <c r="Q89" s="20">
        <f t="shared" si="54"/>
        <v>595.78474694239264</v>
      </c>
      <c r="R89" s="59">
        <f t="shared" si="55"/>
        <v>889.11808027572602</v>
      </c>
      <c r="S89" s="59">
        <f ca="1">AVERAGE(OFFSET($R$3,0,0,'Données projet'!$E$9+1,1))-AVERAGE(OFFSET($H$3,0,0,'Données projet'!$E$9+1,1))</f>
        <v>336.59194805061094</v>
      </c>
      <c r="T89" s="59">
        <f t="shared" si="88"/>
        <v>473.66884161123909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2.7608334207127396</v>
      </c>
      <c r="AA89" s="21">
        <f>EXP(-LN(2)/25)*AA88+(1-EXP(-LN(2)/25))/(LN(2)/25)*Calculateur!V89*Calculateur!X89*VLOOKUP('Données projet'!$B$9,Paramètres!$A$1:$I$89,3,0)*0.475*44/12</f>
        <v>0</v>
      </c>
      <c r="AB89" s="21">
        <f>EXP(-LN(2)/2)*AB88+(1-EXP(-LN(2)/2))/(LN(2)/2)*V89*Y89*VLOOKUP('Données projet'!$B$9,Paramètres!$A$1:$I$89,3,0)*0.475*44/12</f>
        <v>0</v>
      </c>
      <c r="AC89" s="22">
        <f t="shared" si="57"/>
        <v>2.7608334207127396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319</v>
      </c>
      <c r="AJ89" s="13">
        <f>AI89*VLOOKUP('Données projet'!$B$10,Paramètres!$A$1:$I$89,3,0)*VLOOKUP('Données projet'!$B$10,Paramètres!$A$1:$I$89,5,0)</f>
        <v>209.00879999999998</v>
      </c>
      <c r="AK89" s="13">
        <f t="shared" si="89"/>
        <v>51.718923953824202</v>
      </c>
      <c r="AL89" s="20">
        <f t="shared" si="58"/>
        <v>454.10078588624373</v>
      </c>
      <c r="AM89" s="59">
        <f t="shared" si="59"/>
        <v>747.43411921957704</v>
      </c>
      <c r="AN89" s="59">
        <f ca="1">AVERAGE(OFFSET($AM$3,0,0,'Données projet'!$E$10+1,1))-AVERAGE(OFFSET($H$3,0,0,'Données projet'!$E$10+1,1))</f>
        <v>244.66788784685366</v>
      </c>
      <c r="AO89" s="59">
        <f t="shared" si="90"/>
        <v>252.04429018409274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31.544149565304576</v>
      </c>
      <c r="AV89" s="21">
        <f>EXP(-LN(2)/25)*AV88+(1-EXP(-LN(2)/25))/(LN(2)/25)*Calculateur!AQ89*Calculateur!AS89*VLOOKUP('Données projet'!$B$10,Paramètres!$A$1:$I$89,3,0)*0.475*44/12</f>
        <v>0</v>
      </c>
      <c r="AW89" s="21">
        <f>EXP(-LN(2)/2)*AW88+(1-EXP(-LN(2)/2))/(LN(2)/2)*AQ89*AT89*VLOOKUP('Données projet'!$B$10,Paramètres!$A$1:$I$89,3,0)*0.475*44/12</f>
        <v>0</v>
      </c>
      <c r="AX89" s="21">
        <f t="shared" si="60"/>
        <v>31.544149565304576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5.2</v>
      </c>
      <c r="BD89" s="12">
        <f>IF('Données projet'!$A$88&gt;35,BD88+BC89-BL88,IF(A89&lt;'Données projet'!$A$88,$BA$205^A89,IF(A89='Données projet'!$A$88,'Données projet'!$B$88,BD88+BC89-BL88)))</f>
        <v>243.19999999999987</v>
      </c>
      <c r="BE89" s="13">
        <f>BD89*VLOOKUP('Données projet'!$B$11,Paramètres!$A$1:$I$89,3,0)*VLOOKUP('Données projet'!$B$11,Paramètres!$A$1:$I$89,5,0)</f>
        <v>231.42911999999987</v>
      </c>
      <c r="BF89" s="13">
        <f t="shared" si="91"/>
        <v>56.591579198689885</v>
      </c>
      <c r="BG89" s="20">
        <f t="shared" si="61"/>
        <v>501.63605110438453</v>
      </c>
      <c r="BH89" s="59">
        <f t="shared" si="62"/>
        <v>794.96938443771785</v>
      </c>
      <c r="BI89" s="59">
        <f ca="1">AVERAGE(OFFSET($BH$3,0,0,'Données projet'!$E$11+1,1))-AVERAGE(OFFSET($H$3,0,0,'Données projet'!$E$11+1,1))</f>
        <v>373.51596132356536</v>
      </c>
      <c r="BJ89" s="59">
        <f t="shared" si="92"/>
        <v>417.00150517020114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86.273878219241226</v>
      </c>
      <c r="BQ89" s="21">
        <f>EXP(-LN(2)/25)*BQ88+(1-EXP(-LN(2)/25))/(LN(2)/25)*Calculateur!BL89*Calculateur!BN89*VLOOKUP('Données projet'!$B$11,Paramètres!$A$1:$I$89,3,0)*0.475*44/12</f>
        <v>0</v>
      </c>
      <c r="BR89" s="21">
        <f>EXP(-LN(2)/2)*BR88+(1-EXP(-LN(2)/2))/(LN(2)/2)*BL89*BO89*VLOOKUP('Données projet'!$B$11,Paramètres!$A$1:$I$89,3,0)*0.475*44/12</f>
        <v>0</v>
      </c>
      <c r="BS89" s="22">
        <f t="shared" si="63"/>
        <v>86.273878219241226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5.4</v>
      </c>
      <c r="BY89" s="12">
        <f>IF('Données projet'!$A$114&gt;35,BY88+BX89-CG88,IF(A89&lt;'Données projet'!$A$114,$BV$205^A89,IF(A89='Données projet'!$A$114,'Données projet'!$B$114,BY88+BX89-CG88)))</f>
        <v>253.39999999999992</v>
      </c>
      <c r="BZ89" s="13">
        <f>BY89*VLOOKUP('Données projet'!$B$12,Paramètres!$A$1:$I$89,3,0)*VLOOKUP('Données projet'!$B$12,Paramètres!$A$1:$I$89,5,0)</f>
        <v>229.27631999999994</v>
      </c>
      <c r="CA89" s="13">
        <f t="shared" si="93"/>
        <v>56.126176307517476</v>
      </c>
      <c r="CB89" s="20">
        <f t="shared" si="64"/>
        <v>497.07601440225949</v>
      </c>
      <c r="CC89" s="59">
        <f t="shared" si="65"/>
        <v>790.40934773559275</v>
      </c>
      <c r="CD89" s="59">
        <f ca="1">AVERAGE(OFFSET($CC$3,0,0,'Données projet'!$E$12+1,1))-AVERAGE(OFFSET($H$3,0,0,'Données projet'!$E$12+1,1))</f>
        <v>289.19622253646992</v>
      </c>
      <c r="CE89" s="59">
        <f t="shared" si="94"/>
        <v>191.23827338431175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>
        <f>EXP(-LN(2)/35)*CK88+(1-EXP(-LN(2)/35))/(LN(2)/35)*CG89*CH89*VLOOKUP('Données projet'!$B$12,Paramètres!$A$1:$I$89,3,0)*0.475*44/12</f>
        <v>62.321968200216382</v>
      </c>
      <c r="CL89" s="21">
        <f>EXP(-LN(2)/25)*CL88+(1-EXP(-LN(2)/25))/(LN(2)/25)*Calculateur!CG89*Calculateur!CI89*VLOOKUP('Données projet'!$B$12,Paramètres!$A$1:$I$89,3,0)*0.475*44/12</f>
        <v>0</v>
      </c>
      <c r="CM89" s="21">
        <f>EXP(-LN(2)/2)*CM88+(1-EXP(-LN(2)/2))/(LN(2)/2)*CG89*CJ89*VLOOKUP('Données projet'!$B$12,Paramètres!$A$1:$I$89,3,0)*0.475*44/12</f>
        <v>0</v>
      </c>
      <c r="CN89" s="22">
        <f t="shared" si="66"/>
        <v>62.321968200216382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3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50.216399999999958</v>
      </c>
      <c r="D90" s="11">
        <f t="shared" si="86"/>
        <v>14.669631852582198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500.87463184449388</v>
      </c>
      <c r="H90" s="67">
        <f t="shared" si="56"/>
        <v>369.67650547658059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304.99999999999983</v>
      </c>
      <c r="O90" s="13">
        <f>N90*VLOOKUP('Données projet'!$B$9,Paramètres!$A$1:$I$89,3,0)*VLOOKUP('Données projet'!$B$9,Paramètres!$A$1:$I$89,5,0)</f>
        <v>275.96399999999983</v>
      </c>
      <c r="P90" s="13">
        <f t="shared" si="87"/>
        <v>66.113366665488854</v>
      </c>
      <c r="Q90" s="20">
        <f t="shared" si="54"/>
        <v>595.78474694239264</v>
      </c>
      <c r="R90" s="59">
        <f t="shared" si="55"/>
        <v>889.11808027572602</v>
      </c>
      <c r="S90" s="59">
        <f ca="1">AVERAGE(OFFSET($R$3,0,0,'Données projet'!$E$9+1,1))-AVERAGE(OFFSET($H$3,0,0,'Données projet'!$E$9+1,1))</f>
        <v>336.59194805061094</v>
      </c>
      <c r="T90" s="59">
        <f t="shared" si="88"/>
        <v>473.66884161123909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2.7066951612746739</v>
      </c>
      <c r="AA90" s="21">
        <f>EXP(-LN(2)/25)*AA89+(1-EXP(-LN(2)/25))/(LN(2)/25)*Calculateur!V90*Calculateur!X90*VLOOKUP('Données projet'!$B$9,Paramètres!$A$1:$I$89,3,0)*0.475*44/12</f>
        <v>0</v>
      </c>
      <c r="AB90" s="21">
        <f>EXP(-LN(2)/2)*AB89+(1-EXP(-LN(2)/2))/(LN(2)/2)*V90*Y90*VLOOKUP('Données projet'!$B$9,Paramètres!$A$1:$I$89,3,0)*0.475*44/12</f>
        <v>0</v>
      </c>
      <c r="AC90" s="22">
        <f t="shared" si="57"/>
        <v>2.7066951612746739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319</v>
      </c>
      <c r="AJ90" s="13">
        <f>AI90*VLOOKUP('Données projet'!$B$10,Paramètres!$A$1:$I$89,3,0)*VLOOKUP('Données projet'!$B$10,Paramètres!$A$1:$I$89,5,0)</f>
        <v>209.00879999999998</v>
      </c>
      <c r="AK90" s="13">
        <f t="shared" si="89"/>
        <v>51.718923953824202</v>
      </c>
      <c r="AL90" s="20">
        <f t="shared" si="58"/>
        <v>454.10078588624373</v>
      </c>
      <c r="AM90" s="59">
        <f t="shared" si="59"/>
        <v>747.43411921957704</v>
      </c>
      <c r="AN90" s="59">
        <f ca="1">AVERAGE(OFFSET($AM$3,0,0,'Données projet'!$E$10+1,1))-AVERAGE(OFFSET($H$3,0,0,'Données projet'!$E$10+1,1))</f>
        <v>244.66788784685366</v>
      </c>
      <c r="AO90" s="59">
        <f t="shared" si="90"/>
        <v>252.04429018409274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30.925588032360391</v>
      </c>
      <c r="AV90" s="21">
        <f>EXP(-LN(2)/25)*AV89+(1-EXP(-LN(2)/25))/(LN(2)/25)*Calculateur!AQ90*Calculateur!AS90*VLOOKUP('Données projet'!$B$10,Paramètres!$A$1:$I$89,3,0)*0.475*44/12</f>
        <v>0</v>
      </c>
      <c r="AW90" s="21">
        <f>EXP(-LN(2)/2)*AW89+(1-EXP(-LN(2)/2))/(LN(2)/2)*AQ90*AT90*VLOOKUP('Données projet'!$B$10,Paramètres!$A$1:$I$89,3,0)*0.475*44/12</f>
        <v>0</v>
      </c>
      <c r="AX90" s="21">
        <f t="shared" si="60"/>
        <v>30.925588032360391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5.2</v>
      </c>
      <c r="BD90" s="12">
        <f>IF('Données projet'!$A$88&gt;35,BD89+BC90-BL89,IF(A90&lt;'Données projet'!$A$88,$BA$205^A90,IF(A90='Données projet'!$A$88,'Données projet'!$B$88,BD89+BC90-BL89)))</f>
        <v>248.39999999999986</v>
      </c>
      <c r="BE90" s="13">
        <f>BD90*VLOOKUP('Données projet'!$B$11,Paramètres!$A$1:$I$89,3,0)*VLOOKUP('Données projet'!$B$11,Paramètres!$A$1:$I$89,5,0)</f>
        <v>236.37743999999986</v>
      </c>
      <c r="BF90" s="13">
        <f t="shared" si="91"/>
        <v>57.659430484223769</v>
      </c>
      <c r="BG90" s="20">
        <f t="shared" si="61"/>
        <v>512.11421609335616</v>
      </c>
      <c r="BH90" s="59">
        <f t="shared" si="62"/>
        <v>805.44754942668942</v>
      </c>
      <c r="BI90" s="59">
        <f ca="1">AVERAGE(OFFSET($BH$3,0,0,'Données projet'!$E$11+1,1))-AVERAGE(OFFSET($H$3,0,0,'Données projet'!$E$11+1,1))</f>
        <v>373.51596132356536</v>
      </c>
      <c r="BJ90" s="59">
        <f t="shared" si="92"/>
        <v>417.00150517020114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84.582100089231645</v>
      </c>
      <c r="BQ90" s="21">
        <f>EXP(-LN(2)/25)*BQ89+(1-EXP(-LN(2)/25))/(LN(2)/25)*Calculateur!BL90*Calculateur!BN90*VLOOKUP('Données projet'!$B$11,Paramètres!$A$1:$I$89,3,0)*0.475*44/12</f>
        <v>0</v>
      </c>
      <c r="BR90" s="21">
        <f>EXP(-LN(2)/2)*BR89+(1-EXP(-LN(2)/2))/(LN(2)/2)*BL90*BO90*VLOOKUP('Données projet'!$B$11,Paramètres!$A$1:$I$89,3,0)*0.475*44/12</f>
        <v>0</v>
      </c>
      <c r="BS90" s="22">
        <f t="shared" si="63"/>
        <v>84.582100089231645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5.4</v>
      </c>
      <c r="BY90" s="12">
        <f>IF('Données projet'!$A$114&gt;35,BY89+BX90-CG89,IF(A90&lt;'Données projet'!$A$114,$BV$205^A90,IF(A90='Données projet'!$A$114,'Données projet'!$B$114,BY89+BX90-CG89)))</f>
        <v>258.7999999999999</v>
      </c>
      <c r="BZ90" s="13">
        <f>BY90*VLOOKUP('Données projet'!$B$12,Paramètres!$A$1:$I$89,3,0)*VLOOKUP('Données projet'!$B$12,Paramètres!$A$1:$I$89,5,0)</f>
        <v>234.16223999999988</v>
      </c>
      <c r="CA90" s="13">
        <f t="shared" si="93"/>
        <v>57.181713578143047</v>
      </c>
      <c r="CB90" s="20">
        <f t="shared" si="64"/>
        <v>507.42405248193222</v>
      </c>
      <c r="CC90" s="59">
        <f t="shared" si="65"/>
        <v>800.75738581526548</v>
      </c>
      <c r="CD90" s="59">
        <f ca="1">AVERAGE(OFFSET($CC$3,0,0,'Données projet'!$E$12+1,1))-AVERAGE(OFFSET($H$3,0,0,'Données projet'!$E$12+1,1))</f>
        <v>289.19622253646992</v>
      </c>
      <c r="CE90" s="59">
        <f t="shared" si="94"/>
        <v>191.23827338431175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>
        <f>EXP(-LN(2)/35)*CK89+(1-EXP(-LN(2)/35))/(LN(2)/35)*CG90*CH90*VLOOKUP('Données projet'!$B$12,Paramètres!$A$1:$I$89,3,0)*0.475*44/12</f>
        <v>61.099872416457302</v>
      </c>
      <c r="CL90" s="21">
        <f>EXP(-LN(2)/25)*CL89+(1-EXP(-LN(2)/25))/(LN(2)/25)*Calculateur!CG90*Calculateur!CI90*VLOOKUP('Données projet'!$B$12,Paramètres!$A$1:$I$89,3,0)*0.475*44/12</f>
        <v>0</v>
      </c>
      <c r="CM90" s="21">
        <f>EXP(-LN(2)/2)*CM89+(1-EXP(-LN(2)/2))/(LN(2)/2)*CG90*CJ90*VLOOKUP('Données projet'!$B$12,Paramètres!$A$1:$I$89,3,0)*0.475*44/12</f>
        <v>0</v>
      </c>
      <c r="CN90" s="22">
        <f t="shared" si="66"/>
        <v>61.099872416457302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3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50.793599999999955</v>
      </c>
      <c r="D91" s="11">
        <f t="shared" si="86"/>
        <v>14.818522109847001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506.47953909355539</v>
      </c>
      <c r="H91" s="67">
        <f t="shared" si="56"/>
        <v>370.94111267465013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304.99999999999983</v>
      </c>
      <c r="O91" s="13">
        <f>N91*VLOOKUP('Données projet'!$B$9,Paramètres!$A$1:$I$89,3,0)*VLOOKUP('Données projet'!$B$9,Paramètres!$A$1:$I$89,5,0)</f>
        <v>275.96399999999983</v>
      </c>
      <c r="P91" s="13">
        <f t="shared" si="87"/>
        <v>66.113366665488854</v>
      </c>
      <c r="Q91" s="20">
        <f t="shared" si="54"/>
        <v>595.78474694239264</v>
      </c>
      <c r="R91" s="59">
        <f t="shared" si="55"/>
        <v>889.11808027572602</v>
      </c>
      <c r="S91" s="59">
        <f ca="1">AVERAGE(OFFSET($R$3,0,0,'Données projet'!$E$9+1,1))-AVERAGE(OFFSET($H$3,0,0,'Données projet'!$E$9+1,1))</f>
        <v>336.59194805061094</v>
      </c>
      <c r="T91" s="59">
        <f t="shared" si="88"/>
        <v>473.66884161123909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2.6536185200831111</v>
      </c>
      <c r="AA91" s="21">
        <f>EXP(-LN(2)/25)*AA90+(1-EXP(-LN(2)/25))/(LN(2)/25)*Calculateur!V91*Calculateur!X91*VLOOKUP('Données projet'!$B$9,Paramètres!$A$1:$I$89,3,0)*0.475*44/12</f>
        <v>0</v>
      </c>
      <c r="AB91" s="21">
        <f>EXP(-LN(2)/2)*AB90+(1-EXP(-LN(2)/2))/(LN(2)/2)*V91*Y91*VLOOKUP('Données projet'!$B$9,Paramètres!$A$1:$I$89,3,0)*0.475*44/12</f>
        <v>0</v>
      </c>
      <c r="AC91" s="22">
        <f t="shared" si="57"/>
        <v>2.6536185200831111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319</v>
      </c>
      <c r="AJ91" s="13">
        <f>AI91*VLOOKUP('Données projet'!$B$10,Paramètres!$A$1:$I$89,3,0)*VLOOKUP('Données projet'!$B$10,Paramètres!$A$1:$I$89,5,0)</f>
        <v>209.00879999999998</v>
      </c>
      <c r="AK91" s="13">
        <f t="shared" si="89"/>
        <v>51.718923953824202</v>
      </c>
      <c r="AL91" s="20">
        <f t="shared" si="58"/>
        <v>454.10078588624373</v>
      </c>
      <c r="AM91" s="59">
        <f t="shared" si="59"/>
        <v>747.43411921957704</v>
      </c>
      <c r="AN91" s="59">
        <f ca="1">AVERAGE(OFFSET($AM$3,0,0,'Données projet'!$E$10+1,1))-AVERAGE(OFFSET($H$3,0,0,'Données projet'!$E$10+1,1))</f>
        <v>244.66788784685366</v>
      </c>
      <c r="AO91" s="59">
        <f t="shared" si="90"/>
        <v>252.04429018409274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30.319156113791962</v>
      </c>
      <c r="AV91" s="21">
        <f>EXP(-LN(2)/25)*AV90+(1-EXP(-LN(2)/25))/(LN(2)/25)*Calculateur!AQ91*Calculateur!AS91*VLOOKUP('Données projet'!$B$10,Paramètres!$A$1:$I$89,3,0)*0.475*44/12</f>
        <v>0</v>
      </c>
      <c r="AW91" s="21">
        <f>EXP(-LN(2)/2)*AW90+(1-EXP(-LN(2)/2))/(LN(2)/2)*AQ91*AT91*VLOOKUP('Données projet'!$B$10,Paramètres!$A$1:$I$89,3,0)*0.475*44/12</f>
        <v>0</v>
      </c>
      <c r="AX91" s="21">
        <f t="shared" si="60"/>
        <v>30.319156113791962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5.2</v>
      </c>
      <c r="BD91" s="12">
        <f>IF('Données projet'!$A$88&gt;35,BD90+BC91-BL90,IF(A91&lt;'Données projet'!$A$88,$BA$205^A91,IF(A91='Données projet'!$A$88,'Données projet'!$B$88,BD90+BC91-BL90)))</f>
        <v>253.59999999999985</v>
      </c>
      <c r="BE91" s="13">
        <f>BD91*VLOOKUP('Données projet'!$B$11,Paramètres!$A$1:$I$89,3,0)*VLOOKUP('Données projet'!$B$11,Paramètres!$A$1:$I$89,5,0)</f>
        <v>241.32575999999986</v>
      </c>
      <c r="BF91" s="13">
        <f t="shared" si="91"/>
        <v>58.724682687532706</v>
      </c>
      <c r="BG91" s="20">
        <f t="shared" si="61"/>
        <v>522.58785434745243</v>
      </c>
      <c r="BH91" s="59">
        <f t="shared" si="62"/>
        <v>815.92118768078581</v>
      </c>
      <c r="BI91" s="59">
        <f ca="1">AVERAGE(OFFSET($BH$3,0,0,'Données projet'!$E$11+1,1))-AVERAGE(OFFSET($H$3,0,0,'Données projet'!$E$11+1,1))</f>
        <v>373.51596132356536</v>
      </c>
      <c r="BJ91" s="59">
        <f t="shared" si="92"/>
        <v>417.00150517020114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82.923496696468774</v>
      </c>
      <c r="BQ91" s="21">
        <f>EXP(-LN(2)/25)*BQ90+(1-EXP(-LN(2)/25))/(LN(2)/25)*Calculateur!BL91*Calculateur!BN91*VLOOKUP('Données projet'!$B$11,Paramètres!$A$1:$I$89,3,0)*0.475*44/12</f>
        <v>0</v>
      </c>
      <c r="BR91" s="21">
        <f>EXP(-LN(2)/2)*BR90+(1-EXP(-LN(2)/2))/(LN(2)/2)*BL91*BO91*VLOOKUP('Données projet'!$B$11,Paramètres!$A$1:$I$89,3,0)*0.475*44/12</f>
        <v>0</v>
      </c>
      <c r="BS91" s="22">
        <f t="shared" si="63"/>
        <v>82.923496696468774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5.4</v>
      </c>
      <c r="BY91" s="12">
        <f>IF('Données projet'!$A$114&gt;35,BY90+BX91-CG90,IF(A91&lt;'Données projet'!$A$114,$BV$205^A91,IF(A91='Données projet'!$A$114,'Données projet'!$B$114,BY90+BX91-CG90)))</f>
        <v>264.19999999999987</v>
      </c>
      <c r="BZ91" s="13">
        <f>BY91*VLOOKUP('Données projet'!$B$12,Paramètres!$A$1:$I$89,3,0)*VLOOKUP('Données projet'!$B$12,Paramètres!$A$1:$I$89,5,0)</f>
        <v>239.04815999999985</v>
      </c>
      <c r="CA91" s="13">
        <f t="shared" si="93"/>
        <v>58.234690128947292</v>
      </c>
      <c r="CB91" s="20">
        <f t="shared" si="64"/>
        <v>517.76763064124964</v>
      </c>
      <c r="CC91" s="59">
        <f t="shared" si="65"/>
        <v>811.10096397458301</v>
      </c>
      <c r="CD91" s="59">
        <f ca="1">AVERAGE(OFFSET($CC$3,0,0,'Données projet'!$E$12+1,1))-AVERAGE(OFFSET($H$3,0,0,'Données projet'!$E$12+1,1))</f>
        <v>289.19622253646992</v>
      </c>
      <c r="CE91" s="59">
        <f t="shared" si="94"/>
        <v>191.23827338431175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>
        <f>EXP(-LN(2)/35)*CK90+(1-EXP(-LN(2)/35))/(LN(2)/35)*CG91*CH91*VLOOKUP('Données projet'!$B$12,Paramètres!$A$1:$I$89,3,0)*0.475*44/12</f>
        <v>59.901741185612913</v>
      </c>
      <c r="CL91" s="21">
        <f>EXP(-LN(2)/25)*CL90+(1-EXP(-LN(2)/25))/(LN(2)/25)*Calculateur!CG91*Calculateur!CI91*VLOOKUP('Données projet'!$B$12,Paramètres!$A$1:$I$89,3,0)*0.475*44/12</f>
        <v>0</v>
      </c>
      <c r="CM91" s="21">
        <f>EXP(-LN(2)/2)*CM90+(1-EXP(-LN(2)/2))/(LN(2)/2)*CG91*CJ91*VLOOKUP('Données projet'!$B$12,Paramètres!$A$1:$I$89,3,0)*0.475*44/12</f>
        <v>0</v>
      </c>
      <c r="CN91" s="22">
        <f t="shared" si="66"/>
        <v>59.901741185612913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3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51.370799999999953</v>
      </c>
      <c r="D92" s="11">
        <f t="shared" si="86"/>
        <v>14.967215551620642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512.08292706514158</v>
      </c>
      <c r="H92" s="67">
        <f t="shared" si="56"/>
        <v>372.2053770857392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304.99999999999983</v>
      </c>
      <c r="O92" s="13">
        <f>N92*VLOOKUP('Données projet'!$B$9,Paramètres!$A$1:$I$89,3,0)*VLOOKUP('Données projet'!$B$9,Paramètres!$A$1:$I$89,5,0)</f>
        <v>275.96399999999983</v>
      </c>
      <c r="P92" s="13">
        <f t="shared" si="87"/>
        <v>66.113366665488854</v>
      </c>
      <c r="Q92" s="20">
        <f t="shared" si="54"/>
        <v>595.78474694239264</v>
      </c>
      <c r="R92" s="59">
        <f t="shared" si="55"/>
        <v>889.11808027572602</v>
      </c>
      <c r="S92" s="59">
        <f ca="1">AVERAGE(OFFSET($R$3,0,0,'Données projet'!$E$9+1,1))-AVERAGE(OFFSET($H$3,0,0,'Données projet'!$E$9+1,1))</f>
        <v>336.59194805061094</v>
      </c>
      <c r="T92" s="59">
        <f t="shared" si="88"/>
        <v>473.66884161123909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2.6015826794517602</v>
      </c>
      <c r="AA92" s="21">
        <f>EXP(-LN(2)/25)*AA91+(1-EXP(-LN(2)/25))/(LN(2)/25)*Calculateur!V92*Calculateur!X92*VLOOKUP('Données projet'!$B$9,Paramètres!$A$1:$I$89,3,0)*0.475*44/12</f>
        <v>0</v>
      </c>
      <c r="AB92" s="21">
        <f>EXP(-LN(2)/2)*AB91+(1-EXP(-LN(2)/2))/(LN(2)/2)*V92*Y92*VLOOKUP('Données projet'!$B$9,Paramètres!$A$1:$I$89,3,0)*0.475*44/12</f>
        <v>0</v>
      </c>
      <c r="AC92" s="22">
        <f t="shared" si="57"/>
        <v>2.6015826794517602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319</v>
      </c>
      <c r="AJ92" s="13">
        <f>AI92*VLOOKUP('Données projet'!$B$10,Paramètres!$A$1:$I$89,3,0)*VLOOKUP('Données projet'!$B$10,Paramètres!$A$1:$I$89,5,0)</f>
        <v>209.00879999999998</v>
      </c>
      <c r="AK92" s="13">
        <f t="shared" si="89"/>
        <v>51.718923953824202</v>
      </c>
      <c r="AL92" s="20">
        <f t="shared" si="58"/>
        <v>454.10078588624373</v>
      </c>
      <c r="AM92" s="59">
        <f t="shared" si="59"/>
        <v>747.43411921957704</v>
      </c>
      <c r="AN92" s="59">
        <f ca="1">AVERAGE(OFFSET($AM$3,0,0,'Données projet'!$E$10+1,1))-AVERAGE(OFFSET($H$3,0,0,'Données projet'!$E$10+1,1))</f>
        <v>244.66788784685366</v>
      </c>
      <c r="AO92" s="59">
        <f t="shared" si="90"/>
        <v>252.04429018409274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29.724615955259711</v>
      </c>
      <c r="AV92" s="21">
        <f>EXP(-LN(2)/25)*AV91+(1-EXP(-LN(2)/25))/(LN(2)/25)*Calculateur!AQ92*Calculateur!AS92*VLOOKUP('Données projet'!$B$10,Paramètres!$A$1:$I$89,3,0)*0.475*44/12</f>
        <v>0</v>
      </c>
      <c r="AW92" s="21">
        <f>EXP(-LN(2)/2)*AW91+(1-EXP(-LN(2)/2))/(LN(2)/2)*AQ92*AT92*VLOOKUP('Données projet'!$B$10,Paramètres!$A$1:$I$89,3,0)*0.475*44/12</f>
        <v>0</v>
      </c>
      <c r="AX92" s="21">
        <f t="shared" si="60"/>
        <v>29.724615955259711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5.2</v>
      </c>
      <c r="BD92" s="12">
        <f>IF('Données projet'!$A$88&gt;35,BD91+BC92-BL91,IF(A92&lt;'Données projet'!$A$88,$BA$205^A92,IF(A92='Données projet'!$A$88,'Données projet'!$B$88,BD91+BC92-BL91)))</f>
        <v>258.79999999999984</v>
      </c>
      <c r="BE92" s="13">
        <f>BD92*VLOOKUP('Données projet'!$B$11,Paramètres!$A$1:$I$89,3,0)*VLOOKUP('Données projet'!$B$11,Paramètres!$A$1:$I$89,5,0)</f>
        <v>246.27407999999986</v>
      </c>
      <c r="BF92" s="13">
        <f t="shared" si="91"/>
        <v>59.787395242924475</v>
      </c>
      <c r="BG92" s="20">
        <f t="shared" si="61"/>
        <v>533.05706938142646</v>
      </c>
      <c r="BH92" s="59">
        <f t="shared" si="62"/>
        <v>826.39040271475983</v>
      </c>
      <c r="BI92" s="59">
        <f ca="1">AVERAGE(OFFSET($BH$3,0,0,'Données projet'!$E$11+1,1))-AVERAGE(OFFSET($H$3,0,0,'Données projet'!$E$11+1,1))</f>
        <v>373.51596132356536</v>
      </c>
      <c r="BJ92" s="59">
        <f t="shared" si="92"/>
        <v>417.00150517020114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81.297417504589816</v>
      </c>
      <c r="BQ92" s="21">
        <f>EXP(-LN(2)/25)*BQ91+(1-EXP(-LN(2)/25))/(LN(2)/25)*Calculateur!BL92*Calculateur!BN92*VLOOKUP('Données projet'!$B$11,Paramètres!$A$1:$I$89,3,0)*0.475*44/12</f>
        <v>0</v>
      </c>
      <c r="BR92" s="21">
        <f>EXP(-LN(2)/2)*BR91+(1-EXP(-LN(2)/2))/(LN(2)/2)*BL92*BO92*VLOOKUP('Données projet'!$B$11,Paramètres!$A$1:$I$89,3,0)*0.475*44/12</f>
        <v>0</v>
      </c>
      <c r="BS92" s="22">
        <f t="shared" si="63"/>
        <v>81.297417504589816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5.4</v>
      </c>
      <c r="BY92" s="12">
        <f>IF('Données projet'!$A$114&gt;35,BY91+BX92-CG91,IF(A92&lt;'Données projet'!$A$114,$BV$205^A92,IF(A92='Données projet'!$A$114,'Données projet'!$B$114,BY91+BX92-CG91)))</f>
        <v>269.59999999999985</v>
      </c>
      <c r="BZ92" s="13">
        <f>BY92*VLOOKUP('Données projet'!$B$12,Paramètres!$A$1:$I$89,3,0)*VLOOKUP('Données projet'!$B$12,Paramètres!$A$1:$I$89,5,0)</f>
        <v>243.93407999999988</v>
      </c>
      <c r="CA92" s="13">
        <f t="shared" si="93"/>
        <v>59.285164329617594</v>
      </c>
      <c r="CB92" s="20">
        <f t="shared" si="64"/>
        <v>528.10685054075043</v>
      </c>
      <c r="CC92" s="59">
        <f t="shared" si="65"/>
        <v>821.44018387408369</v>
      </c>
      <c r="CD92" s="59">
        <f ca="1">AVERAGE(OFFSET($CC$3,0,0,'Données projet'!$E$12+1,1))-AVERAGE(OFFSET($H$3,0,0,'Données projet'!$E$12+1,1))</f>
        <v>289.19622253646992</v>
      </c>
      <c r="CE92" s="59">
        <f t="shared" si="94"/>
        <v>191.23827338431175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>
        <f>EXP(-LN(2)/35)*CK91+(1-EXP(-LN(2)/35))/(LN(2)/35)*CG92*CH92*VLOOKUP('Données projet'!$B$12,Paramètres!$A$1:$I$89,3,0)*0.475*44/12</f>
        <v>58.727104577417492</v>
      </c>
      <c r="CL92" s="21">
        <f>EXP(-LN(2)/25)*CL91+(1-EXP(-LN(2)/25))/(LN(2)/25)*Calculateur!CG92*Calculateur!CI92*VLOOKUP('Données projet'!$B$12,Paramètres!$A$1:$I$89,3,0)*0.475*44/12</f>
        <v>0</v>
      </c>
      <c r="CM92" s="21">
        <f>EXP(-LN(2)/2)*CM91+(1-EXP(-LN(2)/2))/(LN(2)/2)*CG92*CJ92*VLOOKUP('Données projet'!$B$12,Paramètres!$A$1:$I$89,3,0)*0.475*44/12</f>
        <v>0</v>
      </c>
      <c r="CN92" s="22">
        <f t="shared" si="66"/>
        <v>58.727104577417492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3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51.947999999999951</v>
      </c>
      <c r="D93" s="11">
        <f t="shared" si="86"/>
        <v>15.115714645211879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517.68481480514401</v>
      </c>
      <c r="H93" s="67">
        <f t="shared" si="56"/>
        <v>373.46930300707731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304.99999999999983</v>
      </c>
      <c r="O93" s="13">
        <f>N93*VLOOKUP('Données projet'!$B$9,Paramètres!$A$1:$I$89,3,0)*VLOOKUP('Données projet'!$B$9,Paramètres!$A$1:$I$89,5,0)</f>
        <v>275.96399999999983</v>
      </c>
      <c r="P93" s="13">
        <f t="shared" si="87"/>
        <v>66.113366665488854</v>
      </c>
      <c r="Q93" s="20">
        <f t="shared" si="54"/>
        <v>595.78474694239264</v>
      </c>
      <c r="R93" s="59">
        <f t="shared" si="55"/>
        <v>889.11808027572602</v>
      </c>
      <c r="S93" s="59">
        <f ca="1">AVERAGE(OFFSET($R$3,0,0,'Données projet'!$E$9+1,1))-AVERAGE(OFFSET($H$3,0,0,'Données projet'!$E$9+1,1))</f>
        <v>336.59194805061094</v>
      </c>
      <c r="T93" s="59">
        <f t="shared" si="88"/>
        <v>473.66884161123909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2.5505672299164615</v>
      </c>
      <c r="AA93" s="21">
        <f>EXP(-LN(2)/25)*AA92+(1-EXP(-LN(2)/25))/(LN(2)/25)*Calculateur!V93*Calculateur!X93*VLOOKUP('Données projet'!$B$9,Paramètres!$A$1:$I$89,3,0)*0.475*44/12</f>
        <v>0</v>
      </c>
      <c r="AB93" s="21">
        <f>EXP(-LN(2)/2)*AB92+(1-EXP(-LN(2)/2))/(LN(2)/2)*V93*Y93*VLOOKUP('Données projet'!$B$9,Paramètres!$A$1:$I$89,3,0)*0.475*44/12</f>
        <v>0</v>
      </c>
      <c r="AC93" s="22">
        <f t="shared" si="57"/>
        <v>2.5505672299164615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319</v>
      </c>
      <c r="AJ93" s="13">
        <f>AI93*VLOOKUP('Données projet'!$B$10,Paramètres!$A$1:$I$89,3,0)*VLOOKUP('Données projet'!$B$10,Paramètres!$A$1:$I$89,5,0)</f>
        <v>209.00879999999998</v>
      </c>
      <c r="AK93" s="13">
        <f t="shared" si="89"/>
        <v>51.718923953824202</v>
      </c>
      <c r="AL93" s="20">
        <f t="shared" si="58"/>
        <v>454.10078588624373</v>
      </c>
      <c r="AM93" s="59">
        <f t="shared" si="59"/>
        <v>747.43411921957704</v>
      </c>
      <c r="AN93" s="59">
        <f ca="1">AVERAGE(OFFSET($AM$3,0,0,'Données projet'!$E$10+1,1))-AVERAGE(OFFSET($H$3,0,0,'Données projet'!$E$10+1,1))</f>
        <v>244.66788784685366</v>
      </c>
      <c r="AO93" s="59">
        <f t="shared" si="90"/>
        <v>252.04429018409274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29.141734366602591</v>
      </c>
      <c r="AV93" s="21">
        <f>EXP(-LN(2)/25)*AV92+(1-EXP(-LN(2)/25))/(LN(2)/25)*Calculateur!AQ93*Calculateur!AS93*VLOOKUP('Données projet'!$B$10,Paramètres!$A$1:$I$89,3,0)*0.475*44/12</f>
        <v>0</v>
      </c>
      <c r="AW93" s="21">
        <f>EXP(-LN(2)/2)*AW92+(1-EXP(-LN(2)/2))/(LN(2)/2)*AQ93*AT93*VLOOKUP('Données projet'!$B$10,Paramètres!$A$1:$I$89,3,0)*0.475*44/12</f>
        <v>0</v>
      </c>
      <c r="AX93" s="21">
        <f t="shared" si="60"/>
        <v>29.141734366602591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>
        <f>VLOOKUP(A93,'Données projet'!$A$87:$I$107,2,0)</f>
        <v>264</v>
      </c>
      <c r="BB93" s="12">
        <f>VLOOKUP(A93,'Données projet'!$A$87:$I$107,9,0)</f>
        <v>5.2</v>
      </c>
      <c r="BC93" s="12">
        <f t="array" ref="BC93">INDEX(BB:BB,MIN(IF(ISNUMBER(BB93:BB289),ROW(BB93:BB289),"")))</f>
        <v>5.2</v>
      </c>
      <c r="BD93" s="12">
        <f>IF('Données projet'!$A$88&gt;35,BD92+BC93-BL92,IF(A93&lt;'Données projet'!$A$88,$BA$205^A93,IF(A93='Données projet'!$A$88,'Données projet'!$B$88,BD92+BC93-BL92)))</f>
        <v>263.99999999999983</v>
      </c>
      <c r="BE93" s="13">
        <f>BD93*VLOOKUP('Données projet'!$B$11,Paramètres!$A$1:$I$89,3,0)*VLOOKUP('Données projet'!$B$11,Paramètres!$A$1:$I$89,5,0)</f>
        <v>251.22239999999982</v>
      </c>
      <c r="BF93" s="13">
        <f t="shared" si="91"/>
        <v>60.84762505974976</v>
      </c>
      <c r="BG93" s="20">
        <f t="shared" si="61"/>
        <v>543.52196031239725</v>
      </c>
      <c r="BH93" s="59">
        <f t="shared" si="62"/>
        <v>836.85529364573063</v>
      </c>
      <c r="BI93" s="59">
        <f ca="1">AVERAGE(OFFSET($BH$3,0,0,'Données projet'!$E$11+1,1))-AVERAGE(OFFSET($H$3,0,0,'Données projet'!$E$11+1,1))</f>
        <v>373.51596132356536</v>
      </c>
      <c r="BJ93" s="59">
        <f t="shared" si="92"/>
        <v>417.00150517020114</v>
      </c>
      <c r="BK93" s="15">
        <f>IF(ISNA(VLOOKUP(A93,'Données projet'!$A$87:$I$107,3,0)),0,VLOOKUP(A93,'Données projet'!$A$87:$I$107,3,0))</f>
        <v>17</v>
      </c>
      <c r="BL93" s="15">
        <f>IF(ISNA(VLOOKUP(A93,'Données projet'!$A$87:$I$107,4,0)),0,VLOOKUP(A93,'Données projet'!$A$87:$I$107,4,0))</f>
        <v>24</v>
      </c>
      <c r="BM93" s="16">
        <f>IF(ISNA(VLOOKUP(A93,'Données projet'!$A$87:$I$107,5,0)),0%,VLOOKUP(A93,'Données projet'!$A$87:$I$107,5,0)*VLOOKUP('Données projet'!$B$11,Paramètres!$A$1:$I$89,7,0))</f>
        <v>0.43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90.559509861701116</v>
      </c>
      <c r="BQ93" s="21">
        <f>EXP(-LN(2)/25)*BQ92+(1-EXP(-LN(2)/25))/(LN(2)/25)*Calculateur!BL93*Calculateur!BN93*VLOOKUP('Données projet'!$B$11,Paramètres!$A$1:$I$89,3,0)*0.475*44/12</f>
        <v>0</v>
      </c>
      <c r="BR93" s="21">
        <f>EXP(-LN(2)/2)*BR92+(1-EXP(-LN(2)/2))/(LN(2)/2)*BL93*BO93*VLOOKUP('Données projet'!$B$11,Paramètres!$A$1:$I$89,3,0)*0.475*44/12</f>
        <v>0</v>
      </c>
      <c r="BS93" s="22">
        <f t="shared" si="63"/>
        <v>90.559509861701116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>
        <f>VLOOKUP(A93,'Données projet'!$A$113:$I$133,2,0)</f>
        <v>275</v>
      </c>
      <c r="BW93" s="12">
        <f>VLOOKUP(A93,'Données projet'!$A$113:$I$133,9,0)</f>
        <v>5.4</v>
      </c>
      <c r="BX93" s="12">
        <f t="array" ref="BX93">INDEX(BW:BW,MIN(IF(ISNUMBER(BW93:BW289),ROW(BW93:BW289),"")))</f>
        <v>5.4</v>
      </c>
      <c r="BY93" s="12">
        <f>IF('Données projet'!$A$114&gt;35,BY92+BX93-CG92,IF(A93&lt;'Données projet'!$A$114,$BV$205^A93,IF(A93='Données projet'!$A$114,'Données projet'!$B$114,BY92+BX93-CG92)))</f>
        <v>274.99999999999983</v>
      </c>
      <c r="BZ93" s="13">
        <f>BY93*VLOOKUP('Données projet'!$B$12,Paramètres!$A$1:$I$89,3,0)*VLOOKUP('Données projet'!$B$12,Paramètres!$A$1:$I$89,5,0)</f>
        <v>248.81999999999982</v>
      </c>
      <c r="CA93" s="13">
        <f t="shared" si="93"/>
        <v>60.333192077890018</v>
      </c>
      <c r="CB93" s="20">
        <f t="shared" si="64"/>
        <v>538.44180953565808</v>
      </c>
      <c r="CC93" s="59">
        <f t="shared" si="65"/>
        <v>831.77514286899145</v>
      </c>
      <c r="CD93" s="59">
        <f ca="1">AVERAGE(OFFSET($CC$3,0,0,'Données projet'!$E$12+1,1))-AVERAGE(OFFSET($H$3,0,0,'Données projet'!$E$12+1,1))</f>
        <v>289.19622253646992</v>
      </c>
      <c r="CE93" s="59">
        <f t="shared" si="94"/>
        <v>191.23827338431175</v>
      </c>
      <c r="CF93" s="15">
        <f>IF(ISNA(VLOOKUP(A93,'Données projet'!$A$113:$I$133,3,0)),0,VLOOKUP(A93,'Données projet'!$A$113:$I$133,3,0))</f>
        <v>14</v>
      </c>
      <c r="CG93" s="15">
        <f>IF(ISNA(VLOOKUP(A93,'Données projet'!$A$113:$I$133,4,0)),0,VLOOKUP(A93,'Données projet'!$A$113:$I$133,4,0))</f>
        <v>21</v>
      </c>
      <c r="CH93" s="16">
        <f>IF(ISNA(VLOOKUP(A93,'Données projet'!$A$113:$I$133,5,0)),0%,VLOOKUP(A93,'Données projet'!$A$113:$I$133,5,0)*VLOOKUP('Données projet'!$B$12,Paramètres!$A$1:$I$89,7,0))</f>
        <v>0.43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>
        <f>EXP(-LN(2)/35)*CK92+(1-EXP(-LN(2)/35))/(LN(2)/35)*CG93*CH93*VLOOKUP('Données projet'!$B$12,Paramètres!$A$1:$I$89,3,0)*0.475*44/12</f>
        <v>66.607575159245954</v>
      </c>
      <c r="CL93" s="21">
        <f>EXP(-LN(2)/25)*CL92+(1-EXP(-LN(2)/25))/(LN(2)/25)*Calculateur!CG93*Calculateur!CI93*VLOOKUP('Données projet'!$B$12,Paramètres!$A$1:$I$89,3,0)*0.475*44/12</f>
        <v>0</v>
      </c>
      <c r="CM93" s="21">
        <f>EXP(-LN(2)/2)*CM92+(1-EXP(-LN(2)/2))/(LN(2)/2)*CG93*CJ93*VLOOKUP('Données projet'!$B$12,Paramètres!$A$1:$I$89,3,0)*0.475*44/12</f>
        <v>0</v>
      </c>
      <c r="CN93" s="22">
        <f t="shared" si="66"/>
        <v>66.607575159245954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3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52.525199999999948</v>
      </c>
      <c r="D94" s="11">
        <f t="shared" si="86"/>
        <v>15.26402179994329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523.28522091184254</v>
      </c>
      <c r="H94" s="67">
        <f t="shared" si="56"/>
        <v>374.73289463490113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304.99999999999983</v>
      </c>
      <c r="O94" s="13">
        <f>N94*VLOOKUP('Données projet'!$B$9,Paramètres!$A$1:$I$89,3,0)*VLOOKUP('Données projet'!$B$9,Paramètres!$A$1:$I$89,5,0)</f>
        <v>275.96399999999983</v>
      </c>
      <c r="P94" s="13">
        <f t="shared" si="87"/>
        <v>66.113366665488854</v>
      </c>
      <c r="Q94" s="20">
        <f t="shared" si="54"/>
        <v>595.78474694239264</v>
      </c>
      <c r="R94" s="59">
        <f t="shared" si="55"/>
        <v>889.11808027572602</v>
      </c>
      <c r="S94" s="59">
        <f ca="1">AVERAGE(OFFSET($R$3,0,0,'Données projet'!$E$9+1,1))-AVERAGE(OFFSET($H$3,0,0,'Données projet'!$E$9+1,1))</f>
        <v>336.59194805061094</v>
      </c>
      <c r="T94" s="59">
        <f t="shared" si="88"/>
        <v>473.66884161123909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2.500552162230198</v>
      </c>
      <c r="AA94" s="21">
        <f>EXP(-LN(2)/25)*AA93+(1-EXP(-LN(2)/25))/(LN(2)/25)*Calculateur!V94*Calculateur!X94*VLOOKUP('Données projet'!$B$9,Paramètres!$A$1:$I$89,3,0)*0.475*44/12</f>
        <v>0</v>
      </c>
      <c r="AB94" s="21">
        <f>EXP(-LN(2)/2)*AB93+(1-EXP(-LN(2)/2))/(LN(2)/2)*V94*Y94*VLOOKUP('Données projet'!$B$9,Paramètres!$A$1:$I$89,3,0)*0.475*44/12</f>
        <v>0</v>
      </c>
      <c r="AC94" s="22">
        <f t="shared" si="57"/>
        <v>2.500552162230198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319</v>
      </c>
      <c r="AJ94" s="13">
        <f>AI94*VLOOKUP('Données projet'!$B$10,Paramètres!$A$1:$I$89,3,0)*VLOOKUP('Données projet'!$B$10,Paramètres!$A$1:$I$89,5,0)</f>
        <v>209.00879999999998</v>
      </c>
      <c r="AK94" s="13">
        <f t="shared" si="89"/>
        <v>51.718923953824202</v>
      </c>
      <c r="AL94" s="20">
        <f t="shared" si="58"/>
        <v>454.10078588624373</v>
      </c>
      <c r="AM94" s="59">
        <f t="shared" si="59"/>
        <v>747.43411921957704</v>
      </c>
      <c r="AN94" s="59">
        <f ca="1">AVERAGE(OFFSET($AM$3,0,0,'Données projet'!$E$10+1,1))-AVERAGE(OFFSET($H$3,0,0,'Données projet'!$E$10+1,1))</f>
        <v>244.66788784685366</v>
      </c>
      <c r="AO94" s="59">
        <f t="shared" si="90"/>
        <v>252.04429018409274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28.570282730376373</v>
      </c>
      <c r="AV94" s="21">
        <f>EXP(-LN(2)/25)*AV93+(1-EXP(-LN(2)/25))/(LN(2)/25)*Calculateur!AQ94*Calculateur!AS94*VLOOKUP('Données projet'!$B$10,Paramètres!$A$1:$I$89,3,0)*0.475*44/12</f>
        <v>0</v>
      </c>
      <c r="AW94" s="21">
        <f>EXP(-LN(2)/2)*AW93+(1-EXP(-LN(2)/2))/(LN(2)/2)*AQ94*AT94*VLOOKUP('Données projet'!$B$10,Paramètres!$A$1:$I$89,3,0)*0.475*44/12</f>
        <v>0</v>
      </c>
      <c r="AX94" s="21">
        <f t="shared" si="60"/>
        <v>28.570282730376373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4.8</v>
      </c>
      <c r="BD94" s="12">
        <f>IF('Données projet'!$A$88&gt;35,BD93+BC94-BL93,IF(A94&lt;'Données projet'!$A$88,$BA$205^A94,IF(A94='Données projet'!$A$88,'Données projet'!$B$88,BD93+BC94-BL93)))</f>
        <v>244.79999999999984</v>
      </c>
      <c r="BE94" s="13">
        <f>BD94*VLOOKUP('Données projet'!$B$11,Paramètres!$A$1:$I$89,3,0)*VLOOKUP('Données projet'!$B$11,Paramètres!$A$1:$I$89,5,0)</f>
        <v>232.95167999999984</v>
      </c>
      <c r="BF94" s="13">
        <f t="shared" si="91"/>
        <v>56.920429328307108</v>
      </c>
      <c r="BG94" s="20">
        <f t="shared" si="61"/>
        <v>504.86059041346783</v>
      </c>
      <c r="BH94" s="59">
        <f t="shared" si="62"/>
        <v>798.19392374680115</v>
      </c>
      <c r="BI94" s="59">
        <f ca="1">AVERAGE(OFFSET($BH$3,0,0,'Données projet'!$E$11+1,1))-AVERAGE(OFFSET($H$3,0,0,'Données projet'!$E$11+1,1))</f>
        <v>373.51596132356536</v>
      </c>
      <c r="BJ94" s="59">
        <f t="shared" si="92"/>
        <v>417.00150517020114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88.783693109160083</v>
      </c>
      <c r="BQ94" s="21">
        <f>EXP(-LN(2)/25)*BQ93+(1-EXP(-LN(2)/25))/(LN(2)/25)*Calculateur!BL94*Calculateur!BN94*VLOOKUP('Données projet'!$B$11,Paramètres!$A$1:$I$89,3,0)*0.475*44/12</f>
        <v>0</v>
      </c>
      <c r="BR94" s="21">
        <f>EXP(-LN(2)/2)*BR93+(1-EXP(-LN(2)/2))/(LN(2)/2)*BL94*BO94*VLOOKUP('Données projet'!$B$11,Paramètres!$A$1:$I$89,3,0)*0.475*44/12</f>
        <v>0</v>
      </c>
      <c r="BS94" s="22">
        <f t="shared" si="63"/>
        <v>88.783693109160083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5</v>
      </c>
      <c r="BY94" s="12">
        <f>IF('Données projet'!$A$114&gt;35,BY93+BX94-CG93,IF(A94&lt;'Données projet'!$A$114,$BV$205^A94,IF(A94='Données projet'!$A$114,'Données projet'!$B$114,BY93+BX94-CG93)))</f>
        <v>258.99999999999983</v>
      </c>
      <c r="BZ94" s="13">
        <f>BY94*VLOOKUP('Données projet'!$B$12,Paramètres!$A$1:$I$89,3,0)*VLOOKUP('Données projet'!$B$12,Paramètres!$A$1:$I$89,5,0)</f>
        <v>234.34319999999983</v>
      </c>
      <c r="CA94" s="13">
        <f t="shared" si="93"/>
        <v>57.220758006491614</v>
      </c>
      <c r="CB94" s="20">
        <f t="shared" si="64"/>
        <v>507.80722686130588</v>
      </c>
      <c r="CC94" s="59">
        <f t="shared" si="65"/>
        <v>801.14056019463919</v>
      </c>
      <c r="CD94" s="59">
        <f ca="1">AVERAGE(OFFSET($CC$3,0,0,'Données projet'!$E$12+1,1))-AVERAGE(OFFSET($H$3,0,0,'Données projet'!$E$12+1,1))</f>
        <v>289.19622253646992</v>
      </c>
      <c r="CE94" s="59">
        <f t="shared" si="94"/>
        <v>191.23827338431175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>
        <f>EXP(-LN(2)/35)*CK93+(1-EXP(-LN(2)/35))/(LN(2)/35)*CG94*CH94*VLOOKUP('Données projet'!$B$12,Paramètres!$A$1:$I$89,3,0)*0.475*44/12</f>
        <v>65.301441236982441</v>
      </c>
      <c r="CL94" s="21">
        <f>EXP(-LN(2)/25)*CL93+(1-EXP(-LN(2)/25))/(LN(2)/25)*Calculateur!CG94*Calculateur!CI94*VLOOKUP('Données projet'!$B$12,Paramètres!$A$1:$I$89,3,0)*0.475*44/12</f>
        <v>0</v>
      </c>
      <c r="CM94" s="21">
        <f>EXP(-LN(2)/2)*CM93+(1-EXP(-LN(2)/2))/(LN(2)/2)*CG94*CJ94*VLOOKUP('Données projet'!$B$12,Paramètres!$A$1:$I$89,3,0)*0.475*44/12</f>
        <v>0</v>
      </c>
      <c r="CN94" s="22">
        <f t="shared" si="66"/>
        <v>65.301441236982441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3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53.102399999999946</v>
      </c>
      <c r="D95" s="11">
        <f t="shared" si="86"/>
        <v>15.41213936913595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528.88416355122445</v>
      </c>
      <c r="H95" s="67">
        <f t="shared" si="56"/>
        <v>375.99615606791167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304.99999999999983</v>
      </c>
      <c r="O95" s="13">
        <f>N95*VLOOKUP('Données projet'!$B$9,Paramètres!$A$1:$I$89,3,0)*VLOOKUP('Données projet'!$B$9,Paramètres!$A$1:$I$89,5,0)</f>
        <v>275.96399999999983</v>
      </c>
      <c r="P95" s="13">
        <f t="shared" si="87"/>
        <v>66.113366665488854</v>
      </c>
      <c r="Q95" s="20">
        <f t="shared" si="54"/>
        <v>595.78474694239264</v>
      </c>
      <c r="R95" s="59">
        <f t="shared" si="55"/>
        <v>889.11808027572602</v>
      </c>
      <c r="S95" s="59">
        <f ca="1">AVERAGE(OFFSET($R$3,0,0,'Données projet'!$E$9+1,1))-AVERAGE(OFFSET($H$3,0,0,'Données projet'!$E$9+1,1))</f>
        <v>336.59194805061094</v>
      </c>
      <c r="T95" s="59">
        <f t="shared" si="88"/>
        <v>473.66884161123909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2.4515178595150831</v>
      </c>
      <c r="AA95" s="21">
        <f>EXP(-LN(2)/25)*AA94+(1-EXP(-LN(2)/25))/(LN(2)/25)*Calculateur!V95*Calculateur!X95*VLOOKUP('Données projet'!$B$9,Paramètres!$A$1:$I$89,3,0)*0.475*44/12</f>
        <v>0</v>
      </c>
      <c r="AB95" s="21">
        <f>EXP(-LN(2)/2)*AB94+(1-EXP(-LN(2)/2))/(LN(2)/2)*V95*Y95*VLOOKUP('Données projet'!$B$9,Paramètres!$A$1:$I$89,3,0)*0.475*44/12</f>
        <v>0</v>
      </c>
      <c r="AC95" s="22">
        <f t="shared" si="57"/>
        <v>2.4515178595150831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319</v>
      </c>
      <c r="AJ95" s="13">
        <f>AI95*VLOOKUP('Données projet'!$B$10,Paramètres!$A$1:$I$89,3,0)*VLOOKUP('Données projet'!$B$10,Paramètres!$A$1:$I$89,5,0)</f>
        <v>209.00879999999998</v>
      </c>
      <c r="AK95" s="13">
        <f t="shared" si="89"/>
        <v>51.718923953824202</v>
      </c>
      <c r="AL95" s="20">
        <f t="shared" si="58"/>
        <v>454.10078588624373</v>
      </c>
      <c r="AM95" s="59">
        <f t="shared" si="59"/>
        <v>747.43411921957704</v>
      </c>
      <c r="AN95" s="59">
        <f ca="1">AVERAGE(OFFSET($AM$3,0,0,'Données projet'!$E$10+1,1))-AVERAGE(OFFSET($H$3,0,0,'Données projet'!$E$10+1,1))</f>
        <v>244.66788784685366</v>
      </c>
      <c r="AO95" s="59">
        <f t="shared" si="90"/>
        <v>252.04429018409274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28.01003691218547</v>
      </c>
      <c r="AV95" s="21">
        <f>EXP(-LN(2)/25)*AV94+(1-EXP(-LN(2)/25))/(LN(2)/25)*Calculateur!AQ95*Calculateur!AS95*VLOOKUP('Données projet'!$B$10,Paramètres!$A$1:$I$89,3,0)*0.475*44/12</f>
        <v>0</v>
      </c>
      <c r="AW95" s="21">
        <f>EXP(-LN(2)/2)*AW94+(1-EXP(-LN(2)/2))/(LN(2)/2)*AQ95*AT95*VLOOKUP('Données projet'!$B$10,Paramètres!$A$1:$I$89,3,0)*0.475*44/12</f>
        <v>0</v>
      </c>
      <c r="AX95" s="21">
        <f t="shared" si="60"/>
        <v>28.01003691218547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4.8</v>
      </c>
      <c r="BD95" s="12">
        <f>IF('Données projet'!$A$88&gt;35,BD94+BC95-BL94,IF(A95&lt;'Données projet'!$A$88,$BA$205^A95,IF(A95='Données projet'!$A$88,'Données projet'!$B$88,BD94+BC95-BL94)))</f>
        <v>249.59999999999985</v>
      </c>
      <c r="BE95" s="13">
        <f>BD95*VLOOKUP('Données projet'!$B$11,Paramètres!$A$1:$I$89,3,0)*VLOOKUP('Données projet'!$B$11,Paramètres!$A$1:$I$89,5,0)</f>
        <v>237.51935999999986</v>
      </c>
      <c r="BF95" s="13">
        <f t="shared" si="91"/>
        <v>57.905486397207433</v>
      </c>
      <c r="BG95" s="20">
        <f t="shared" si="61"/>
        <v>514.53160747513596</v>
      </c>
      <c r="BH95" s="59">
        <f t="shared" si="62"/>
        <v>807.86494080846933</v>
      </c>
      <c r="BI95" s="59">
        <f ca="1">AVERAGE(OFFSET($BH$3,0,0,'Données projet'!$E$11+1,1))-AVERAGE(OFFSET($H$3,0,0,'Données projet'!$E$11+1,1))</f>
        <v>373.51596132356536</v>
      </c>
      <c r="BJ95" s="59">
        <f t="shared" si="92"/>
        <v>417.00150517020114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87.042699039995114</v>
      </c>
      <c r="BQ95" s="21">
        <f>EXP(-LN(2)/25)*BQ94+(1-EXP(-LN(2)/25))/(LN(2)/25)*Calculateur!BL95*Calculateur!BN95*VLOOKUP('Données projet'!$B$11,Paramètres!$A$1:$I$89,3,0)*0.475*44/12</f>
        <v>0</v>
      </c>
      <c r="BR95" s="21">
        <f>EXP(-LN(2)/2)*BR94+(1-EXP(-LN(2)/2))/(LN(2)/2)*BL95*BO95*VLOOKUP('Données projet'!$B$11,Paramètres!$A$1:$I$89,3,0)*0.475*44/12</f>
        <v>0</v>
      </c>
      <c r="BS95" s="22">
        <f t="shared" si="63"/>
        <v>87.042699039995114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5</v>
      </c>
      <c r="BY95" s="12">
        <f>IF('Données projet'!$A$114&gt;35,BY94+BX95-CG94,IF(A95&lt;'Données projet'!$A$114,$BV$205^A95,IF(A95='Données projet'!$A$114,'Données projet'!$B$114,BY94+BX95-CG94)))</f>
        <v>263.99999999999983</v>
      </c>
      <c r="BZ95" s="13">
        <f>BY95*VLOOKUP('Données projet'!$B$12,Paramètres!$A$1:$I$89,3,0)*VLOOKUP('Données projet'!$B$12,Paramètres!$A$1:$I$89,5,0)</f>
        <v>238.86719999999983</v>
      </c>
      <c r="CA95" s="13">
        <f t="shared" si="93"/>
        <v>58.195735973104156</v>
      </c>
      <c r="CB95" s="20">
        <f t="shared" si="64"/>
        <v>517.38461348648946</v>
      </c>
      <c r="CC95" s="59">
        <f t="shared" si="65"/>
        <v>810.71794681982283</v>
      </c>
      <c r="CD95" s="59">
        <f ca="1">AVERAGE(OFFSET($CC$3,0,0,'Données projet'!$E$12+1,1))-AVERAGE(OFFSET($H$3,0,0,'Données projet'!$E$12+1,1))</f>
        <v>289.19622253646992</v>
      </c>
      <c r="CE95" s="59">
        <f t="shared" si="94"/>
        <v>191.23827338431175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>
        <f>EXP(-LN(2)/35)*CK94+(1-EXP(-LN(2)/35))/(LN(2)/35)*CG95*CH95*VLOOKUP('Données projet'!$B$12,Paramètres!$A$1:$I$89,3,0)*0.475*44/12</f>
        <v>64.020919804271486</v>
      </c>
      <c r="CL95" s="21">
        <f>EXP(-LN(2)/25)*CL94+(1-EXP(-LN(2)/25))/(LN(2)/25)*Calculateur!CG95*Calculateur!CI95*VLOOKUP('Données projet'!$B$12,Paramètres!$A$1:$I$89,3,0)*0.475*44/12</f>
        <v>0</v>
      </c>
      <c r="CM95" s="21">
        <f>EXP(-LN(2)/2)*CM94+(1-EXP(-LN(2)/2))/(LN(2)/2)*CG95*CJ95*VLOOKUP('Données projet'!$B$12,Paramètres!$A$1:$I$89,3,0)*0.475*44/12</f>
        <v>0</v>
      </c>
      <c r="CN95" s="22">
        <f t="shared" si="66"/>
        <v>64.020919804271486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3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53.679599999999944</v>
      </c>
      <c r="D96" s="11">
        <f t="shared" si="86"/>
        <v>15.560069652005405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534.48166047162022</v>
      </c>
      <c r="H96" s="67">
        <f t="shared" si="56"/>
        <v>377.25909131057597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304.99999999999983</v>
      </c>
      <c r="O96" s="13">
        <f>N96*VLOOKUP('Données projet'!$B$9,Paramètres!$A$1:$I$89,3,0)*VLOOKUP('Données projet'!$B$9,Paramètres!$A$1:$I$89,5,0)</f>
        <v>275.96399999999983</v>
      </c>
      <c r="P96" s="13">
        <f t="shared" si="87"/>
        <v>66.113366665488854</v>
      </c>
      <c r="Q96" s="20">
        <f t="shared" si="54"/>
        <v>595.78474694239264</v>
      </c>
      <c r="R96" s="59">
        <f t="shared" si="55"/>
        <v>889.11808027572602</v>
      </c>
      <c r="S96" s="59">
        <f ca="1">AVERAGE(OFFSET($R$3,0,0,'Données projet'!$E$9+1,1))-AVERAGE(OFFSET($H$3,0,0,'Données projet'!$E$9+1,1))</f>
        <v>336.59194805061094</v>
      </c>
      <c r="T96" s="59">
        <f t="shared" si="88"/>
        <v>473.66884161123909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2.40344508956824</v>
      </c>
      <c r="AA96" s="21">
        <f>EXP(-LN(2)/25)*AA95+(1-EXP(-LN(2)/25))/(LN(2)/25)*Calculateur!V96*Calculateur!X96*VLOOKUP('Données projet'!$B$9,Paramètres!$A$1:$I$89,3,0)*0.475*44/12</f>
        <v>0</v>
      </c>
      <c r="AB96" s="21">
        <f>EXP(-LN(2)/2)*AB95+(1-EXP(-LN(2)/2))/(LN(2)/2)*V96*Y96*VLOOKUP('Données projet'!$B$9,Paramètres!$A$1:$I$89,3,0)*0.475*44/12</f>
        <v>0</v>
      </c>
      <c r="AC96" s="22">
        <f t="shared" si="57"/>
        <v>2.40344508956824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319</v>
      </c>
      <c r="AJ96" s="13">
        <f>AI96*VLOOKUP('Données projet'!$B$10,Paramètres!$A$1:$I$89,3,0)*VLOOKUP('Données projet'!$B$10,Paramètres!$A$1:$I$89,5,0)</f>
        <v>209.00879999999998</v>
      </c>
      <c r="AK96" s="13">
        <f t="shared" si="89"/>
        <v>51.718923953824202</v>
      </c>
      <c r="AL96" s="20">
        <f t="shared" si="58"/>
        <v>454.10078588624373</v>
      </c>
      <c r="AM96" s="59">
        <f t="shared" si="59"/>
        <v>747.43411921957704</v>
      </c>
      <c r="AN96" s="59">
        <f ca="1">AVERAGE(OFFSET($AM$3,0,0,'Données projet'!$E$10+1,1))-AVERAGE(OFFSET($H$3,0,0,'Données projet'!$E$10+1,1))</f>
        <v>244.66788784685366</v>
      </c>
      <c r="AO96" s="59">
        <f t="shared" si="90"/>
        <v>252.04429018409274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27.460777172773081</v>
      </c>
      <c r="AV96" s="21">
        <f>EXP(-LN(2)/25)*AV95+(1-EXP(-LN(2)/25))/(LN(2)/25)*Calculateur!AQ96*Calculateur!AS96*VLOOKUP('Données projet'!$B$10,Paramètres!$A$1:$I$89,3,0)*0.475*44/12</f>
        <v>0</v>
      </c>
      <c r="AW96" s="21">
        <f>EXP(-LN(2)/2)*AW95+(1-EXP(-LN(2)/2))/(LN(2)/2)*AQ96*AT96*VLOOKUP('Données projet'!$B$10,Paramètres!$A$1:$I$89,3,0)*0.475*44/12</f>
        <v>0</v>
      </c>
      <c r="AX96" s="21">
        <f t="shared" si="60"/>
        <v>27.460777172773081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4.8</v>
      </c>
      <c r="BD96" s="12">
        <f>IF('Données projet'!$A$88&gt;35,BD95+BC96-BL95,IF(A96&lt;'Données projet'!$A$88,$BA$205^A96,IF(A96='Données projet'!$A$88,'Données projet'!$B$88,BD95+BC96-BL95)))</f>
        <v>254.39999999999986</v>
      </c>
      <c r="BE96" s="13">
        <f>BD96*VLOOKUP('Données projet'!$B$11,Paramètres!$A$1:$I$89,3,0)*VLOOKUP('Données projet'!$B$11,Paramètres!$A$1:$I$89,5,0)</f>
        <v>242.08703999999986</v>
      </c>
      <c r="BF96" s="13">
        <f t="shared" si="91"/>
        <v>58.888340776301959</v>
      </c>
      <c r="BG96" s="20">
        <f t="shared" si="61"/>
        <v>524.19878818539223</v>
      </c>
      <c r="BH96" s="59">
        <f t="shared" si="62"/>
        <v>817.53212151872549</v>
      </c>
      <c r="BI96" s="59">
        <f ca="1">AVERAGE(OFFSET($BH$3,0,0,'Données projet'!$E$11+1,1))-AVERAGE(OFFSET($H$3,0,0,'Données projet'!$E$11+1,1))</f>
        <v>373.51596132356536</v>
      </c>
      <c r="BJ96" s="59">
        <f t="shared" si="92"/>
        <v>417.00150517020114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85.335844802624948</v>
      </c>
      <c r="BQ96" s="21">
        <f>EXP(-LN(2)/25)*BQ95+(1-EXP(-LN(2)/25))/(LN(2)/25)*Calculateur!BL96*Calculateur!BN96*VLOOKUP('Données projet'!$B$11,Paramètres!$A$1:$I$89,3,0)*0.475*44/12</f>
        <v>0</v>
      </c>
      <c r="BR96" s="21">
        <f>EXP(-LN(2)/2)*BR95+(1-EXP(-LN(2)/2))/(LN(2)/2)*BL96*BO96*VLOOKUP('Données projet'!$B$11,Paramètres!$A$1:$I$89,3,0)*0.475*44/12</f>
        <v>0</v>
      </c>
      <c r="BS96" s="22">
        <f t="shared" si="63"/>
        <v>85.335844802624948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5</v>
      </c>
      <c r="BY96" s="12">
        <f>IF('Données projet'!$A$114&gt;35,BY95+BX96-CG95,IF(A96&lt;'Données projet'!$A$114,$BV$205^A96,IF(A96='Données projet'!$A$114,'Données projet'!$B$114,BY95+BX96-CG95)))</f>
        <v>268.99999999999983</v>
      </c>
      <c r="BZ96" s="13">
        <f>BY96*VLOOKUP('Données projet'!$B$12,Paramètres!$A$1:$I$89,3,0)*VLOOKUP('Données projet'!$B$12,Paramètres!$A$1:$I$89,5,0)</f>
        <v>243.39119999999986</v>
      </c>
      <c r="CA96" s="13">
        <f t="shared" si="93"/>
        <v>59.168566788241527</v>
      </c>
      <c r="CB96" s="20">
        <f t="shared" si="64"/>
        <v>526.95826048952051</v>
      </c>
      <c r="CC96" s="59">
        <f t="shared" si="65"/>
        <v>820.29159382285388</v>
      </c>
      <c r="CD96" s="59">
        <f ca="1">AVERAGE(OFFSET($CC$3,0,0,'Données projet'!$E$12+1,1))-AVERAGE(OFFSET($H$3,0,0,'Données projet'!$E$12+1,1))</f>
        <v>289.19622253646992</v>
      </c>
      <c r="CE96" s="59">
        <f t="shared" si="94"/>
        <v>191.23827338431175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>
        <f>EXP(-LN(2)/35)*CK95+(1-EXP(-LN(2)/35))/(LN(2)/35)*CG96*CH96*VLOOKUP('Données projet'!$B$12,Paramètres!$A$1:$I$89,3,0)*0.475*44/12</f>
        <v>62.765508615815044</v>
      </c>
      <c r="CL96" s="21">
        <f>EXP(-LN(2)/25)*CL95+(1-EXP(-LN(2)/25))/(LN(2)/25)*Calculateur!CG96*Calculateur!CI96*VLOOKUP('Données projet'!$B$12,Paramètres!$A$1:$I$89,3,0)*0.475*44/12</f>
        <v>0</v>
      </c>
      <c r="CM96" s="21">
        <f>EXP(-LN(2)/2)*CM95+(1-EXP(-LN(2)/2))/(LN(2)/2)*CG96*CJ96*VLOOKUP('Données projet'!$B$12,Paramètres!$A$1:$I$89,3,0)*0.475*44/12</f>
        <v>0</v>
      </c>
      <c r="CN96" s="22">
        <f t="shared" si="66"/>
        <v>62.765508615815044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3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54.256799999999942</v>
      </c>
      <c r="D97" s="11">
        <f t="shared" si="86"/>
        <v>15.707814895473708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540.07772901769135</v>
      </c>
      <c r="H97" s="67">
        <f t="shared" si="56"/>
        <v>378.52170427628329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304.99999999999983</v>
      </c>
      <c r="O97" s="13">
        <f>N97*VLOOKUP('Données projet'!$B$9,Paramètres!$A$1:$I$89,3,0)*VLOOKUP('Données projet'!$B$9,Paramètres!$A$1:$I$89,5,0)</f>
        <v>275.96399999999983</v>
      </c>
      <c r="P97" s="13">
        <f t="shared" si="87"/>
        <v>66.113366665488854</v>
      </c>
      <c r="Q97" s="20">
        <f t="shared" si="54"/>
        <v>595.78474694239264</v>
      </c>
      <c r="R97" s="59">
        <f t="shared" si="55"/>
        <v>889.11808027572602</v>
      </c>
      <c r="S97" s="59">
        <f ca="1">AVERAGE(OFFSET($R$3,0,0,'Données projet'!$E$9+1,1))-AVERAGE(OFFSET($H$3,0,0,'Données projet'!$E$9+1,1))</f>
        <v>336.59194805061094</v>
      </c>
      <c r="T97" s="59">
        <f t="shared" si="88"/>
        <v>473.66884161123909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2.3563149973185604</v>
      </c>
      <c r="AA97" s="21">
        <f>EXP(-LN(2)/25)*AA96+(1-EXP(-LN(2)/25))/(LN(2)/25)*Calculateur!V97*Calculateur!X97*VLOOKUP('Données projet'!$B$9,Paramètres!$A$1:$I$89,3,0)*0.475*44/12</f>
        <v>0</v>
      </c>
      <c r="AB97" s="21">
        <f>EXP(-LN(2)/2)*AB96+(1-EXP(-LN(2)/2))/(LN(2)/2)*V97*Y97*VLOOKUP('Données projet'!$B$9,Paramètres!$A$1:$I$89,3,0)*0.475*44/12</f>
        <v>0</v>
      </c>
      <c r="AC97" s="22">
        <f t="shared" si="57"/>
        <v>2.3563149973185604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319</v>
      </c>
      <c r="AJ97" s="13">
        <f>AI97*VLOOKUP('Données projet'!$B$10,Paramètres!$A$1:$I$89,3,0)*VLOOKUP('Données projet'!$B$10,Paramètres!$A$1:$I$89,5,0)</f>
        <v>209.00879999999998</v>
      </c>
      <c r="AK97" s="13">
        <f t="shared" si="89"/>
        <v>51.718923953824202</v>
      </c>
      <c r="AL97" s="20">
        <f t="shared" si="58"/>
        <v>454.10078588624373</v>
      </c>
      <c r="AM97" s="59">
        <f t="shared" si="59"/>
        <v>747.43411921957704</v>
      </c>
      <c r="AN97" s="59">
        <f ca="1">AVERAGE(OFFSET($AM$3,0,0,'Données projet'!$E$10+1,1))-AVERAGE(OFFSET($H$3,0,0,'Données projet'!$E$10+1,1))</f>
        <v>244.66788784685366</v>
      </c>
      <c r="AO97" s="59">
        <f t="shared" si="90"/>
        <v>252.04429018409274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26.922288081835209</v>
      </c>
      <c r="AV97" s="21">
        <f>EXP(-LN(2)/25)*AV96+(1-EXP(-LN(2)/25))/(LN(2)/25)*Calculateur!AQ97*Calculateur!AS97*VLOOKUP('Données projet'!$B$10,Paramètres!$A$1:$I$89,3,0)*0.475*44/12</f>
        <v>0</v>
      </c>
      <c r="AW97" s="21">
        <f>EXP(-LN(2)/2)*AW96+(1-EXP(-LN(2)/2))/(LN(2)/2)*AQ97*AT97*VLOOKUP('Données projet'!$B$10,Paramètres!$A$1:$I$89,3,0)*0.475*44/12</f>
        <v>0</v>
      </c>
      <c r="AX97" s="21">
        <f t="shared" si="60"/>
        <v>26.922288081835209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4.8</v>
      </c>
      <c r="BD97" s="12">
        <f>IF('Données projet'!$A$88&gt;35,BD96+BC97-BL96,IF(A97&lt;'Données projet'!$A$88,$BA$205^A97,IF(A97='Données projet'!$A$88,'Données projet'!$B$88,BD96+BC97-BL96)))</f>
        <v>259.19999999999987</v>
      </c>
      <c r="BE97" s="13">
        <f>BD97*VLOOKUP('Données projet'!$B$11,Paramètres!$A$1:$I$89,3,0)*VLOOKUP('Données projet'!$B$11,Paramètres!$A$1:$I$89,5,0)</f>
        <v>246.65471999999986</v>
      </c>
      <c r="BF97" s="13">
        <f t="shared" si="91"/>
        <v>59.869038818016172</v>
      </c>
      <c r="BG97" s="20">
        <f t="shared" si="61"/>
        <v>533.86221327471117</v>
      </c>
      <c r="BH97" s="59">
        <f t="shared" si="62"/>
        <v>827.19554660804442</v>
      </c>
      <c r="BI97" s="59">
        <f ca="1">AVERAGE(OFFSET($BH$3,0,0,'Données projet'!$E$11+1,1))-AVERAGE(OFFSET($H$3,0,0,'Données projet'!$E$11+1,1))</f>
        <v>373.51596132356536</v>
      </c>
      <c r="BJ97" s="59">
        <f t="shared" si="92"/>
        <v>417.00150517020114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83.662460935771321</v>
      </c>
      <c r="BQ97" s="21">
        <f>EXP(-LN(2)/25)*BQ96+(1-EXP(-LN(2)/25))/(LN(2)/25)*Calculateur!BL97*Calculateur!BN97*VLOOKUP('Données projet'!$B$11,Paramètres!$A$1:$I$89,3,0)*0.475*44/12</f>
        <v>0</v>
      </c>
      <c r="BR97" s="21">
        <f>EXP(-LN(2)/2)*BR96+(1-EXP(-LN(2)/2))/(LN(2)/2)*BL97*BO97*VLOOKUP('Données projet'!$B$11,Paramètres!$A$1:$I$89,3,0)*0.475*44/12</f>
        <v>0</v>
      </c>
      <c r="BS97" s="22">
        <f t="shared" si="63"/>
        <v>83.662460935771321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5</v>
      </c>
      <c r="BY97" s="12">
        <f>IF('Données projet'!$A$114&gt;35,BY96+BX97-CG96,IF(A97&lt;'Données projet'!$A$114,$BV$205^A97,IF(A97='Données projet'!$A$114,'Données projet'!$B$114,BY96+BX97-CG96)))</f>
        <v>273.99999999999983</v>
      </c>
      <c r="BZ97" s="13">
        <f>BY97*VLOOKUP('Données projet'!$B$12,Paramètres!$A$1:$I$89,3,0)*VLOOKUP('Données projet'!$B$12,Paramètres!$A$1:$I$89,5,0)</f>
        <v>247.91519999999986</v>
      </c>
      <c r="CA97" s="13">
        <f t="shared" si="93"/>
        <v>60.139294964297406</v>
      </c>
      <c r="CB97" s="20">
        <f t="shared" si="64"/>
        <v>536.52824539615096</v>
      </c>
      <c r="CC97" s="59">
        <f t="shared" si="65"/>
        <v>829.86157872948434</v>
      </c>
      <c r="CD97" s="59">
        <f ca="1">AVERAGE(OFFSET($CC$3,0,0,'Données projet'!$E$12+1,1))-AVERAGE(OFFSET($H$3,0,0,'Données projet'!$E$12+1,1))</f>
        <v>289.19622253646992</v>
      </c>
      <c r="CE97" s="59">
        <f t="shared" si="94"/>
        <v>191.23827338431175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>
        <f>EXP(-LN(2)/35)*CK96+(1-EXP(-LN(2)/35))/(LN(2)/35)*CG97*CH97*VLOOKUP('Données projet'!$B$12,Paramètres!$A$1:$I$89,3,0)*0.475*44/12</f>
        <v>61.534715275039019</v>
      </c>
      <c r="CL97" s="21">
        <f>EXP(-LN(2)/25)*CL96+(1-EXP(-LN(2)/25))/(LN(2)/25)*Calculateur!CG97*Calculateur!CI97*VLOOKUP('Données projet'!$B$12,Paramètres!$A$1:$I$89,3,0)*0.475*44/12</f>
        <v>0</v>
      </c>
      <c r="CM97" s="21">
        <f>EXP(-LN(2)/2)*CM96+(1-EXP(-LN(2)/2))/(LN(2)/2)*CG97*CJ97*VLOOKUP('Données projet'!$B$12,Paramètres!$A$1:$I$89,3,0)*0.475*44/12</f>
        <v>0</v>
      </c>
      <c r="CN97" s="22">
        <f t="shared" si="66"/>
        <v>61.534715275039019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3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54.833999999999939</v>
      </c>
      <c r="D98" s="11">
        <f t="shared" si="86"/>
        <v>15.855377295902153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545.67238614380562</v>
      </c>
      <c r="H98" s="67">
        <f t="shared" si="56"/>
        <v>379.78399879036283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304.99999999999983</v>
      </c>
      <c r="O98" s="13">
        <f>N98*VLOOKUP('Données projet'!$B$9,Paramètres!$A$1:$I$89,3,0)*VLOOKUP('Données projet'!$B$9,Paramètres!$A$1:$I$89,5,0)</f>
        <v>275.96399999999983</v>
      </c>
      <c r="P98" s="13">
        <f t="shared" si="87"/>
        <v>66.113366665488854</v>
      </c>
      <c r="Q98" s="20">
        <f t="shared" si="54"/>
        <v>595.78474694239264</v>
      </c>
      <c r="R98" s="59">
        <f t="shared" si="55"/>
        <v>889.11808027572602</v>
      </c>
      <c r="S98" s="59">
        <f ca="1">AVERAGE(OFFSET($R$3,0,0,'Données projet'!$E$9+1,1))-AVERAGE(OFFSET($H$3,0,0,'Données projet'!$E$9+1,1))</f>
        <v>336.59194805061094</v>
      </c>
      <c r="T98" s="59">
        <f t="shared" si="88"/>
        <v>473.66884161123909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2.3101090974313792</v>
      </c>
      <c r="AA98" s="21">
        <f>EXP(-LN(2)/25)*AA97+(1-EXP(-LN(2)/25))/(LN(2)/25)*Calculateur!V98*Calculateur!X98*VLOOKUP('Données projet'!$B$9,Paramètres!$A$1:$I$89,3,0)*0.475*44/12</f>
        <v>0</v>
      </c>
      <c r="AB98" s="21">
        <f>EXP(-LN(2)/2)*AB97+(1-EXP(-LN(2)/2))/(LN(2)/2)*V98*Y98*VLOOKUP('Données projet'!$B$9,Paramètres!$A$1:$I$89,3,0)*0.475*44/12</f>
        <v>0</v>
      </c>
      <c r="AC98" s="22">
        <f t="shared" si="57"/>
        <v>2.3101090974313792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319</v>
      </c>
      <c r="AJ98" s="13">
        <f>AI98*VLOOKUP('Données projet'!$B$10,Paramètres!$A$1:$I$89,3,0)*VLOOKUP('Données projet'!$B$10,Paramètres!$A$1:$I$89,5,0)</f>
        <v>209.00879999999998</v>
      </c>
      <c r="AK98" s="13">
        <f t="shared" si="89"/>
        <v>51.718923953824202</v>
      </c>
      <c r="AL98" s="20">
        <f t="shared" si="58"/>
        <v>454.10078588624373</v>
      </c>
      <c r="AM98" s="59">
        <f t="shared" si="59"/>
        <v>747.43411921957704</v>
      </c>
      <c r="AN98" s="59">
        <f ca="1">AVERAGE(OFFSET($AM$3,0,0,'Données projet'!$E$10+1,1))-AVERAGE(OFFSET($H$3,0,0,'Données projet'!$E$10+1,1))</f>
        <v>244.66788784685366</v>
      </c>
      <c r="AO98" s="59">
        <f t="shared" si="90"/>
        <v>252.04429018409274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26.394358433524715</v>
      </c>
      <c r="AV98" s="21">
        <f>EXP(-LN(2)/25)*AV97+(1-EXP(-LN(2)/25))/(LN(2)/25)*Calculateur!AQ98*Calculateur!AS98*VLOOKUP('Données projet'!$B$10,Paramètres!$A$1:$I$89,3,0)*0.475*44/12</f>
        <v>0</v>
      </c>
      <c r="AW98" s="21">
        <f>EXP(-LN(2)/2)*AW97+(1-EXP(-LN(2)/2))/(LN(2)/2)*AQ98*AT98*VLOOKUP('Données projet'!$B$10,Paramètres!$A$1:$I$89,3,0)*0.475*44/12</f>
        <v>0</v>
      </c>
      <c r="AX98" s="21">
        <f t="shared" si="60"/>
        <v>26.394358433524715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>
        <f>VLOOKUP(A98,'Données projet'!$A$87:$I$107,2,0)</f>
        <v>264</v>
      </c>
      <c r="BB98" s="12">
        <f>VLOOKUP(A98,'Données projet'!$A$87:$I$107,9,0)</f>
        <v>4.8</v>
      </c>
      <c r="BC98" s="12">
        <f t="array" ref="BC98">INDEX(BB:BB,MIN(IF(ISNUMBER(BB98:BB294),ROW(BB98:BB294),"")))</f>
        <v>4.8</v>
      </c>
      <c r="BD98" s="12">
        <f>IF('Données projet'!$A$88&gt;35,BD97+BC98-BL97,IF(A98&lt;'Données projet'!$A$88,$BA$205^A98,IF(A98='Données projet'!$A$88,'Données projet'!$B$88,BD97+BC98-BL97)))</f>
        <v>263.99999999999989</v>
      </c>
      <c r="BE98" s="13">
        <f>BD98*VLOOKUP('Données projet'!$B$11,Paramètres!$A$1:$I$89,3,0)*VLOOKUP('Données projet'!$B$11,Paramètres!$A$1:$I$89,5,0)</f>
        <v>251.22239999999991</v>
      </c>
      <c r="BF98" s="13">
        <f t="shared" si="91"/>
        <v>60.847625059749809</v>
      </c>
      <c r="BG98" s="20">
        <f t="shared" si="61"/>
        <v>543.52196031239737</v>
      </c>
      <c r="BH98" s="59">
        <f t="shared" si="62"/>
        <v>836.85529364573063</v>
      </c>
      <c r="BI98" s="59">
        <f ca="1">AVERAGE(OFFSET($BH$3,0,0,'Données projet'!$E$11+1,1))-AVERAGE(OFFSET($H$3,0,0,'Données projet'!$E$11+1,1))</f>
        <v>373.51596132356536</v>
      </c>
      <c r="BJ98" s="59">
        <f t="shared" si="92"/>
        <v>417.00150517020114</v>
      </c>
      <c r="BK98" s="15">
        <f>IF(ISNA(VLOOKUP(A98,'Données projet'!$A$87:$I$107,3,0)),0,VLOOKUP(A98,'Données projet'!$A$87:$I$107,3,0))</f>
        <v>18</v>
      </c>
      <c r="BL98" s="15">
        <f>IF(ISNA(VLOOKUP(A98,'Données projet'!$A$87:$I$107,4,0)),0,VLOOKUP(A98,'Données projet'!$A$87:$I$107,4,0))</f>
        <v>23</v>
      </c>
      <c r="BM98" s="16">
        <f>IF(ISNA(VLOOKUP(A98,'Données projet'!$A$87:$I$107,5,0)),0%,VLOOKUP(A98,'Données projet'!$A$87:$I$107,5,0)*VLOOKUP('Données projet'!$B$11,Paramètres!$A$1:$I$89,7,0))</f>
        <v>0.43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92.425831020070873</v>
      </c>
      <c r="BQ98" s="21">
        <f>EXP(-LN(2)/25)*BQ97+(1-EXP(-LN(2)/25))/(LN(2)/25)*Calculateur!BL98*Calculateur!BN98*VLOOKUP('Données projet'!$B$11,Paramètres!$A$1:$I$89,3,0)*0.475*44/12</f>
        <v>0</v>
      </c>
      <c r="BR98" s="21">
        <f>EXP(-LN(2)/2)*BR97+(1-EXP(-LN(2)/2))/(LN(2)/2)*BL98*BO98*VLOOKUP('Données projet'!$B$11,Paramètres!$A$1:$I$89,3,0)*0.475*44/12</f>
        <v>0</v>
      </c>
      <c r="BS98" s="22">
        <f t="shared" si="63"/>
        <v>92.425831020070873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>
        <f>VLOOKUP(A98,'Données projet'!$A$113:$I$133,2,0)</f>
        <v>279</v>
      </c>
      <c r="BW98" s="12">
        <f>VLOOKUP(A98,'Données projet'!$A$113:$I$133,9,0)</f>
        <v>5</v>
      </c>
      <c r="BX98" s="12">
        <f t="array" ref="BX98">INDEX(BW:BW,MIN(IF(ISNUMBER(BW98:BW294),ROW(BW98:BW294),"")))</f>
        <v>5</v>
      </c>
      <c r="BY98" s="12">
        <f>IF('Données projet'!$A$114&gt;35,BY97+BX98-CG97,IF(A98&lt;'Données projet'!$A$114,$BV$205^A98,IF(A98='Données projet'!$A$114,'Données projet'!$B$114,BY97+BX98-CG97)))</f>
        <v>278.99999999999983</v>
      </c>
      <c r="BZ98" s="13">
        <f>BY98*VLOOKUP('Données projet'!$B$12,Paramètres!$A$1:$I$89,3,0)*VLOOKUP('Données projet'!$B$12,Paramètres!$A$1:$I$89,5,0)</f>
        <v>252.43919999999983</v>
      </c>
      <c r="CA98" s="13">
        <f t="shared" si="93"/>
        <v>61.107963296116218</v>
      </c>
      <c r="CB98" s="20">
        <f t="shared" si="64"/>
        <v>546.09464274073537</v>
      </c>
      <c r="CC98" s="59">
        <f t="shared" si="65"/>
        <v>839.42797607406874</v>
      </c>
      <c r="CD98" s="59">
        <f ca="1">AVERAGE(OFFSET($CC$3,0,0,'Données projet'!$E$12+1,1))-AVERAGE(OFFSET($H$3,0,0,'Données projet'!$E$12+1,1))</f>
        <v>289.19622253646992</v>
      </c>
      <c r="CE98" s="59">
        <f t="shared" si="94"/>
        <v>191.23827338431175</v>
      </c>
      <c r="CF98" s="15">
        <f>IF(ISNA(VLOOKUP(A98,'Données projet'!$A$113:$I$133,3,0)),0,VLOOKUP(A98,'Données projet'!$A$113:$I$133,3,0))</f>
        <v>15</v>
      </c>
      <c r="CG98" s="15">
        <f>IF(ISNA(VLOOKUP(A98,'Données projet'!$A$113:$I$133,4,0)),0,VLOOKUP(A98,'Données projet'!$A$113:$I$133,4,0))</f>
        <v>21</v>
      </c>
      <c r="CH98" s="16">
        <f>IF(ISNA(VLOOKUP(A98,'Données projet'!$A$113:$I$133,5,0)),0%,VLOOKUP(A98,'Données projet'!$A$113:$I$133,5,0)*VLOOKUP('Données projet'!$B$12,Paramètres!$A$1:$I$89,7,0))</f>
        <v>0.43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>
        <f>EXP(-LN(2)/35)*CK97+(1-EXP(-LN(2)/35))/(LN(2)/35)*CG98*CH98*VLOOKUP('Données projet'!$B$12,Paramètres!$A$1:$I$89,3,0)*0.475*44/12</f>
        <v>69.360130323560554</v>
      </c>
      <c r="CL98" s="21">
        <f>EXP(-LN(2)/25)*CL97+(1-EXP(-LN(2)/25))/(LN(2)/25)*Calculateur!CG98*Calculateur!CI98*VLOOKUP('Données projet'!$B$12,Paramètres!$A$1:$I$89,3,0)*0.475*44/12</f>
        <v>0</v>
      </c>
      <c r="CM98" s="21">
        <f>EXP(-LN(2)/2)*CM97+(1-EXP(-LN(2)/2))/(LN(2)/2)*CG98*CJ98*VLOOKUP('Données projet'!$B$12,Paramètres!$A$1:$I$89,3,0)*0.475*44/12</f>
        <v>0</v>
      </c>
      <c r="CN98" s="22">
        <f t="shared" si="66"/>
        <v>69.360130323560554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3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55.411199999999937</v>
      </c>
      <c r="D99" s="11">
        <f t="shared" si="86"/>
        <v>16.002759000749037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551.26564842683422</v>
      </c>
      <c r="H99" s="67">
        <f t="shared" si="56"/>
        <v>381.04597859297115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304.99999999999983</v>
      </c>
      <c r="O99" s="13">
        <f>N99*VLOOKUP('Données projet'!$B$9,Paramètres!$A$1:$I$89,3,0)*VLOOKUP('Données projet'!$B$9,Paramètres!$A$1:$I$89,5,0)</f>
        <v>275.96399999999983</v>
      </c>
      <c r="P99" s="13">
        <f t="shared" si="87"/>
        <v>66.113366665488854</v>
      </c>
      <c r="Q99" s="20">
        <f t="shared" ref="Q99:Q130" si="107">(O99+P99)*0.475*44/12</f>
        <v>595.78474694239264</v>
      </c>
      <c r="R99" s="59">
        <f t="shared" si="55"/>
        <v>889.11808027572602</v>
      </c>
      <c r="S99" s="59">
        <f ca="1">AVERAGE(OFFSET($R$3,0,0,'Données projet'!$E$9+1,1))-AVERAGE(OFFSET($H$3,0,0,'Données projet'!$E$9+1,1))</f>
        <v>336.59194805061094</v>
      </c>
      <c r="T99" s="59">
        <f t="shared" si="88"/>
        <v>473.66884161123909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2.2648092670581694</v>
      </c>
      <c r="AA99" s="21">
        <f>EXP(-LN(2)/25)*AA98+(1-EXP(-LN(2)/25))/(LN(2)/25)*Calculateur!V99*Calculateur!X99*VLOOKUP('Données projet'!$B$9,Paramètres!$A$1:$I$89,3,0)*0.475*44/12</f>
        <v>0</v>
      </c>
      <c r="AB99" s="21">
        <f>EXP(-LN(2)/2)*AB98+(1-EXP(-LN(2)/2))/(LN(2)/2)*V99*Y99*VLOOKUP('Données projet'!$B$9,Paramètres!$A$1:$I$89,3,0)*0.475*44/12</f>
        <v>0</v>
      </c>
      <c r="AC99" s="22">
        <f t="shared" si="57"/>
        <v>2.2648092670581694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319</v>
      </c>
      <c r="AJ99" s="13">
        <f>AI99*VLOOKUP('Données projet'!$B$10,Paramètres!$A$1:$I$89,3,0)*VLOOKUP('Données projet'!$B$10,Paramètres!$A$1:$I$89,5,0)</f>
        <v>209.00879999999998</v>
      </c>
      <c r="AK99" s="13">
        <f t="shared" si="89"/>
        <v>51.718923953824202</v>
      </c>
      <c r="AL99" s="20">
        <f t="shared" si="58"/>
        <v>454.10078588624373</v>
      </c>
      <c r="AM99" s="59">
        <f t="shared" si="59"/>
        <v>747.43411921957704</v>
      </c>
      <c r="AN99" s="59">
        <f ca="1">AVERAGE(OFFSET($AM$3,0,0,'Données projet'!$E$10+1,1))-AVERAGE(OFFSET($H$3,0,0,'Données projet'!$E$10+1,1))</f>
        <v>244.66788784685366</v>
      </c>
      <c r="AO99" s="59">
        <f t="shared" si="90"/>
        <v>252.04429018409274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25.8767811636123</v>
      </c>
      <c r="AV99" s="21">
        <f>EXP(-LN(2)/25)*AV98+(1-EXP(-LN(2)/25))/(LN(2)/25)*Calculateur!AQ99*Calculateur!AS99*VLOOKUP('Données projet'!$B$10,Paramètres!$A$1:$I$89,3,0)*0.475*44/12</f>
        <v>0</v>
      </c>
      <c r="AW99" s="21">
        <f>EXP(-LN(2)/2)*AW98+(1-EXP(-LN(2)/2))/(LN(2)/2)*AQ99*AT99*VLOOKUP('Données projet'!$B$10,Paramètres!$A$1:$I$89,3,0)*0.475*44/12</f>
        <v>0</v>
      </c>
      <c r="AX99" s="21">
        <f t="shared" si="60"/>
        <v>25.8767811636123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4.8</v>
      </c>
      <c r="BD99" s="12">
        <f>IF('Données projet'!$A$88&gt;35,BD98+BC99-BL98,IF(A99&lt;'Données projet'!$A$88,$BA$205^A99,IF(A99='Données projet'!$A$88,'Données projet'!$B$88,BD98+BC99-BL98)))</f>
        <v>245.7999999999999</v>
      </c>
      <c r="BE99" s="13">
        <f>BD99*VLOOKUP('Données projet'!$B$11,Paramètres!$A$1:$I$89,3,0)*VLOOKUP('Données projet'!$B$11,Paramètres!$A$1:$I$89,5,0)</f>
        <v>233.90327999999991</v>
      </c>
      <c r="BF99" s="13">
        <f t="shared" si="91"/>
        <v>57.125833544518095</v>
      </c>
      <c r="BG99" s="20">
        <f t="shared" si="61"/>
        <v>506.87570609003546</v>
      </c>
      <c r="BH99" s="59">
        <f t="shared" si="62"/>
        <v>800.20903942336872</v>
      </c>
      <c r="BI99" s="59">
        <f ca="1">AVERAGE(OFFSET($BH$3,0,0,'Données projet'!$E$11+1,1))-AVERAGE(OFFSET($H$3,0,0,'Données projet'!$E$11+1,1))</f>
        <v>373.51596132356536</v>
      </c>
      <c r="BJ99" s="59">
        <f t="shared" si="92"/>
        <v>417.00150517020114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90.613416847957723</v>
      </c>
      <c r="BQ99" s="21">
        <f>EXP(-LN(2)/25)*BQ98+(1-EXP(-LN(2)/25))/(LN(2)/25)*Calculateur!BL99*Calculateur!BN99*VLOOKUP('Données projet'!$B$11,Paramètres!$A$1:$I$89,3,0)*0.475*44/12</f>
        <v>0</v>
      </c>
      <c r="BR99" s="21">
        <f>EXP(-LN(2)/2)*BR98+(1-EXP(-LN(2)/2))/(LN(2)/2)*BL99*BO99*VLOOKUP('Données projet'!$B$11,Paramètres!$A$1:$I$89,3,0)*0.475*44/12</f>
        <v>0</v>
      </c>
      <c r="BS99" s="22">
        <f t="shared" si="63"/>
        <v>90.613416847957723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4.8</v>
      </c>
      <c r="BY99" s="12">
        <f>IF('Données projet'!$A$114&gt;35,BY98+BX99-CG98,IF(A99&lt;'Données projet'!$A$114,$BV$205^A99,IF(A99='Données projet'!$A$114,'Données projet'!$B$114,BY98+BX99-CG98)))</f>
        <v>262.79999999999984</v>
      </c>
      <c r="BZ99" s="13">
        <f>BY99*VLOOKUP('Données projet'!$B$12,Paramètres!$A$1:$I$89,3,0)*VLOOKUP('Données projet'!$B$12,Paramètres!$A$1:$I$89,5,0)</f>
        <v>237.78143999999983</v>
      </c>
      <c r="CA99" s="13">
        <f t="shared" si="93"/>
        <v>57.9619387969109</v>
      </c>
      <c r="CB99" s="20">
        <f t="shared" si="64"/>
        <v>515.08638473795281</v>
      </c>
      <c r="CC99" s="59">
        <f t="shared" si="65"/>
        <v>808.41971807128607</v>
      </c>
      <c r="CD99" s="59">
        <f ca="1">AVERAGE(OFFSET($CC$3,0,0,'Données projet'!$E$12+1,1))-AVERAGE(OFFSET($H$3,0,0,'Données projet'!$E$12+1,1))</f>
        <v>289.19622253646992</v>
      </c>
      <c r="CE99" s="59">
        <f t="shared" si="94"/>
        <v>191.23827338431175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>
        <f>EXP(-LN(2)/35)*CK98+(1-EXP(-LN(2)/35))/(LN(2)/35)*CG99*CH99*VLOOKUP('Données projet'!$B$12,Paramètres!$A$1:$I$89,3,0)*0.475*44/12</f>
        <v>68.000020473417706</v>
      </c>
      <c r="CL99" s="21">
        <f>EXP(-LN(2)/25)*CL98+(1-EXP(-LN(2)/25))/(LN(2)/25)*Calculateur!CG99*Calculateur!CI99*VLOOKUP('Données projet'!$B$12,Paramètres!$A$1:$I$89,3,0)*0.475*44/12</f>
        <v>0</v>
      </c>
      <c r="CM99" s="21">
        <f>EXP(-LN(2)/2)*CM98+(1-EXP(-LN(2)/2))/(LN(2)/2)*CG99*CJ99*VLOOKUP('Données projet'!$B$12,Paramètres!$A$1:$I$89,3,0)*0.475*44/12</f>
        <v>0</v>
      </c>
      <c r="CN99" s="22">
        <f t="shared" si="66"/>
        <v>68.000020473417706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3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55.988399999999935</v>
      </c>
      <c r="D100" s="11">
        <f t="shared" si="86"/>
        <v>16.149962110156299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556.85753207839912</v>
      </c>
      <c r="H100" s="67">
        <f t="shared" si="56"/>
        <v>382.30764734185544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304.99999999999983</v>
      </c>
      <c r="O100" s="13">
        <f>N100*VLOOKUP('Données projet'!$B$9,Paramètres!$A$1:$I$89,3,0)*VLOOKUP('Données projet'!$B$9,Paramètres!$A$1:$I$89,5,0)</f>
        <v>275.96399999999983</v>
      </c>
      <c r="P100" s="13">
        <f t="shared" si="87"/>
        <v>66.113366665488854</v>
      </c>
      <c r="Q100" s="20">
        <f t="shared" si="107"/>
        <v>595.78474694239264</v>
      </c>
      <c r="R100" s="59">
        <f t="shared" si="55"/>
        <v>889.11808027572602</v>
      </c>
      <c r="S100" s="59">
        <f ca="1">AVERAGE(OFFSET($R$3,0,0,'Données projet'!$E$9+1,1))-AVERAGE(OFFSET($H$3,0,0,'Données projet'!$E$9+1,1))</f>
        <v>336.59194805061094</v>
      </c>
      <c r="T100" s="59">
        <f t="shared" si="88"/>
        <v>473.66884161123909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2.2203977387284102</v>
      </c>
      <c r="AA100" s="21">
        <f>EXP(-LN(2)/25)*AA99+(1-EXP(-LN(2)/25))/(LN(2)/25)*Calculateur!V100*Calculateur!X100*VLOOKUP('Données projet'!$B$9,Paramètres!$A$1:$I$89,3,0)*0.475*44/12</f>
        <v>0</v>
      </c>
      <c r="AB100" s="21">
        <f>EXP(-LN(2)/2)*AB99+(1-EXP(-LN(2)/2))/(LN(2)/2)*V100*Y100*VLOOKUP('Données projet'!$B$9,Paramètres!$A$1:$I$89,3,0)*0.475*44/12</f>
        <v>0</v>
      </c>
      <c r="AC100" s="22">
        <f t="shared" si="57"/>
        <v>2.2203977387284102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319</v>
      </c>
      <c r="AJ100" s="13">
        <f>AI100*VLOOKUP('Données projet'!$B$10,Paramètres!$A$1:$I$89,3,0)*VLOOKUP('Données projet'!$B$10,Paramètres!$A$1:$I$89,5,0)</f>
        <v>209.00879999999998</v>
      </c>
      <c r="AK100" s="13">
        <f t="shared" si="89"/>
        <v>51.718923953824202</v>
      </c>
      <c r="AL100" s="20">
        <f t="shared" si="58"/>
        <v>454.10078588624373</v>
      </c>
      <c r="AM100" s="59">
        <f t="shared" si="59"/>
        <v>747.43411921957704</v>
      </c>
      <c r="AN100" s="59">
        <f ca="1">AVERAGE(OFFSET($AM$3,0,0,'Données projet'!$E$10+1,1))-AVERAGE(OFFSET($H$3,0,0,'Données projet'!$E$10+1,1))</f>
        <v>244.66788784685366</v>
      </c>
      <c r="AO100" s="59">
        <f t="shared" si="90"/>
        <v>252.04429018409274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25.369353268271905</v>
      </c>
      <c r="AV100" s="21">
        <f>EXP(-LN(2)/25)*AV99+(1-EXP(-LN(2)/25))/(LN(2)/25)*Calculateur!AQ100*Calculateur!AS100*VLOOKUP('Données projet'!$B$10,Paramètres!$A$1:$I$89,3,0)*0.475*44/12</f>
        <v>0</v>
      </c>
      <c r="AW100" s="21">
        <f>EXP(-LN(2)/2)*AW99+(1-EXP(-LN(2)/2))/(LN(2)/2)*AQ100*AT100*VLOOKUP('Données projet'!$B$10,Paramètres!$A$1:$I$89,3,0)*0.475*44/12</f>
        <v>0</v>
      </c>
      <c r="AX100" s="21">
        <f t="shared" si="60"/>
        <v>25.369353268271905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4.8</v>
      </c>
      <c r="BD100" s="12">
        <f>IF('Données projet'!$A$88&gt;35,BD99+BC100-BL99,IF(A100&lt;'Données projet'!$A$88,$BA$205^A100,IF(A100='Données projet'!$A$88,'Données projet'!$B$88,BD99+BC100-BL99)))</f>
        <v>250.59999999999991</v>
      </c>
      <c r="BE100" s="13">
        <f>BD100*VLOOKUP('Données projet'!$B$11,Paramètres!$A$1:$I$89,3,0)*VLOOKUP('Données projet'!$B$11,Paramètres!$A$1:$I$89,5,0)</f>
        <v>238.47095999999991</v>
      </c>
      <c r="BF100" s="13">
        <f t="shared" si="91"/>
        <v>58.110427804108816</v>
      </c>
      <c r="BG100" s="20">
        <f t="shared" si="61"/>
        <v>516.54591709215595</v>
      </c>
      <c r="BH100" s="59">
        <f t="shared" si="62"/>
        <v>809.87925042548932</v>
      </c>
      <c r="BI100" s="59">
        <f ca="1">AVERAGE(OFFSET($BH$3,0,0,'Données projet'!$E$11+1,1))-AVERAGE(OFFSET($H$3,0,0,'Données projet'!$E$11+1,1))</f>
        <v>373.51596132356536</v>
      </c>
      <c r="BJ100" s="59">
        <f t="shared" si="92"/>
        <v>417.00150517020114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88.836543012296218</v>
      </c>
      <c r="BQ100" s="21">
        <f>EXP(-LN(2)/25)*BQ99+(1-EXP(-LN(2)/25))/(LN(2)/25)*Calculateur!BL100*Calculateur!BN100*VLOOKUP('Données projet'!$B$11,Paramètres!$A$1:$I$89,3,0)*0.475*44/12</f>
        <v>0</v>
      </c>
      <c r="BR100" s="21">
        <f>EXP(-LN(2)/2)*BR99+(1-EXP(-LN(2)/2))/(LN(2)/2)*BL100*BO100*VLOOKUP('Données projet'!$B$11,Paramètres!$A$1:$I$89,3,0)*0.475*44/12</f>
        <v>0</v>
      </c>
      <c r="BS100" s="22">
        <f t="shared" si="63"/>
        <v>88.836543012296218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4.8</v>
      </c>
      <c r="BY100" s="12">
        <f>IF('Données projet'!$A$114&gt;35,BY99+BX100-CG99,IF(A100&lt;'Données projet'!$A$114,$BV$205^A100,IF(A100='Données projet'!$A$114,'Données projet'!$B$114,BY99+BX100-CG99)))</f>
        <v>267.59999999999985</v>
      </c>
      <c r="BZ100" s="13">
        <f>BY100*VLOOKUP('Données projet'!$B$12,Paramètres!$A$1:$I$89,3,0)*VLOOKUP('Données projet'!$B$12,Paramètres!$A$1:$I$89,5,0)</f>
        <v>242.12447999999986</v>
      </c>
      <c r="CA100" s="13">
        <f t="shared" si="93"/>
        <v>58.896387987806008</v>
      </c>
      <c r="CB100" s="20">
        <f t="shared" si="64"/>
        <v>524.27801174542856</v>
      </c>
      <c r="CC100" s="59">
        <f t="shared" si="65"/>
        <v>817.61134507876181</v>
      </c>
      <c r="CD100" s="59">
        <f ca="1">AVERAGE(OFFSET($CC$3,0,0,'Données projet'!$E$12+1,1))-AVERAGE(OFFSET($H$3,0,0,'Données projet'!$E$12+1,1))</f>
        <v>289.19622253646992</v>
      </c>
      <c r="CE100" s="59">
        <f t="shared" si="94"/>
        <v>191.23827338431175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>
        <f>EXP(-LN(2)/35)*CK99+(1-EXP(-LN(2)/35))/(LN(2)/35)*CG100*CH100*VLOOKUP('Données projet'!$B$12,Paramètres!$A$1:$I$89,3,0)*0.475*44/12</f>
        <v>66.666581547851067</v>
      </c>
      <c r="CL100" s="21">
        <f>EXP(-LN(2)/25)*CL99+(1-EXP(-LN(2)/25))/(LN(2)/25)*Calculateur!CG100*Calculateur!CI100*VLOOKUP('Données projet'!$B$12,Paramètres!$A$1:$I$89,3,0)*0.475*44/12</f>
        <v>0</v>
      </c>
      <c r="CM100" s="21">
        <f>EXP(-LN(2)/2)*CM99+(1-EXP(-LN(2)/2))/(LN(2)/2)*CG100*CJ100*VLOOKUP('Données projet'!$B$12,Paramètres!$A$1:$I$89,3,0)*0.475*44/12</f>
        <v>0</v>
      </c>
      <c r="CN100" s="22">
        <f t="shared" si="66"/>
        <v>66.666581547851067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3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56.565599999999932</v>
      </c>
      <c r="D101" s="11">
        <f t="shared" si="86"/>
        <v>16.29698867846886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562.44805295660137</v>
      </c>
      <c r="H101" s="67">
        <f t="shared" si="56"/>
        <v>383.5690086149998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304.99999999999983</v>
      </c>
      <c r="O101" s="13">
        <f>N101*VLOOKUP('Données projet'!$B$9,Paramètres!$A$1:$I$89,3,0)*VLOOKUP('Données projet'!$B$9,Paramètres!$A$1:$I$89,5,0)</f>
        <v>275.96399999999983</v>
      </c>
      <c r="P101" s="13">
        <f t="shared" si="87"/>
        <v>66.113366665488854</v>
      </c>
      <c r="Q101" s="20">
        <f t="shared" si="107"/>
        <v>595.78474694239264</v>
      </c>
      <c r="R101" s="59">
        <f t="shared" si="55"/>
        <v>889.11808027572602</v>
      </c>
      <c r="S101" s="59">
        <f ca="1">AVERAGE(OFFSET($R$3,0,0,'Données projet'!$E$9+1,1))-AVERAGE(OFFSET($H$3,0,0,'Données projet'!$E$9+1,1))</f>
        <v>336.59194805061094</v>
      </c>
      <c r="T101" s="59">
        <f t="shared" si="88"/>
        <v>473.66884161123909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2.17685709338084</v>
      </c>
      <c r="AA101" s="21">
        <f>EXP(-LN(2)/25)*AA100+(1-EXP(-LN(2)/25))/(LN(2)/25)*Calculateur!V101*Calculateur!X101*VLOOKUP('Données projet'!$B$9,Paramètres!$A$1:$I$89,3,0)*0.475*44/12</f>
        <v>0</v>
      </c>
      <c r="AB101" s="21">
        <f>EXP(-LN(2)/2)*AB100+(1-EXP(-LN(2)/2))/(LN(2)/2)*V101*Y101*VLOOKUP('Données projet'!$B$9,Paramètres!$A$1:$I$89,3,0)*0.475*44/12</f>
        <v>0</v>
      </c>
      <c r="AC101" s="22">
        <f t="shared" si="57"/>
        <v>2.17685709338084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319</v>
      </c>
      <c r="AJ101" s="13">
        <f>AI101*VLOOKUP('Données projet'!$B$10,Paramètres!$A$1:$I$89,3,0)*VLOOKUP('Données projet'!$B$10,Paramètres!$A$1:$I$89,5,0)</f>
        <v>209.00879999999998</v>
      </c>
      <c r="AK101" s="13">
        <f t="shared" si="89"/>
        <v>51.718923953824202</v>
      </c>
      <c r="AL101" s="20">
        <f t="shared" si="58"/>
        <v>454.10078588624373</v>
      </c>
      <c r="AM101" s="59">
        <f t="shared" si="59"/>
        <v>747.43411921957704</v>
      </c>
      <c r="AN101" s="59">
        <f ca="1">AVERAGE(OFFSET($AM$3,0,0,'Données projet'!$E$10+1,1))-AVERAGE(OFFSET($H$3,0,0,'Données projet'!$E$10+1,1))</f>
        <v>244.66788784685366</v>
      </c>
      <c r="AO101" s="59">
        <f t="shared" si="90"/>
        <v>252.04429018409274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24.871875724458679</v>
      </c>
      <c r="AV101" s="21">
        <f>EXP(-LN(2)/25)*AV100+(1-EXP(-LN(2)/25))/(LN(2)/25)*Calculateur!AQ101*Calculateur!AS101*VLOOKUP('Données projet'!$B$10,Paramètres!$A$1:$I$89,3,0)*0.475*44/12</f>
        <v>0</v>
      </c>
      <c r="AW101" s="21">
        <f>EXP(-LN(2)/2)*AW100+(1-EXP(-LN(2)/2))/(LN(2)/2)*AQ101*AT101*VLOOKUP('Données projet'!$B$10,Paramètres!$A$1:$I$89,3,0)*0.475*44/12</f>
        <v>0</v>
      </c>
      <c r="AX101" s="21">
        <f t="shared" si="60"/>
        <v>24.871875724458679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4.8</v>
      </c>
      <c r="BD101" s="12">
        <f>IF('Données projet'!$A$88&gt;35,BD100+BC101-BL100,IF(A101&lt;'Données projet'!$A$88,$BA$205^A101,IF(A101='Données projet'!$A$88,'Données projet'!$B$88,BD100+BC101-BL100)))</f>
        <v>255.39999999999992</v>
      </c>
      <c r="BE101" s="13">
        <f>BD101*VLOOKUP('Données projet'!$B$11,Paramètres!$A$1:$I$89,3,0)*VLOOKUP('Données projet'!$B$11,Paramètres!$A$1:$I$89,5,0)</f>
        <v>243.03863999999993</v>
      </c>
      <c r="BF101" s="13">
        <f t="shared" si="91"/>
        <v>59.092829185665224</v>
      </c>
      <c r="BG101" s="20">
        <f t="shared" si="61"/>
        <v>526.21230883170017</v>
      </c>
      <c r="BH101" s="59">
        <f t="shared" si="62"/>
        <v>819.54564216503354</v>
      </c>
      <c r="BI101" s="59">
        <f ca="1">AVERAGE(OFFSET($BH$3,0,0,'Données projet'!$E$11+1,1))-AVERAGE(OFFSET($H$3,0,0,'Données projet'!$E$11+1,1))</f>
        <v>373.51596132356536</v>
      </c>
      <c r="BJ101" s="59">
        <f t="shared" si="92"/>
        <v>417.00150517020114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87.094512588766008</v>
      </c>
      <c r="BQ101" s="21">
        <f>EXP(-LN(2)/25)*BQ100+(1-EXP(-LN(2)/25))/(LN(2)/25)*Calculateur!BL101*Calculateur!BN101*VLOOKUP('Données projet'!$B$11,Paramètres!$A$1:$I$89,3,0)*0.475*44/12</f>
        <v>0</v>
      </c>
      <c r="BR101" s="21">
        <f>EXP(-LN(2)/2)*BR100+(1-EXP(-LN(2)/2))/(LN(2)/2)*BL101*BO101*VLOOKUP('Données projet'!$B$11,Paramètres!$A$1:$I$89,3,0)*0.475*44/12</f>
        <v>0</v>
      </c>
      <c r="BS101" s="22">
        <f t="shared" si="63"/>
        <v>87.094512588766008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4.8</v>
      </c>
      <c r="BY101" s="12">
        <f>IF('Données projet'!$A$114&gt;35,BY100+BX101-CG100,IF(A101&lt;'Données projet'!$A$114,$BV$205^A101,IF(A101='Données projet'!$A$114,'Données projet'!$B$114,BY100+BX101-CG100)))</f>
        <v>272.39999999999986</v>
      </c>
      <c r="BZ101" s="13">
        <f>BY101*VLOOKUP('Données projet'!$B$12,Paramètres!$A$1:$I$89,3,0)*VLOOKUP('Données projet'!$B$12,Paramètres!$A$1:$I$89,5,0)</f>
        <v>246.46751999999987</v>
      </c>
      <c r="CA101" s="13">
        <f t="shared" si="93"/>
        <v>59.828888074216977</v>
      </c>
      <c r="CB101" s="20">
        <f t="shared" si="64"/>
        <v>533.46624406259423</v>
      </c>
      <c r="CC101" s="59">
        <f t="shared" si="65"/>
        <v>826.7995773959276</v>
      </c>
      <c r="CD101" s="59">
        <f ca="1">AVERAGE(OFFSET($CC$3,0,0,'Données projet'!$E$12+1,1))-AVERAGE(OFFSET($H$3,0,0,'Données projet'!$E$12+1,1))</f>
        <v>289.19622253646992</v>
      </c>
      <c r="CE101" s="59">
        <f t="shared" si="94"/>
        <v>191.23827338431175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>
        <f>EXP(-LN(2)/35)*CK100+(1-EXP(-LN(2)/35))/(LN(2)/35)*CG101*CH101*VLOOKUP('Données projet'!$B$12,Paramètres!$A$1:$I$89,3,0)*0.475*44/12</f>
        <v>65.359290546297359</v>
      </c>
      <c r="CL101" s="21">
        <f>EXP(-LN(2)/25)*CL100+(1-EXP(-LN(2)/25))/(LN(2)/25)*Calculateur!CG101*Calculateur!CI101*VLOOKUP('Données projet'!$B$12,Paramètres!$A$1:$I$89,3,0)*0.475*44/12</f>
        <v>0</v>
      </c>
      <c r="CM101" s="21">
        <f>EXP(-LN(2)/2)*CM100+(1-EXP(-LN(2)/2))/(LN(2)/2)*CG101*CJ101*VLOOKUP('Données projet'!$B$12,Paramètres!$A$1:$I$89,3,0)*0.475*44/12</f>
        <v>0</v>
      </c>
      <c r="CN101" s="22">
        <f t="shared" si="66"/>
        <v>65.359290546297359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3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57.14279999999993</v>
      </c>
      <c r="D102" s="11">
        <f t="shared" si="86"/>
        <v>16.443840715690236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568.03722657725746</v>
      </c>
      <c r="H102" s="67">
        <f t="shared" si="56"/>
        <v>384.83006591316041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304.99999999999983</v>
      </c>
      <c r="O102" s="13">
        <f>N102*VLOOKUP('Données projet'!$B$9,Paramètres!$A$1:$I$89,3,0)*VLOOKUP('Données projet'!$B$9,Paramètres!$A$1:$I$89,5,0)</f>
        <v>275.96399999999983</v>
      </c>
      <c r="P102" s="13">
        <f t="shared" si="87"/>
        <v>66.113366665488854</v>
      </c>
      <c r="Q102" s="20">
        <f t="shared" si="107"/>
        <v>595.78474694239264</v>
      </c>
      <c r="R102" s="59">
        <f t="shared" si="55"/>
        <v>889.11808027572602</v>
      </c>
      <c r="S102" s="59">
        <f ca="1">AVERAGE(OFFSET($R$3,0,0,'Données projet'!$E$9+1,1))-AVERAGE(OFFSET($H$3,0,0,'Données projet'!$E$9+1,1))</f>
        <v>336.59194805061094</v>
      </c>
      <c r="T102" s="59">
        <f t="shared" si="88"/>
        <v>473.66884161123909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2.134170253531364</v>
      </c>
      <c r="AA102" s="21">
        <f>EXP(-LN(2)/25)*AA101+(1-EXP(-LN(2)/25))/(LN(2)/25)*Calculateur!V102*Calculateur!X102*VLOOKUP('Données projet'!$B$9,Paramètres!$A$1:$I$89,3,0)*0.475*44/12</f>
        <v>0</v>
      </c>
      <c r="AB102" s="21">
        <f>EXP(-LN(2)/2)*AB101+(1-EXP(-LN(2)/2))/(LN(2)/2)*V102*Y102*VLOOKUP('Données projet'!$B$9,Paramètres!$A$1:$I$89,3,0)*0.475*44/12</f>
        <v>0</v>
      </c>
      <c r="AC102" s="22">
        <f t="shared" si="57"/>
        <v>2.134170253531364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319</v>
      </c>
      <c r="AJ102" s="13">
        <f>AI102*VLOOKUP('Données projet'!$B$10,Paramètres!$A$1:$I$89,3,0)*VLOOKUP('Données projet'!$B$10,Paramètres!$A$1:$I$89,5,0)</f>
        <v>209.00879999999998</v>
      </c>
      <c r="AK102" s="13">
        <f t="shared" si="89"/>
        <v>51.718923953824202</v>
      </c>
      <c r="AL102" s="20">
        <f t="shared" si="58"/>
        <v>454.10078588624373</v>
      </c>
      <c r="AM102" s="59">
        <f t="shared" si="59"/>
        <v>747.43411921957704</v>
      </c>
      <c r="AN102" s="59">
        <f ca="1">AVERAGE(OFFSET($AM$3,0,0,'Données projet'!$E$10+1,1))-AVERAGE(OFFSET($H$3,0,0,'Données projet'!$E$10+1,1))</f>
        <v>244.66788784685366</v>
      </c>
      <c r="AO102" s="59">
        <f t="shared" si="90"/>
        <v>252.04429018409274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24.384153411848288</v>
      </c>
      <c r="AV102" s="21">
        <f>EXP(-LN(2)/25)*AV101+(1-EXP(-LN(2)/25))/(LN(2)/25)*Calculateur!AQ102*Calculateur!AS102*VLOOKUP('Données projet'!$B$10,Paramètres!$A$1:$I$89,3,0)*0.475*44/12</f>
        <v>0</v>
      </c>
      <c r="AW102" s="21">
        <f>EXP(-LN(2)/2)*AW101+(1-EXP(-LN(2)/2))/(LN(2)/2)*AQ102*AT102*VLOOKUP('Données projet'!$B$10,Paramètres!$A$1:$I$89,3,0)*0.475*44/12</f>
        <v>0</v>
      </c>
      <c r="AX102" s="21">
        <f t="shared" si="60"/>
        <v>24.384153411848288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4.8</v>
      </c>
      <c r="BD102" s="12">
        <f>IF('Données projet'!$A$88&gt;35,BD101+BC102-BL101,IF(A102&lt;'Données projet'!$A$88,$BA$205^A102,IF(A102='Données projet'!$A$88,'Données projet'!$B$88,BD101+BC102-BL101)))</f>
        <v>260.19999999999993</v>
      </c>
      <c r="BE102" s="13">
        <f>BD102*VLOOKUP('Données projet'!$B$11,Paramètres!$A$1:$I$89,3,0)*VLOOKUP('Données projet'!$B$11,Paramètres!$A$1:$I$89,5,0)</f>
        <v>247.60631999999993</v>
      </c>
      <c r="BF102" s="13">
        <f t="shared" si="91"/>
        <v>60.07308365461143</v>
      </c>
      <c r="BG102" s="20">
        <f t="shared" si="61"/>
        <v>535.8749613651147</v>
      </c>
      <c r="BH102" s="59">
        <f t="shared" si="62"/>
        <v>829.20829469844807</v>
      </c>
      <c r="BI102" s="59">
        <f ca="1">AVERAGE(OFFSET($BH$3,0,0,'Données projet'!$E$11+1,1))-AVERAGE(OFFSET($H$3,0,0,'Données projet'!$E$11+1,1))</f>
        <v>373.51596132356536</v>
      </c>
      <c r="BJ102" s="59">
        <f t="shared" si="92"/>
        <v>417.00150517020114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85.386642319307583</v>
      </c>
      <c r="BQ102" s="21">
        <f>EXP(-LN(2)/25)*BQ101+(1-EXP(-LN(2)/25))/(LN(2)/25)*Calculateur!BL102*Calculateur!BN102*VLOOKUP('Données projet'!$B$11,Paramètres!$A$1:$I$89,3,0)*0.475*44/12</f>
        <v>0</v>
      </c>
      <c r="BR102" s="21">
        <f>EXP(-LN(2)/2)*BR101+(1-EXP(-LN(2)/2))/(LN(2)/2)*BL102*BO102*VLOOKUP('Données projet'!$B$11,Paramètres!$A$1:$I$89,3,0)*0.475*44/12</f>
        <v>0</v>
      </c>
      <c r="BS102" s="22">
        <f t="shared" si="63"/>
        <v>85.386642319307583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4.8</v>
      </c>
      <c r="BY102" s="12">
        <f>IF('Données projet'!$A$114&gt;35,BY101+BX102-CG101,IF(A102&lt;'Données projet'!$A$114,$BV$205^A102,IF(A102='Données projet'!$A$114,'Données projet'!$B$114,BY101+BX102-CG101)))</f>
        <v>277.19999999999987</v>
      </c>
      <c r="BZ102" s="13">
        <f>BY102*VLOOKUP('Données projet'!$B$12,Paramètres!$A$1:$I$89,3,0)*VLOOKUP('Données projet'!$B$12,Paramètres!$A$1:$I$89,5,0)</f>
        <v>250.8105599999999</v>
      </c>
      <c r="CA102" s="13">
        <f t="shared" si="93"/>
        <v>60.75947736410869</v>
      </c>
      <c r="CB102" s="20">
        <f t="shared" si="64"/>
        <v>542.65114840915578</v>
      </c>
      <c r="CC102" s="59">
        <f t="shared" si="65"/>
        <v>835.98448174248915</v>
      </c>
      <c r="CD102" s="59">
        <f ca="1">AVERAGE(OFFSET($CC$3,0,0,'Données projet'!$E$12+1,1))-AVERAGE(OFFSET($H$3,0,0,'Données projet'!$E$12+1,1))</f>
        <v>289.19622253646992</v>
      </c>
      <c r="CE102" s="59">
        <f t="shared" si="94"/>
        <v>191.23827338431175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>
        <f>EXP(-LN(2)/35)*CK101+(1-EXP(-LN(2)/35))/(LN(2)/35)*CG102*CH102*VLOOKUP('Données projet'!$B$12,Paramètres!$A$1:$I$89,3,0)*0.475*44/12</f>
        <v>64.077634723915338</v>
      </c>
      <c r="CL102" s="21">
        <f>EXP(-LN(2)/25)*CL101+(1-EXP(-LN(2)/25))/(LN(2)/25)*Calculateur!CG102*Calculateur!CI102*VLOOKUP('Données projet'!$B$12,Paramètres!$A$1:$I$89,3,0)*0.475*44/12</f>
        <v>0</v>
      </c>
      <c r="CM102" s="21">
        <f>EXP(-LN(2)/2)*CM101+(1-EXP(-LN(2)/2))/(LN(2)/2)*CG102*CJ102*VLOOKUP('Données projet'!$B$12,Paramètres!$A$1:$I$89,3,0)*0.475*44/12</f>
        <v>0</v>
      </c>
      <c r="CN102" s="22">
        <f t="shared" si="66"/>
        <v>64.077634723915338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3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57.719999999999928</v>
      </c>
      <c r="D103" s="11">
        <f t="shared" si="86"/>
        <v>16.590520188877633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573.62506812466893</v>
      </c>
      <c r="H103" s="67">
        <f t="shared" si="56"/>
        <v>386.09082266229507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304.99999999999983</v>
      </c>
      <c r="O103" s="13">
        <f>N103*VLOOKUP('Données projet'!$B$9,Paramètres!$A$1:$I$89,3,0)*VLOOKUP('Données projet'!$B$9,Paramètres!$A$1:$I$89,5,0)</f>
        <v>275.96399999999983</v>
      </c>
      <c r="P103" s="13">
        <f t="shared" si="87"/>
        <v>66.113366665488854</v>
      </c>
      <c r="Q103" s="20">
        <f t="shared" si="107"/>
        <v>595.78474694239264</v>
      </c>
      <c r="R103" s="59">
        <f t="shared" si="55"/>
        <v>889.11808027572602</v>
      </c>
      <c r="S103" s="59">
        <f ca="1">AVERAGE(OFFSET($R$3,0,0,'Données projet'!$E$9+1,1))-AVERAGE(OFFSET($H$3,0,0,'Données projet'!$E$9+1,1))</f>
        <v>336.59194805061094</v>
      </c>
      <c r="T103" s="59">
        <f t="shared" si="88"/>
        <v>473.66884161123909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2.092320476574935</v>
      </c>
      <c r="AA103" s="21">
        <f>EXP(-LN(2)/25)*AA102+(1-EXP(-LN(2)/25))/(LN(2)/25)*Calculateur!V103*Calculateur!X103*VLOOKUP('Données projet'!$B$9,Paramètres!$A$1:$I$89,3,0)*0.475*44/12</f>
        <v>0</v>
      </c>
      <c r="AB103" s="21">
        <f>EXP(-LN(2)/2)*AB102+(1-EXP(-LN(2)/2))/(LN(2)/2)*V103*Y103*VLOOKUP('Données projet'!$B$9,Paramètres!$A$1:$I$89,3,0)*0.475*44/12</f>
        <v>0</v>
      </c>
      <c r="AC103" s="22">
        <f t="shared" si="57"/>
        <v>2.092320476574935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319</v>
      </c>
      <c r="AJ103" s="13">
        <f>AI103*VLOOKUP('Données projet'!$B$10,Paramètres!$A$1:$I$89,3,0)*VLOOKUP('Données projet'!$B$10,Paramètres!$A$1:$I$89,5,0)</f>
        <v>209.00879999999998</v>
      </c>
      <c r="AK103" s="13">
        <f t="shared" si="89"/>
        <v>51.718923953824202</v>
      </c>
      <c r="AL103" s="20">
        <f t="shared" si="58"/>
        <v>454.10078588624373</v>
      </c>
      <c r="AM103" s="59">
        <f t="shared" si="59"/>
        <v>747.43411921957704</v>
      </c>
      <c r="AN103" s="59">
        <f ca="1">AVERAGE(OFFSET($AM$3,0,0,'Données projet'!$E$10+1,1))-AVERAGE(OFFSET($H$3,0,0,'Données projet'!$E$10+1,1))</f>
        <v>244.66788784685366</v>
      </c>
      <c r="AO103" s="59">
        <f t="shared" si="90"/>
        <v>252.04429018409274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23.905995036306951</v>
      </c>
      <c r="AV103" s="21">
        <f>EXP(-LN(2)/25)*AV102+(1-EXP(-LN(2)/25))/(LN(2)/25)*Calculateur!AQ103*Calculateur!AS103*VLOOKUP('Données projet'!$B$10,Paramètres!$A$1:$I$89,3,0)*0.475*44/12</f>
        <v>0</v>
      </c>
      <c r="AW103" s="21">
        <f>EXP(-LN(2)/2)*AW102+(1-EXP(-LN(2)/2))/(LN(2)/2)*AQ103*AT103*VLOOKUP('Données projet'!$B$10,Paramètres!$A$1:$I$89,3,0)*0.475*44/12</f>
        <v>0</v>
      </c>
      <c r="AX103" s="21">
        <f t="shared" si="60"/>
        <v>23.905995036306951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>
        <f>VLOOKUP(A103,'Données projet'!$A$87:$I$107,2,0)</f>
        <v>265</v>
      </c>
      <c r="BB103" s="12">
        <f>VLOOKUP(A103,'Données projet'!$A$87:$I$107,9,0)</f>
        <v>4.8</v>
      </c>
      <c r="BC103" s="12">
        <f t="array" ref="BC103">INDEX(BB:BB,MIN(IF(ISNUMBER(BB103:BB299),ROW(BB103:BB299),"")))</f>
        <v>4.8</v>
      </c>
      <c r="BD103" s="12">
        <f>IF('Données projet'!$A$88&gt;35,BD102+BC103-BL102,IF(A103&lt;'Données projet'!$A$88,$BA$205^A103,IF(A103='Données projet'!$A$88,'Données projet'!$B$88,BD102+BC103-BL102)))</f>
        <v>264.99999999999994</v>
      </c>
      <c r="BE103" s="13">
        <f>BD103*VLOOKUP('Données projet'!$B$11,Paramètres!$A$1:$I$89,3,0)*VLOOKUP('Données projet'!$B$11,Paramètres!$A$1:$I$89,5,0)</f>
        <v>252.17399999999992</v>
      </c>
      <c r="BF103" s="13">
        <f t="shared" si="91"/>
        <v>61.051235383411935</v>
      </c>
      <c r="BG103" s="20">
        <f t="shared" si="61"/>
        <v>545.533951626109</v>
      </c>
      <c r="BH103" s="59">
        <f t="shared" si="62"/>
        <v>838.86728495944226</v>
      </c>
      <c r="BI103" s="59">
        <f ca="1">AVERAGE(OFFSET($BH$3,0,0,'Données projet'!$E$11+1,1))-AVERAGE(OFFSET($H$3,0,0,'Données projet'!$E$11+1,1))</f>
        <v>373.51596132356536</v>
      </c>
      <c r="BJ103" s="59">
        <f t="shared" si="92"/>
        <v>417.00150517020114</v>
      </c>
      <c r="BK103" s="15">
        <f>IF(ISNA(VLOOKUP(A103,'Données projet'!$A$87:$I$107,3,0)),0,VLOOKUP(A103,'Données projet'!$A$87:$I$107,3,0))</f>
        <v>19</v>
      </c>
      <c r="BL103" s="15">
        <f>IF(ISNA(VLOOKUP(A103,'Données projet'!$A$87:$I$107,4,0)),0,VLOOKUP(A103,'Données projet'!$A$87:$I$107,4,0))</f>
        <v>22</v>
      </c>
      <c r="BM103" s="16">
        <f>IF(ISNA(VLOOKUP(A103,'Données projet'!$A$87:$I$107,5,0)),0%,VLOOKUP(A103,'Données projet'!$A$87:$I$107,5,0)*VLOOKUP('Données projet'!$B$11,Paramètres!$A$1:$I$89,7,0))</f>
        <v>0.43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93.663857044662478</v>
      </c>
      <c r="BQ103" s="21">
        <f>EXP(-LN(2)/25)*BQ102+(1-EXP(-LN(2)/25))/(LN(2)/25)*Calculateur!BL103*Calculateur!BN103*VLOOKUP('Données projet'!$B$11,Paramètres!$A$1:$I$89,3,0)*0.475*44/12</f>
        <v>0</v>
      </c>
      <c r="BR103" s="21">
        <f>EXP(-LN(2)/2)*BR102+(1-EXP(-LN(2)/2))/(LN(2)/2)*BL103*BO103*VLOOKUP('Données projet'!$B$11,Paramètres!$A$1:$I$89,3,0)*0.475*44/12</f>
        <v>0</v>
      </c>
      <c r="BS103" s="22">
        <f t="shared" si="63"/>
        <v>93.663857044662478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>
        <f>VLOOKUP(A103,'Données projet'!$A$113:$I$133,2,0)</f>
        <v>282</v>
      </c>
      <c r="BW103" s="12">
        <f>VLOOKUP(A103,'Données projet'!$A$113:$I$133,9,0)</f>
        <v>4.8</v>
      </c>
      <c r="BX103" s="12">
        <f t="array" ref="BX103">INDEX(BW:BW,MIN(IF(ISNUMBER(BW103:BW299),ROW(BW103:BW299),"")))</f>
        <v>4.8</v>
      </c>
      <c r="BY103" s="12">
        <f>IF('Données projet'!$A$114&gt;35,BY102+BX103-CG102,IF(A103&lt;'Données projet'!$A$114,$BV$205^A103,IF(A103='Données projet'!$A$114,'Données projet'!$B$114,BY102+BX103-CG102)))</f>
        <v>281.99999999999989</v>
      </c>
      <c r="BZ103" s="13">
        <f>BY103*VLOOKUP('Données projet'!$B$12,Paramètres!$A$1:$I$89,3,0)*VLOOKUP('Données projet'!$B$12,Paramètres!$A$1:$I$89,5,0)</f>
        <v>255.15359999999987</v>
      </c>
      <c r="CA103" s="13">
        <f t="shared" si="93"/>
        <v>61.688192762754376</v>
      </c>
      <c r="CB103" s="20">
        <f t="shared" si="64"/>
        <v>551.83278906179692</v>
      </c>
      <c r="CC103" s="59">
        <f t="shared" si="65"/>
        <v>845.16612239513029</v>
      </c>
      <c r="CD103" s="59">
        <f ca="1">AVERAGE(OFFSET($CC$3,0,0,'Données projet'!$E$12+1,1))-AVERAGE(OFFSET($H$3,0,0,'Données projet'!$E$12+1,1))</f>
        <v>289.19622253646992</v>
      </c>
      <c r="CE103" s="59">
        <f t="shared" si="94"/>
        <v>191.23827338431175</v>
      </c>
      <c r="CF103" s="15">
        <f>IF(ISNA(VLOOKUP(A103,'Données projet'!$A$113:$I$133,3,0)),0,VLOOKUP(A103,'Données projet'!$A$113:$I$133,3,0))</f>
        <v>16</v>
      </c>
      <c r="CG103" s="15">
        <f>IF(ISNA(VLOOKUP(A103,'Données projet'!$A$113:$I$133,4,0)),0,VLOOKUP(A103,'Données projet'!$A$113:$I$133,4,0))</f>
        <v>21</v>
      </c>
      <c r="CH103" s="16">
        <f>IF(ISNA(VLOOKUP(A103,'Données projet'!$A$113:$I$133,5,0)),0%,VLOOKUP(A103,'Données projet'!$A$113:$I$133,5,0)*VLOOKUP('Données projet'!$B$12,Paramètres!$A$1:$I$89,7,0))</f>
        <v>0.43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>
        <f>EXP(-LN(2)/35)*CK102+(1-EXP(-LN(2)/35))/(LN(2)/35)*CG103*CH103*VLOOKUP('Données projet'!$B$12,Paramètres!$A$1:$I$89,3,0)*0.475*44/12</f>
        <v>71.853184673072121</v>
      </c>
      <c r="CL103" s="21">
        <f>EXP(-LN(2)/25)*CL102+(1-EXP(-LN(2)/25))/(LN(2)/25)*Calculateur!CG103*Calculateur!CI103*VLOOKUP('Données projet'!$B$12,Paramètres!$A$1:$I$89,3,0)*0.475*44/12</f>
        <v>0</v>
      </c>
      <c r="CM103" s="21">
        <f>EXP(-LN(2)/2)*CM102+(1-EXP(-LN(2)/2))/(LN(2)/2)*CG103*CJ103*VLOOKUP('Données projet'!$B$12,Paramètres!$A$1:$I$89,3,0)*0.475*44/12</f>
        <v>0</v>
      </c>
      <c r="CN103" s="22">
        <f t="shared" si="66"/>
        <v>71.853184673072121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3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58.297199999999926</v>
      </c>
      <c r="D104" s="11">
        <f t="shared" si="86"/>
        <v>16.737029023479579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579.21159246194713</v>
      </c>
      <c r="H104" s="67">
        <f t="shared" si="56"/>
        <v>387.35128221589343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304.99999999999983</v>
      </c>
      <c r="O104" s="13">
        <f>N104*VLOOKUP('Données projet'!$B$9,Paramètres!$A$1:$I$89,3,0)*VLOOKUP('Données projet'!$B$9,Paramètres!$A$1:$I$89,5,0)</f>
        <v>275.96399999999983</v>
      </c>
      <c r="P104" s="13">
        <f t="shared" si="87"/>
        <v>66.113366665488854</v>
      </c>
      <c r="Q104" s="20">
        <f t="shared" si="107"/>
        <v>595.78474694239264</v>
      </c>
      <c r="R104" s="59">
        <f t="shared" si="55"/>
        <v>889.11808027572602</v>
      </c>
      <c r="S104" s="59">
        <f ca="1">AVERAGE(OFFSET($R$3,0,0,'Données projet'!$E$9+1,1))-AVERAGE(OFFSET($H$3,0,0,'Données projet'!$E$9+1,1))</f>
        <v>336.59194805061094</v>
      </c>
      <c r="T104" s="59">
        <f t="shared" si="88"/>
        <v>473.66884161123909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2.0512913482187782</v>
      </c>
      <c r="AA104" s="21">
        <f>EXP(-LN(2)/25)*AA103+(1-EXP(-LN(2)/25))/(LN(2)/25)*Calculateur!V104*Calculateur!X104*VLOOKUP('Données projet'!$B$9,Paramètres!$A$1:$I$89,3,0)*0.475*44/12</f>
        <v>0</v>
      </c>
      <c r="AB104" s="21">
        <f>EXP(-LN(2)/2)*AB103+(1-EXP(-LN(2)/2))/(LN(2)/2)*V104*Y104*VLOOKUP('Données projet'!$B$9,Paramètres!$A$1:$I$89,3,0)*0.475*44/12</f>
        <v>0</v>
      </c>
      <c r="AC104" s="22">
        <f t="shared" si="57"/>
        <v>2.0512913482187782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319</v>
      </c>
      <c r="AJ104" s="13">
        <f>AI104*VLOOKUP('Données projet'!$B$10,Paramètres!$A$1:$I$89,3,0)*VLOOKUP('Données projet'!$B$10,Paramètres!$A$1:$I$89,5,0)</f>
        <v>209.00879999999998</v>
      </c>
      <c r="AK104" s="13">
        <f t="shared" si="89"/>
        <v>51.718923953824202</v>
      </c>
      <c r="AL104" s="20">
        <f t="shared" si="58"/>
        <v>454.10078588624373</v>
      </c>
      <c r="AM104" s="59">
        <f t="shared" si="59"/>
        <v>747.43411921957704</v>
      </c>
      <c r="AN104" s="59">
        <f ca="1">AVERAGE(OFFSET($AM$3,0,0,'Données projet'!$E$10+1,1))-AVERAGE(OFFSET($H$3,0,0,'Données projet'!$E$10+1,1))</f>
        <v>244.66788784685366</v>
      </c>
      <c r="AO104" s="59">
        <f t="shared" si="90"/>
        <v>252.04429018409274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23.43721305486217</v>
      </c>
      <c r="AV104" s="21">
        <f>EXP(-LN(2)/25)*AV103+(1-EXP(-LN(2)/25))/(LN(2)/25)*Calculateur!AQ104*Calculateur!AS104*VLOOKUP('Données projet'!$B$10,Paramètres!$A$1:$I$89,3,0)*0.475*44/12</f>
        <v>0</v>
      </c>
      <c r="AW104" s="21">
        <f>EXP(-LN(2)/2)*AW103+(1-EXP(-LN(2)/2))/(LN(2)/2)*AQ104*AT104*VLOOKUP('Données projet'!$B$10,Paramètres!$A$1:$I$89,3,0)*0.475*44/12</f>
        <v>0</v>
      </c>
      <c r="AX104" s="21">
        <f t="shared" si="60"/>
        <v>23.43721305486217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4.4000000000000004</v>
      </c>
      <c r="BD104" s="12">
        <f>IF('Données projet'!$A$88&gt;35,BD103+BC104-BL103,IF(A104&lt;'Données projet'!$A$88,$BA$205^A104,IF(A104='Données projet'!$A$88,'Données projet'!$B$88,BD103+BC104-BL103)))</f>
        <v>247.39999999999992</v>
      </c>
      <c r="BE104" s="13">
        <f>BD104*VLOOKUP('Données projet'!$B$11,Paramètres!$A$1:$I$89,3,0)*VLOOKUP('Données projet'!$B$11,Paramètres!$A$1:$I$89,5,0)</f>
        <v>235.42583999999994</v>
      </c>
      <c r="BF104" s="13">
        <f t="shared" si="91"/>
        <v>57.454278198558761</v>
      </c>
      <c r="BG104" s="20">
        <f t="shared" si="61"/>
        <v>510.09953919582307</v>
      </c>
      <c r="BH104" s="59">
        <f t="shared" si="62"/>
        <v>803.43287252915638</v>
      </c>
      <c r="BI104" s="59">
        <f ca="1">AVERAGE(OFFSET($BH$3,0,0,'Données projet'!$E$11+1,1))-AVERAGE(OFFSET($H$3,0,0,'Données projet'!$E$11+1,1))</f>
        <v>373.51596132356536</v>
      </c>
      <c r="BJ104" s="59">
        <f t="shared" si="92"/>
        <v>417.00150517020114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91.827165937328388</v>
      </c>
      <c r="BQ104" s="21">
        <f>EXP(-LN(2)/25)*BQ103+(1-EXP(-LN(2)/25))/(LN(2)/25)*Calculateur!BL104*Calculateur!BN104*VLOOKUP('Données projet'!$B$11,Paramètres!$A$1:$I$89,3,0)*0.475*44/12</f>
        <v>0</v>
      </c>
      <c r="BR104" s="21">
        <f>EXP(-LN(2)/2)*BR103+(1-EXP(-LN(2)/2))/(LN(2)/2)*BL104*BO104*VLOOKUP('Données projet'!$B$11,Paramètres!$A$1:$I$89,3,0)*0.475*44/12</f>
        <v>0</v>
      </c>
      <c r="BS104" s="22">
        <f t="shared" si="63"/>
        <v>91.827165937328388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4.5999999999999996</v>
      </c>
      <c r="BY104" s="12">
        <f>IF('Données projet'!$A$114&gt;35,BY103+BX104-CG103,IF(A104&lt;'Données projet'!$A$114,$BV$205^A104,IF(A104='Données projet'!$A$114,'Données projet'!$B$114,BY103+BX104-CG103)))</f>
        <v>265.59999999999991</v>
      </c>
      <c r="BZ104" s="13">
        <f>BY104*VLOOKUP('Données projet'!$B$12,Paramètres!$A$1:$I$89,3,0)*VLOOKUP('Données projet'!$B$12,Paramètres!$A$1:$I$89,5,0)</f>
        <v>240.31487999999993</v>
      </c>
      <c r="CA104" s="13">
        <f t="shared" si="93"/>
        <v>58.50727327751612</v>
      </c>
      <c r="CB104" s="20">
        <f t="shared" si="64"/>
        <v>520.44858362500713</v>
      </c>
      <c r="CC104" s="59">
        <f t="shared" si="65"/>
        <v>813.78191695834039</v>
      </c>
      <c r="CD104" s="59">
        <f ca="1">AVERAGE(OFFSET($CC$3,0,0,'Données projet'!$E$12+1,1))-AVERAGE(OFFSET($H$3,0,0,'Données projet'!$E$12+1,1))</f>
        <v>289.19622253646992</v>
      </c>
      <c r="CE104" s="59">
        <f t="shared" si="94"/>
        <v>191.23827338431175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>
        <f>EXP(-LN(2)/35)*CK103+(1-EXP(-LN(2)/35))/(LN(2)/35)*CG104*CH104*VLOOKUP('Données projet'!$B$12,Paramètres!$A$1:$I$89,3,0)*0.475*44/12</f>
        <v>70.444187547748356</v>
      </c>
      <c r="CL104" s="21">
        <f>EXP(-LN(2)/25)*CL103+(1-EXP(-LN(2)/25))/(LN(2)/25)*Calculateur!CG104*Calculateur!CI104*VLOOKUP('Données projet'!$B$12,Paramètres!$A$1:$I$89,3,0)*0.475*44/12</f>
        <v>0</v>
      </c>
      <c r="CM104" s="21">
        <f>EXP(-LN(2)/2)*CM103+(1-EXP(-LN(2)/2))/(LN(2)/2)*CG104*CJ104*VLOOKUP('Données projet'!$B$12,Paramètres!$A$1:$I$89,3,0)*0.475*44/12</f>
        <v>0</v>
      </c>
      <c r="CN104" s="22">
        <f t="shared" si="66"/>
        <v>70.444187547748356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3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58.874399999999923</v>
      </c>
      <c r="D105" s="11">
        <f t="shared" si="86"/>
        <v>16.883369104619209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584.79681414091965</v>
      </c>
      <c r="H105" s="67">
        <f t="shared" si="56"/>
        <v>388.61144785721172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304.99999999999983</v>
      </c>
      <c r="O105" s="13">
        <f>N105*VLOOKUP('Données projet'!$B$9,Paramètres!$A$1:$I$89,3,0)*VLOOKUP('Données projet'!$B$9,Paramètres!$A$1:$I$89,5,0)</f>
        <v>275.96399999999983</v>
      </c>
      <c r="P105" s="13">
        <f t="shared" si="87"/>
        <v>66.113366665488854</v>
      </c>
      <c r="Q105" s="20">
        <f t="shared" si="107"/>
        <v>595.78474694239264</v>
      </c>
      <c r="R105" s="59">
        <f t="shared" si="55"/>
        <v>889.11808027572602</v>
      </c>
      <c r="S105" s="59">
        <f ca="1">AVERAGE(OFFSET($R$3,0,0,'Données projet'!$E$9+1,1))-AVERAGE(OFFSET($H$3,0,0,'Données projet'!$E$9+1,1))</f>
        <v>336.59194805061094</v>
      </c>
      <c r="T105" s="59">
        <f t="shared" si="88"/>
        <v>473.66884161123909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2.0110667760443883</v>
      </c>
      <c r="AA105" s="21">
        <f>EXP(-LN(2)/25)*AA104+(1-EXP(-LN(2)/25))/(LN(2)/25)*Calculateur!V105*Calculateur!X105*VLOOKUP('Données projet'!$B$9,Paramètres!$A$1:$I$89,3,0)*0.475*44/12</f>
        <v>0</v>
      </c>
      <c r="AB105" s="21">
        <f>EXP(-LN(2)/2)*AB104+(1-EXP(-LN(2)/2))/(LN(2)/2)*V105*Y105*VLOOKUP('Données projet'!$B$9,Paramètres!$A$1:$I$89,3,0)*0.475*44/12</f>
        <v>0</v>
      </c>
      <c r="AC105" s="22">
        <f t="shared" si="57"/>
        <v>2.0110667760443883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319</v>
      </c>
      <c r="AJ105" s="13">
        <f>AI105*VLOOKUP('Données projet'!$B$10,Paramètres!$A$1:$I$89,3,0)*VLOOKUP('Données projet'!$B$10,Paramètres!$A$1:$I$89,5,0)</f>
        <v>209.00879999999998</v>
      </c>
      <c r="AK105" s="13">
        <f t="shared" si="89"/>
        <v>51.718923953824202</v>
      </c>
      <c r="AL105" s="20">
        <f t="shared" si="58"/>
        <v>454.10078588624373</v>
      </c>
      <c r="AM105" s="59">
        <f t="shared" si="59"/>
        <v>747.43411921957704</v>
      </c>
      <c r="AN105" s="59">
        <f ca="1">AVERAGE(OFFSET($AM$3,0,0,'Données projet'!$E$10+1,1))-AVERAGE(OFFSET($H$3,0,0,'Données projet'!$E$10+1,1))</f>
        <v>244.66788784685366</v>
      </c>
      <c r="AO105" s="59">
        <f t="shared" si="90"/>
        <v>252.04429018409274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22.977623602144742</v>
      </c>
      <c r="AV105" s="21">
        <f>EXP(-LN(2)/25)*AV104+(1-EXP(-LN(2)/25))/(LN(2)/25)*Calculateur!AQ105*Calculateur!AS105*VLOOKUP('Données projet'!$B$10,Paramètres!$A$1:$I$89,3,0)*0.475*44/12</f>
        <v>0</v>
      </c>
      <c r="AW105" s="21">
        <f>EXP(-LN(2)/2)*AW104+(1-EXP(-LN(2)/2))/(LN(2)/2)*AQ105*AT105*VLOOKUP('Données projet'!$B$10,Paramètres!$A$1:$I$89,3,0)*0.475*44/12</f>
        <v>0</v>
      </c>
      <c r="AX105" s="21">
        <f t="shared" si="60"/>
        <v>22.977623602144742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4.4000000000000004</v>
      </c>
      <c r="BD105" s="12">
        <f>IF('Données projet'!$A$88&gt;35,BD104+BC105-BL104,IF(A105&lt;'Données projet'!$A$88,$BA$205^A105,IF(A105='Données projet'!$A$88,'Données projet'!$B$88,BD104+BC105-BL104)))</f>
        <v>251.79999999999993</v>
      </c>
      <c r="BE105" s="13">
        <f>BD105*VLOOKUP('Données projet'!$B$11,Paramètres!$A$1:$I$89,3,0)*VLOOKUP('Données projet'!$B$11,Paramètres!$A$1:$I$89,5,0)</f>
        <v>239.61287999999993</v>
      </c>
      <c r="BF105" s="13">
        <f t="shared" si="91"/>
        <v>58.356231904651075</v>
      </c>
      <c r="BG105" s="20">
        <f t="shared" si="61"/>
        <v>518.96286990060048</v>
      </c>
      <c r="BH105" s="59">
        <f t="shared" si="62"/>
        <v>812.29620323393374</v>
      </c>
      <c r="BI105" s="59">
        <f ca="1">AVERAGE(OFFSET($BH$3,0,0,'Données projet'!$E$11+1,1))-AVERAGE(OFFSET($H$3,0,0,'Données projet'!$E$11+1,1))</f>
        <v>373.51596132356536</v>
      </c>
      <c r="BJ105" s="59">
        <f t="shared" si="92"/>
        <v>417.00150517020114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90.026491222338166</v>
      </c>
      <c r="BQ105" s="21">
        <f>EXP(-LN(2)/25)*BQ104+(1-EXP(-LN(2)/25))/(LN(2)/25)*Calculateur!BL105*Calculateur!BN105*VLOOKUP('Données projet'!$B$11,Paramètres!$A$1:$I$89,3,0)*0.475*44/12</f>
        <v>0</v>
      </c>
      <c r="BR105" s="21">
        <f>EXP(-LN(2)/2)*BR104+(1-EXP(-LN(2)/2))/(LN(2)/2)*BL105*BO105*VLOOKUP('Données projet'!$B$11,Paramètres!$A$1:$I$89,3,0)*0.475*44/12</f>
        <v>0</v>
      </c>
      <c r="BS105" s="22">
        <f t="shared" si="63"/>
        <v>90.026491222338166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4.5999999999999996</v>
      </c>
      <c r="BY105" s="12">
        <f>IF('Données projet'!$A$114&gt;35,BY104+BX105-CG104,IF(A105&lt;'Données projet'!$A$114,$BV$205^A105,IF(A105='Données projet'!$A$114,'Données projet'!$B$114,BY104+BX105-CG104)))</f>
        <v>270.19999999999993</v>
      </c>
      <c r="BZ105" s="13">
        <f>BY105*VLOOKUP('Données projet'!$B$12,Paramètres!$A$1:$I$89,3,0)*VLOOKUP('Données projet'!$B$12,Paramètres!$A$1:$I$89,5,0)</f>
        <v>244.47695999999993</v>
      </c>
      <c r="CA105" s="13">
        <f t="shared" si="93"/>
        <v>59.401731670234192</v>
      </c>
      <c r="CB105" s="20">
        <f t="shared" si="64"/>
        <v>529.25538799232447</v>
      </c>
      <c r="CC105" s="59">
        <f t="shared" si="65"/>
        <v>822.58872132565784</v>
      </c>
      <c r="CD105" s="59">
        <f ca="1">AVERAGE(OFFSET($CC$3,0,0,'Données projet'!$E$12+1,1))-AVERAGE(OFFSET($H$3,0,0,'Données projet'!$E$12+1,1))</f>
        <v>289.19622253646992</v>
      </c>
      <c r="CE105" s="59">
        <f t="shared" si="94"/>
        <v>191.23827338431175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>
        <f>EXP(-LN(2)/35)*CK104+(1-EXP(-LN(2)/35))/(LN(2)/35)*CG105*CH105*VLOOKUP('Données projet'!$B$12,Paramètres!$A$1:$I$89,3,0)*0.475*44/12</f>
        <v>69.062819996648798</v>
      </c>
      <c r="CL105" s="21">
        <f>EXP(-LN(2)/25)*CL104+(1-EXP(-LN(2)/25))/(LN(2)/25)*Calculateur!CG105*Calculateur!CI105*VLOOKUP('Données projet'!$B$12,Paramètres!$A$1:$I$89,3,0)*0.475*44/12</f>
        <v>0</v>
      </c>
      <c r="CM105" s="21">
        <f>EXP(-LN(2)/2)*CM104+(1-EXP(-LN(2)/2))/(LN(2)/2)*CG105*CJ105*VLOOKUP('Données projet'!$B$12,Paramètres!$A$1:$I$89,3,0)*0.475*44/12</f>
        <v>0</v>
      </c>
      <c r="CN105" s="22">
        <f t="shared" si="66"/>
        <v>69.062819996648798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3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59.451599999999921</v>
      </c>
      <c r="D106" s="11">
        <f t="shared" si="86"/>
        <v>17.029542278325611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590.38074741163575</v>
      </c>
      <c r="H106" s="67">
        <f t="shared" si="56"/>
        <v>389.87132280141702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304.99999999999983</v>
      </c>
      <c r="O106" s="13">
        <f>N106*VLOOKUP('Données projet'!$B$9,Paramètres!$A$1:$I$89,3,0)*VLOOKUP('Données projet'!$B$9,Paramètres!$A$1:$I$89,5,0)</f>
        <v>275.96399999999983</v>
      </c>
      <c r="P106" s="13">
        <f t="shared" si="87"/>
        <v>66.113366665488854</v>
      </c>
      <c r="Q106" s="20">
        <f t="shared" si="107"/>
        <v>595.78474694239264</v>
      </c>
      <c r="R106" s="59">
        <f t="shared" si="55"/>
        <v>889.11808027572602</v>
      </c>
      <c r="S106" s="59">
        <f ca="1">AVERAGE(OFFSET($R$3,0,0,'Données projet'!$E$9+1,1))-AVERAGE(OFFSET($H$3,0,0,'Données projet'!$E$9+1,1))</f>
        <v>336.59194805061094</v>
      </c>
      <c r="T106" s="59">
        <f t="shared" si="88"/>
        <v>473.66884161123909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1.9716309831957717</v>
      </c>
      <c r="AA106" s="21">
        <f>EXP(-LN(2)/25)*AA105+(1-EXP(-LN(2)/25))/(LN(2)/25)*Calculateur!V106*Calculateur!X106*VLOOKUP('Données projet'!$B$9,Paramètres!$A$1:$I$89,3,0)*0.475*44/12</f>
        <v>0</v>
      </c>
      <c r="AB106" s="21">
        <f>EXP(-LN(2)/2)*AB105+(1-EXP(-LN(2)/2))/(LN(2)/2)*V106*Y106*VLOOKUP('Données projet'!$B$9,Paramètres!$A$1:$I$89,3,0)*0.475*44/12</f>
        <v>0</v>
      </c>
      <c r="AC106" s="22">
        <f t="shared" si="57"/>
        <v>1.9716309831957717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319</v>
      </c>
      <c r="AJ106" s="13">
        <f>AI106*VLOOKUP('Données projet'!$B$10,Paramètres!$A$1:$I$89,3,0)*VLOOKUP('Données projet'!$B$10,Paramètres!$A$1:$I$89,5,0)</f>
        <v>209.00879999999998</v>
      </c>
      <c r="AK106" s="13">
        <f t="shared" si="89"/>
        <v>51.718923953824202</v>
      </c>
      <c r="AL106" s="20">
        <f t="shared" si="58"/>
        <v>454.10078588624373</v>
      </c>
      <c r="AM106" s="59">
        <f t="shared" si="59"/>
        <v>747.43411921957704</v>
      </c>
      <c r="AN106" s="59">
        <f ca="1">AVERAGE(OFFSET($AM$3,0,0,'Données projet'!$E$10+1,1))-AVERAGE(OFFSET($H$3,0,0,'Données projet'!$E$10+1,1))</f>
        <v>244.66788784685366</v>
      </c>
      <c r="AO106" s="59">
        <f t="shared" si="90"/>
        <v>252.04429018409274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22.527046418273219</v>
      </c>
      <c r="AV106" s="21">
        <f>EXP(-LN(2)/25)*AV105+(1-EXP(-LN(2)/25))/(LN(2)/25)*Calculateur!AQ106*Calculateur!AS106*VLOOKUP('Données projet'!$B$10,Paramètres!$A$1:$I$89,3,0)*0.475*44/12</f>
        <v>0</v>
      </c>
      <c r="AW106" s="21">
        <f>EXP(-LN(2)/2)*AW105+(1-EXP(-LN(2)/2))/(LN(2)/2)*AQ106*AT106*VLOOKUP('Données projet'!$B$10,Paramètres!$A$1:$I$89,3,0)*0.475*44/12</f>
        <v>0</v>
      </c>
      <c r="AX106" s="21">
        <f t="shared" si="60"/>
        <v>22.527046418273219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4.4000000000000004</v>
      </c>
      <c r="BD106" s="12">
        <f>IF('Données projet'!$A$88&gt;35,BD105+BC106-BL105,IF(A106&lt;'Données projet'!$A$88,$BA$205^A106,IF(A106='Données projet'!$A$88,'Données projet'!$B$88,BD105+BC106-BL105)))</f>
        <v>256.19999999999993</v>
      </c>
      <c r="BE106" s="13">
        <f>BD106*VLOOKUP('Données projet'!$B$11,Paramètres!$A$1:$I$89,3,0)*VLOOKUP('Données projet'!$B$11,Paramètres!$A$1:$I$89,5,0)</f>
        <v>243.79991999999993</v>
      </c>
      <c r="BF106" s="13">
        <f t="shared" si="91"/>
        <v>59.256352807083054</v>
      </c>
      <c r="BG106" s="20">
        <f t="shared" si="61"/>
        <v>527.82300847233614</v>
      </c>
      <c r="BH106" s="59">
        <f t="shared" si="62"/>
        <v>821.1563418056694</v>
      </c>
      <c r="BI106" s="59">
        <f ca="1">AVERAGE(OFFSET($BH$3,0,0,'Données projet'!$E$11+1,1))-AVERAGE(OFFSET($H$3,0,0,'Données projet'!$E$11+1,1))</f>
        <v>373.51596132356536</v>
      </c>
      <c r="BJ106" s="59">
        <f t="shared" si="92"/>
        <v>417.00150517020114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88.261126640205774</v>
      </c>
      <c r="BQ106" s="21">
        <f>EXP(-LN(2)/25)*BQ105+(1-EXP(-LN(2)/25))/(LN(2)/25)*Calculateur!BL106*Calculateur!BN106*VLOOKUP('Données projet'!$B$11,Paramètres!$A$1:$I$89,3,0)*0.475*44/12</f>
        <v>0</v>
      </c>
      <c r="BR106" s="21">
        <f>EXP(-LN(2)/2)*BR105+(1-EXP(-LN(2)/2))/(LN(2)/2)*BL106*BO106*VLOOKUP('Données projet'!$B$11,Paramètres!$A$1:$I$89,3,0)*0.475*44/12</f>
        <v>0</v>
      </c>
      <c r="BS106" s="22">
        <f t="shared" si="63"/>
        <v>88.261126640205774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4.5999999999999996</v>
      </c>
      <c r="BY106" s="12">
        <f>IF('Données projet'!$A$114&gt;35,BY105+BX106-CG105,IF(A106&lt;'Données projet'!$A$114,$BV$205^A106,IF(A106='Données projet'!$A$114,'Données projet'!$B$114,BY105+BX106-CG105)))</f>
        <v>274.79999999999995</v>
      </c>
      <c r="BZ106" s="13">
        <f>BY106*VLOOKUP('Données projet'!$B$12,Paramètres!$A$1:$I$89,3,0)*VLOOKUP('Données projet'!$B$12,Paramètres!$A$1:$I$89,5,0)</f>
        <v>248.63903999999994</v>
      </c>
      <c r="CA106" s="13">
        <f t="shared" si="93"/>
        <v>60.294419230169922</v>
      </c>
      <c r="CB106" s="20">
        <f t="shared" si="64"/>
        <v>538.05910815921254</v>
      </c>
      <c r="CC106" s="59">
        <f t="shared" si="65"/>
        <v>831.39244149254591</v>
      </c>
      <c r="CD106" s="59">
        <f ca="1">AVERAGE(OFFSET($CC$3,0,0,'Données projet'!$E$12+1,1))-AVERAGE(OFFSET($H$3,0,0,'Données projet'!$E$12+1,1))</f>
        <v>289.19622253646992</v>
      </c>
      <c r="CE106" s="59">
        <f t="shared" si="94"/>
        <v>191.23827338431175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>
        <f>EXP(-LN(2)/35)*CK105+(1-EXP(-LN(2)/35))/(LN(2)/35)*CG106*CH106*VLOOKUP('Données projet'!$B$12,Paramètres!$A$1:$I$89,3,0)*0.475*44/12</f>
        <v>67.708540220675303</v>
      </c>
      <c r="CL106" s="21">
        <f>EXP(-LN(2)/25)*CL105+(1-EXP(-LN(2)/25))/(LN(2)/25)*Calculateur!CG106*Calculateur!CI106*VLOOKUP('Données projet'!$B$12,Paramètres!$A$1:$I$89,3,0)*0.475*44/12</f>
        <v>0</v>
      </c>
      <c r="CM106" s="21">
        <f>EXP(-LN(2)/2)*CM105+(1-EXP(-LN(2)/2))/(LN(2)/2)*CG106*CJ106*VLOOKUP('Données projet'!$B$12,Paramètres!$A$1:$I$89,3,0)*0.475*44/12</f>
        <v>0</v>
      </c>
      <c r="CN106" s="22">
        <f t="shared" si="66"/>
        <v>67.708540220675303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3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60.028799999999919</v>
      </c>
      <c r="D107" s="11">
        <f t="shared" si="86"/>
        <v>17.175550352716147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595.9634062314924</v>
      </c>
      <c r="H107" s="67">
        <f t="shared" si="56"/>
        <v>391.13091019764715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304.99999999999983</v>
      </c>
      <c r="O107" s="13">
        <f>N107*VLOOKUP('Données projet'!$B$9,Paramètres!$A$1:$I$89,3,0)*VLOOKUP('Données projet'!$B$9,Paramètres!$A$1:$I$89,5,0)</f>
        <v>275.96399999999983</v>
      </c>
      <c r="P107" s="13">
        <f t="shared" si="87"/>
        <v>66.113366665488854</v>
      </c>
      <c r="Q107" s="20">
        <f t="shared" si="107"/>
        <v>595.78474694239264</v>
      </c>
      <c r="R107" s="59">
        <f t="shared" si="55"/>
        <v>889.11808027572602</v>
      </c>
      <c r="S107" s="59">
        <f ca="1">AVERAGE(OFFSET($R$3,0,0,'Données projet'!$E$9+1,1))-AVERAGE(OFFSET($H$3,0,0,'Données projet'!$E$9+1,1))</f>
        <v>336.59194805061094</v>
      </c>
      <c r="T107" s="59">
        <f t="shared" si="88"/>
        <v>473.66884161123909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1.9329685021914578</v>
      </c>
      <c r="AA107" s="21">
        <f>EXP(-LN(2)/25)*AA106+(1-EXP(-LN(2)/25))/(LN(2)/25)*Calculateur!V107*Calculateur!X107*VLOOKUP('Données projet'!$B$9,Paramètres!$A$1:$I$89,3,0)*0.475*44/12</f>
        <v>0</v>
      </c>
      <c r="AB107" s="21">
        <f>EXP(-LN(2)/2)*AB106+(1-EXP(-LN(2)/2))/(LN(2)/2)*V107*Y107*VLOOKUP('Données projet'!$B$9,Paramètres!$A$1:$I$89,3,0)*0.475*44/12</f>
        <v>0</v>
      </c>
      <c r="AC107" s="22">
        <f t="shared" si="57"/>
        <v>1.9329685021914578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319</v>
      </c>
      <c r="AJ107" s="13">
        <f>AI107*VLOOKUP('Données projet'!$B$10,Paramètres!$A$1:$I$89,3,0)*VLOOKUP('Données projet'!$B$10,Paramètres!$A$1:$I$89,5,0)</f>
        <v>209.00879999999998</v>
      </c>
      <c r="AK107" s="13">
        <f t="shared" si="89"/>
        <v>51.718923953824202</v>
      </c>
      <c r="AL107" s="20">
        <f t="shared" si="58"/>
        <v>454.10078588624373</v>
      </c>
      <c r="AM107" s="59">
        <f t="shared" si="59"/>
        <v>747.43411921957704</v>
      </c>
      <c r="AN107" s="59">
        <f ca="1">AVERAGE(OFFSET($AM$3,0,0,'Données projet'!$E$10+1,1))-AVERAGE(OFFSET($H$3,0,0,'Données projet'!$E$10+1,1))</f>
        <v>244.66788784685366</v>
      </c>
      <c r="AO107" s="59">
        <f t="shared" si="90"/>
        <v>252.04429018409274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22.085304778152469</v>
      </c>
      <c r="AV107" s="21">
        <f>EXP(-LN(2)/25)*AV106+(1-EXP(-LN(2)/25))/(LN(2)/25)*Calculateur!AQ107*Calculateur!AS107*VLOOKUP('Données projet'!$B$10,Paramètres!$A$1:$I$89,3,0)*0.475*44/12</f>
        <v>0</v>
      </c>
      <c r="AW107" s="21">
        <f>EXP(-LN(2)/2)*AW106+(1-EXP(-LN(2)/2))/(LN(2)/2)*AQ107*AT107*VLOOKUP('Données projet'!$B$10,Paramètres!$A$1:$I$89,3,0)*0.475*44/12</f>
        <v>0</v>
      </c>
      <c r="AX107" s="21">
        <f t="shared" si="60"/>
        <v>22.085304778152469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4.4000000000000004</v>
      </c>
      <c r="BD107" s="12">
        <f>IF('Données projet'!$A$88&gt;35,BD106+BC107-BL106,IF(A107&lt;'Données projet'!$A$88,$BA$205^A107,IF(A107='Données projet'!$A$88,'Données projet'!$B$88,BD106+BC107-BL106)))</f>
        <v>260.59999999999991</v>
      </c>
      <c r="BE107" s="13">
        <f>BD107*VLOOKUP('Données projet'!$B$11,Paramètres!$A$1:$I$89,3,0)*VLOOKUP('Données projet'!$B$11,Paramètres!$A$1:$I$89,5,0)</f>
        <v>247.98695999999993</v>
      </c>
      <c r="BF107" s="13">
        <f t="shared" si="91"/>
        <v>60.154676014844824</v>
      </c>
      <c r="BG107" s="20">
        <f t="shared" si="61"/>
        <v>536.68001605918778</v>
      </c>
      <c r="BH107" s="59">
        <f t="shared" si="62"/>
        <v>830.01334939252115</v>
      </c>
      <c r="BI107" s="59">
        <f ca="1">AVERAGE(OFFSET($BH$3,0,0,'Données projet'!$E$11+1,1))-AVERAGE(OFFSET($H$3,0,0,'Données projet'!$E$11+1,1))</f>
        <v>373.51596132356536</v>
      </c>
      <c r="BJ107" s="59">
        <f t="shared" si="92"/>
        <v>417.00150517020114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86.530379780762928</v>
      </c>
      <c r="BQ107" s="21">
        <f>EXP(-LN(2)/25)*BQ106+(1-EXP(-LN(2)/25))/(LN(2)/25)*Calculateur!BL107*Calculateur!BN107*VLOOKUP('Données projet'!$B$11,Paramètres!$A$1:$I$89,3,0)*0.475*44/12</f>
        <v>0</v>
      </c>
      <c r="BR107" s="21">
        <f>EXP(-LN(2)/2)*BR106+(1-EXP(-LN(2)/2))/(LN(2)/2)*BL107*BO107*VLOOKUP('Données projet'!$B$11,Paramètres!$A$1:$I$89,3,0)*0.475*44/12</f>
        <v>0</v>
      </c>
      <c r="BS107" s="22">
        <f t="shared" si="63"/>
        <v>86.530379780762928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4.5999999999999996</v>
      </c>
      <c r="BY107" s="12">
        <f>IF('Données projet'!$A$114&gt;35,BY106+BX107-CG106,IF(A107&lt;'Données projet'!$A$114,$BV$205^A107,IF(A107='Données projet'!$A$114,'Données projet'!$B$114,BY106+BX107-CG106)))</f>
        <v>279.39999999999998</v>
      </c>
      <c r="BZ107" s="13">
        <f>BY107*VLOOKUP('Données projet'!$B$12,Paramètres!$A$1:$I$89,3,0)*VLOOKUP('Données projet'!$B$12,Paramètres!$A$1:$I$89,5,0)</f>
        <v>252.80111999999994</v>
      </c>
      <c r="CA107" s="13">
        <f t="shared" si="93"/>
        <v>61.185369021394209</v>
      </c>
      <c r="CB107" s="20">
        <f t="shared" si="64"/>
        <v>546.8598017122614</v>
      </c>
      <c r="CC107" s="59">
        <f t="shared" si="65"/>
        <v>840.19313504559477</v>
      </c>
      <c r="CD107" s="59">
        <f ca="1">AVERAGE(OFFSET($CC$3,0,0,'Données projet'!$E$12+1,1))-AVERAGE(OFFSET($H$3,0,0,'Données projet'!$E$12+1,1))</f>
        <v>289.19622253646992</v>
      </c>
      <c r="CE107" s="59">
        <f t="shared" si="94"/>
        <v>191.23827338431175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>
        <f>EXP(-LN(2)/35)*CK106+(1-EXP(-LN(2)/35))/(LN(2)/35)*CG107*CH107*VLOOKUP('Données projet'!$B$12,Paramètres!$A$1:$I$89,3,0)*0.475*44/12</f>
        <v>66.380817045079539</v>
      </c>
      <c r="CL107" s="21">
        <f>EXP(-LN(2)/25)*CL106+(1-EXP(-LN(2)/25))/(LN(2)/25)*Calculateur!CG107*Calculateur!CI107*VLOOKUP('Données projet'!$B$12,Paramètres!$A$1:$I$89,3,0)*0.475*44/12</f>
        <v>0</v>
      </c>
      <c r="CM107" s="21">
        <f>EXP(-LN(2)/2)*CM106+(1-EXP(-LN(2)/2))/(LN(2)/2)*CG107*CJ107*VLOOKUP('Données projet'!$B$12,Paramètres!$A$1:$I$89,3,0)*0.475*44/12</f>
        <v>0</v>
      </c>
      <c r="CN107" s="22">
        <f t="shared" si="66"/>
        <v>66.380817045079539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3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60.605999999999916</v>
      </c>
      <c r="D108" s="11">
        <f t="shared" si="86"/>
        <v>17.321395099131863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601.54480427399983</v>
      </c>
      <c r="H108" s="67">
        <f t="shared" si="56"/>
        <v>392.39021313098783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304.99999999999983</v>
      </c>
      <c r="O108" s="13">
        <f>N108*VLOOKUP('Données projet'!$B$9,Paramètres!$A$1:$I$89,3,0)*VLOOKUP('Données projet'!$B$9,Paramètres!$A$1:$I$89,5,0)</f>
        <v>275.96399999999983</v>
      </c>
      <c r="P108" s="13">
        <f t="shared" si="87"/>
        <v>66.113366665488854</v>
      </c>
      <c r="Q108" s="20">
        <f t="shared" si="107"/>
        <v>595.78474694239264</v>
      </c>
      <c r="R108" s="59">
        <f t="shared" si="55"/>
        <v>889.11808027572602</v>
      </c>
      <c r="S108" s="59">
        <f ca="1">AVERAGE(OFFSET($R$3,0,0,'Données projet'!$E$9+1,1))-AVERAGE(OFFSET($H$3,0,0,'Données projet'!$E$9+1,1))</f>
        <v>336.59194805061094</v>
      </c>
      <c r="T108" s="59">
        <f t="shared" si="88"/>
        <v>473.66884161123909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1.8950641688578536</v>
      </c>
      <c r="AA108" s="21">
        <f>EXP(-LN(2)/25)*AA107+(1-EXP(-LN(2)/25))/(LN(2)/25)*Calculateur!V108*Calculateur!X108*VLOOKUP('Données projet'!$B$9,Paramètres!$A$1:$I$89,3,0)*0.475*44/12</f>
        <v>0</v>
      </c>
      <c r="AB108" s="21">
        <f>EXP(-LN(2)/2)*AB107+(1-EXP(-LN(2)/2))/(LN(2)/2)*V108*Y108*VLOOKUP('Données projet'!$B$9,Paramètres!$A$1:$I$89,3,0)*0.475*44/12</f>
        <v>0</v>
      </c>
      <c r="AC108" s="22">
        <f t="shared" si="57"/>
        <v>1.8950641688578536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319</v>
      </c>
      <c r="AJ108" s="13">
        <f>AI108*VLOOKUP('Données projet'!$B$10,Paramètres!$A$1:$I$89,3,0)*VLOOKUP('Données projet'!$B$10,Paramètres!$A$1:$I$89,5,0)</f>
        <v>209.00879999999998</v>
      </c>
      <c r="AK108" s="13">
        <f t="shared" si="89"/>
        <v>51.718923953824202</v>
      </c>
      <c r="AL108" s="20">
        <f t="shared" si="58"/>
        <v>454.10078588624373</v>
      </c>
      <c r="AM108" s="59">
        <f t="shared" si="59"/>
        <v>747.43411921957704</v>
      </c>
      <c r="AN108" s="59">
        <f ca="1">AVERAGE(OFFSET($AM$3,0,0,'Données projet'!$E$10+1,1))-AVERAGE(OFFSET($H$3,0,0,'Données projet'!$E$10+1,1))</f>
        <v>244.66788784685366</v>
      </c>
      <c r="AO108" s="59">
        <f t="shared" si="90"/>
        <v>252.04429018409274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21.652225422158693</v>
      </c>
      <c r="AV108" s="21">
        <f>EXP(-LN(2)/25)*AV107+(1-EXP(-LN(2)/25))/(LN(2)/25)*Calculateur!AQ108*Calculateur!AS108*VLOOKUP('Données projet'!$B$10,Paramètres!$A$1:$I$89,3,0)*0.475*44/12</f>
        <v>0</v>
      </c>
      <c r="AW108" s="21">
        <f>EXP(-LN(2)/2)*AW107+(1-EXP(-LN(2)/2))/(LN(2)/2)*AQ108*AT108*VLOOKUP('Données projet'!$B$10,Paramètres!$A$1:$I$89,3,0)*0.475*44/12</f>
        <v>0</v>
      </c>
      <c r="AX108" s="21">
        <f t="shared" si="60"/>
        <v>21.652225422158693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>
        <f>VLOOKUP(A108,'Données projet'!$A$87:$I$107,2,0)</f>
        <v>265</v>
      </c>
      <c r="BB108" s="12">
        <f>VLOOKUP(A108,'Données projet'!$A$87:$I$107,9,0)</f>
        <v>4.4000000000000004</v>
      </c>
      <c r="BC108" s="12">
        <f t="array" ref="BC108">INDEX(BB:BB,MIN(IF(ISNUMBER(BB108:BB304),ROW(BB108:BB304),"")))</f>
        <v>4.4000000000000004</v>
      </c>
      <c r="BD108" s="12">
        <f>IF('Données projet'!$A$88&gt;35,BD107+BC108-BL107,IF(A108&lt;'Données projet'!$A$88,$BA$205^A108,IF(A108='Données projet'!$A$88,'Données projet'!$B$88,BD107+BC108-BL107)))</f>
        <v>264.99999999999989</v>
      </c>
      <c r="BE108" s="13">
        <f>BD108*VLOOKUP('Données projet'!$B$11,Paramètres!$A$1:$I$89,3,0)*VLOOKUP('Données projet'!$B$11,Paramètres!$A$1:$I$89,5,0)</f>
        <v>252.17399999999989</v>
      </c>
      <c r="BF108" s="13">
        <f t="shared" si="91"/>
        <v>61.051235383411935</v>
      </c>
      <c r="BG108" s="20">
        <f t="shared" si="61"/>
        <v>545.53395162610889</v>
      </c>
      <c r="BH108" s="59">
        <f t="shared" si="62"/>
        <v>838.86728495944226</v>
      </c>
      <c r="BI108" s="59">
        <f ca="1">AVERAGE(OFFSET($BH$3,0,0,'Données projet'!$E$11+1,1))-AVERAGE(OFFSET($H$3,0,0,'Données projet'!$E$11+1,1))</f>
        <v>373.51596132356536</v>
      </c>
      <c r="BJ108" s="59">
        <f t="shared" si="92"/>
        <v>417.00150517020114</v>
      </c>
      <c r="BK108" s="15">
        <f>IF(ISNA(VLOOKUP(A108,'Données projet'!$A$87:$I$107,3,0)),0,VLOOKUP(A108,'Données projet'!$A$87:$I$107,3,0))</f>
        <v>20</v>
      </c>
      <c r="BL108" s="15">
        <f>IF(ISNA(VLOOKUP(A108,'Données projet'!$A$87:$I$107,4,0)),0,VLOOKUP(A108,'Données projet'!$A$87:$I$107,4,0))</f>
        <v>21</v>
      </c>
      <c r="BM108" s="16">
        <f>IF(ISNA(VLOOKUP(A108,'Données projet'!$A$87:$I$107,5,0)),0%,VLOOKUP(A108,'Données projet'!$A$87:$I$107,5,0)*VLOOKUP('Données projet'!$B$11,Paramètres!$A$1:$I$89,7,0))</f>
        <v>0.43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94.332821298449304</v>
      </c>
      <c r="BQ108" s="21">
        <f>EXP(-LN(2)/25)*BQ107+(1-EXP(-LN(2)/25))/(LN(2)/25)*Calculateur!BL108*Calculateur!BN108*VLOOKUP('Données projet'!$B$11,Paramètres!$A$1:$I$89,3,0)*0.475*44/12</f>
        <v>0</v>
      </c>
      <c r="BR108" s="21">
        <f>EXP(-LN(2)/2)*BR107+(1-EXP(-LN(2)/2))/(LN(2)/2)*BL108*BO108*VLOOKUP('Données projet'!$B$11,Paramètres!$A$1:$I$89,3,0)*0.475*44/12</f>
        <v>0</v>
      </c>
      <c r="BS108" s="22">
        <f t="shared" si="63"/>
        <v>94.332821298449304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>
        <f>VLOOKUP(A108,'Données projet'!$A$113:$I$133,2,0)</f>
        <v>284</v>
      </c>
      <c r="BW108" s="12">
        <f>VLOOKUP(A108,'Données projet'!$A$113:$I$133,9,0)</f>
        <v>4.5999999999999996</v>
      </c>
      <c r="BX108" s="12">
        <f t="array" ref="BX108">INDEX(BW:BW,MIN(IF(ISNUMBER(BW108:BW304),ROW(BW108:BW304),"")))</f>
        <v>4.5999999999999996</v>
      </c>
      <c r="BY108" s="12">
        <f>IF('Données projet'!$A$114&gt;35,BY107+BX108-CG107,IF(A108&lt;'Données projet'!$A$114,$BV$205^A108,IF(A108='Données projet'!$A$114,'Données projet'!$B$114,BY107+BX108-CG107)))</f>
        <v>284</v>
      </c>
      <c r="BZ108" s="13">
        <f>BY108*VLOOKUP('Données projet'!$B$12,Paramètres!$A$1:$I$89,3,0)*VLOOKUP('Données projet'!$B$12,Paramètres!$A$1:$I$89,5,0)</f>
        <v>256.96320000000003</v>
      </c>
      <c r="CA108" s="13">
        <f t="shared" si="93"/>
        <v>62.074612956838024</v>
      </c>
      <c r="CB108" s="20">
        <f t="shared" si="64"/>
        <v>555.65752423315951</v>
      </c>
      <c r="CC108" s="59">
        <f t="shared" si="65"/>
        <v>848.99085756649288</v>
      </c>
      <c r="CD108" s="59">
        <f ca="1">AVERAGE(OFFSET($CC$3,0,0,'Données projet'!$E$12+1,1))-AVERAGE(OFFSET($H$3,0,0,'Données projet'!$E$12+1,1))</f>
        <v>289.19622253646992</v>
      </c>
      <c r="CE108" s="59">
        <f t="shared" si="94"/>
        <v>191.23827338431175</v>
      </c>
      <c r="CF108" s="15">
        <f>IF(ISNA(VLOOKUP(A108,'Données projet'!$A$113:$I$133,3,0)),0,VLOOKUP(A108,'Données projet'!$A$113:$I$133,3,0))</f>
        <v>17</v>
      </c>
      <c r="CG108" s="15">
        <f>IF(ISNA(VLOOKUP(A108,'Données projet'!$A$113:$I$133,4,0)),0,VLOOKUP(A108,'Données projet'!$A$113:$I$133,4,0))</f>
        <v>20</v>
      </c>
      <c r="CH108" s="16">
        <f>IF(ISNA(VLOOKUP(A108,'Données projet'!$A$113:$I$133,5,0)),0%,VLOOKUP(A108,'Données projet'!$A$113:$I$133,5,0)*VLOOKUP('Données projet'!$B$12,Paramètres!$A$1:$I$89,7,0))</f>
        <v>0.43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>
        <f>EXP(-LN(2)/35)*CK107+(1-EXP(-LN(2)/35))/(LN(2)/35)*CG108*CH108*VLOOKUP('Données projet'!$B$12,Paramètres!$A$1:$I$89,3,0)*0.475*44/12</f>
        <v>73.681104265978192</v>
      </c>
      <c r="CL108" s="21">
        <f>EXP(-LN(2)/25)*CL107+(1-EXP(-LN(2)/25))/(LN(2)/25)*Calculateur!CG108*Calculateur!CI108*VLOOKUP('Données projet'!$B$12,Paramètres!$A$1:$I$89,3,0)*0.475*44/12</f>
        <v>0</v>
      </c>
      <c r="CM108" s="21">
        <f>EXP(-LN(2)/2)*CM107+(1-EXP(-LN(2)/2))/(LN(2)/2)*CG108*CJ108*VLOOKUP('Données projet'!$B$12,Paramètres!$A$1:$I$89,3,0)*0.475*44/12</f>
        <v>0</v>
      </c>
      <c r="CN108" s="22">
        <f t="shared" si="66"/>
        <v>73.681104265978192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3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61.183199999999914</v>
      </c>
      <c r="D109" s="11">
        <f t="shared" si="86"/>
        <v>17.467078253228514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607.12495493720201</v>
      </c>
      <c r="H109" s="67">
        <f t="shared" si="56"/>
        <v>393.64923462437287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304.99999999999983</v>
      </c>
      <c r="O109" s="13">
        <f>N109*VLOOKUP('Données projet'!$B$9,Paramètres!$A$1:$I$89,3,0)*VLOOKUP('Données projet'!$B$9,Paramètres!$A$1:$I$89,5,0)</f>
        <v>275.96399999999983</v>
      </c>
      <c r="P109" s="13">
        <f t="shared" si="87"/>
        <v>66.113366665488854</v>
      </c>
      <c r="Q109" s="20">
        <f t="shared" si="107"/>
        <v>595.78474694239264</v>
      </c>
      <c r="R109" s="59">
        <f t="shared" si="55"/>
        <v>889.11808027572602</v>
      </c>
      <c r="S109" s="59">
        <f ca="1">AVERAGE(OFFSET($R$3,0,0,'Données projet'!$E$9+1,1))-AVERAGE(OFFSET($H$3,0,0,'Données projet'!$E$9+1,1))</f>
        <v>336.59194805061094</v>
      </c>
      <c r="T109" s="59">
        <f t="shared" si="88"/>
        <v>473.66884161123909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1.8579031163815609</v>
      </c>
      <c r="AA109" s="21">
        <f>EXP(-LN(2)/25)*AA108+(1-EXP(-LN(2)/25))/(LN(2)/25)*Calculateur!V109*Calculateur!X109*VLOOKUP('Données projet'!$B$9,Paramètres!$A$1:$I$89,3,0)*0.475*44/12</f>
        <v>0</v>
      </c>
      <c r="AB109" s="21">
        <f>EXP(-LN(2)/2)*AB108+(1-EXP(-LN(2)/2))/(LN(2)/2)*V109*Y109*VLOOKUP('Données projet'!$B$9,Paramètres!$A$1:$I$89,3,0)*0.475*44/12</f>
        <v>0</v>
      </c>
      <c r="AC109" s="22">
        <f t="shared" si="57"/>
        <v>1.8579031163815609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319</v>
      </c>
      <c r="AJ109" s="13">
        <f>AI109*VLOOKUP('Données projet'!$B$10,Paramètres!$A$1:$I$89,3,0)*VLOOKUP('Données projet'!$B$10,Paramètres!$A$1:$I$89,5,0)</f>
        <v>209.00879999999998</v>
      </c>
      <c r="AK109" s="13">
        <f t="shared" si="89"/>
        <v>51.718923953824202</v>
      </c>
      <c r="AL109" s="20">
        <f t="shared" si="58"/>
        <v>454.10078588624373</v>
      </c>
      <c r="AM109" s="59">
        <f t="shared" si="59"/>
        <v>747.43411921957704</v>
      </c>
      <c r="AN109" s="59">
        <f ca="1">AVERAGE(OFFSET($AM$3,0,0,'Données projet'!$E$10+1,1))-AVERAGE(OFFSET($H$3,0,0,'Données projet'!$E$10+1,1))</f>
        <v>244.66788784685366</v>
      </c>
      <c r="AO109" s="59">
        <f t="shared" si="90"/>
        <v>252.04429018409274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21.227638488183629</v>
      </c>
      <c r="AV109" s="21">
        <f>EXP(-LN(2)/25)*AV108+(1-EXP(-LN(2)/25))/(LN(2)/25)*Calculateur!AQ109*Calculateur!AS109*VLOOKUP('Données projet'!$B$10,Paramètres!$A$1:$I$89,3,0)*0.475*44/12</f>
        <v>0</v>
      </c>
      <c r="AW109" s="21">
        <f>EXP(-LN(2)/2)*AW108+(1-EXP(-LN(2)/2))/(LN(2)/2)*AQ109*AT109*VLOOKUP('Données projet'!$B$10,Paramètres!$A$1:$I$89,3,0)*0.475*44/12</f>
        <v>0</v>
      </c>
      <c r="AX109" s="21">
        <f t="shared" si="60"/>
        <v>21.227638488183629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243.99999999999989</v>
      </c>
      <c r="BE109" s="13">
        <f>BD109*VLOOKUP('Données projet'!$B$11,Paramètres!$A$1:$I$89,3,0)*VLOOKUP('Données projet'!$B$11,Paramètres!$A$1:$I$89,5,0)</f>
        <v>232.19039999999987</v>
      </c>
      <c r="BF109" s="13">
        <f t="shared" si="91"/>
        <v>56.756035639094556</v>
      </c>
      <c r="BG109" s="20">
        <f t="shared" si="61"/>
        <v>503.24837540475619</v>
      </c>
      <c r="BH109" s="59">
        <f t="shared" si="62"/>
        <v>796.58170873808945</v>
      </c>
      <c r="BI109" s="59">
        <f ca="1">AVERAGE(OFFSET($BH$3,0,0,'Données projet'!$E$11+1,1))-AVERAGE(OFFSET($H$3,0,0,'Données projet'!$E$11+1,1))</f>
        <v>373.51596132356536</v>
      </c>
      <c r="BJ109" s="59">
        <f t="shared" si="92"/>
        <v>417.00150517020114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92.483012210126361</v>
      </c>
      <c r="BQ109" s="21">
        <f>EXP(-LN(2)/25)*BQ108+(1-EXP(-LN(2)/25))/(LN(2)/25)*Calculateur!BL109*Calculateur!BN109*VLOOKUP('Données projet'!$B$11,Paramètres!$A$1:$I$89,3,0)*0.475*44/12</f>
        <v>0</v>
      </c>
      <c r="BR109" s="21">
        <f>EXP(-LN(2)/2)*BR108+(1-EXP(-LN(2)/2))/(LN(2)/2)*BL109*BO109*VLOOKUP('Données projet'!$B$11,Paramètres!$A$1:$I$89,3,0)*0.475*44/12</f>
        <v>0</v>
      </c>
      <c r="BS109" s="22">
        <f t="shared" si="63"/>
        <v>92.483012210126361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4.2</v>
      </c>
      <c r="BY109" s="12">
        <f>IF('Données projet'!$A$114&gt;35,BY108+BX109-CG108,IF(A109&lt;'Données projet'!$A$114,$BV$205^A109,IF(A109='Données projet'!$A$114,'Données projet'!$B$114,BY108+BX109-CG108)))</f>
        <v>268.2</v>
      </c>
      <c r="BZ109" s="13">
        <f>BY109*VLOOKUP('Données projet'!$B$12,Paramètres!$A$1:$I$89,3,0)*VLOOKUP('Données projet'!$B$12,Paramètres!$A$1:$I$89,5,0)</f>
        <v>242.66735999999997</v>
      </c>
      <c r="CA109" s="13">
        <f t="shared" si="93"/>
        <v>59.013056290731797</v>
      </c>
      <c r="CB109" s="20">
        <f t="shared" si="64"/>
        <v>525.42672503969118</v>
      </c>
      <c r="CC109" s="59">
        <f t="shared" si="65"/>
        <v>818.76005837302455</v>
      </c>
      <c r="CD109" s="59">
        <f ca="1">AVERAGE(OFFSET($CC$3,0,0,'Données projet'!$E$12+1,1))-AVERAGE(OFFSET($H$3,0,0,'Données projet'!$E$12+1,1))</f>
        <v>289.19622253646992</v>
      </c>
      <c r="CE109" s="59">
        <f t="shared" si="94"/>
        <v>191.23827338431175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>
        <f>EXP(-LN(2)/35)*CK108+(1-EXP(-LN(2)/35))/(LN(2)/35)*CG109*CH109*VLOOKUP('Données projet'!$B$12,Paramètres!$A$1:$I$89,3,0)*0.475*44/12</f>
        <v>72.2362627523584</v>
      </c>
      <c r="CL109" s="21">
        <f>EXP(-LN(2)/25)*CL108+(1-EXP(-LN(2)/25))/(LN(2)/25)*Calculateur!CG109*Calculateur!CI109*VLOOKUP('Données projet'!$B$12,Paramètres!$A$1:$I$89,3,0)*0.475*44/12</f>
        <v>0</v>
      </c>
      <c r="CM109" s="21">
        <f>EXP(-LN(2)/2)*CM108+(1-EXP(-LN(2)/2))/(LN(2)/2)*CG109*CJ109*VLOOKUP('Données projet'!$B$12,Paramètres!$A$1:$I$89,3,0)*0.475*44/12</f>
        <v>0</v>
      </c>
      <c r="CN109" s="22">
        <f t="shared" si="66"/>
        <v>72.2362627523584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3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61.760399999999912</v>
      </c>
      <c r="D110" s="11">
        <f t="shared" si="86"/>
        <v>17.612601516025176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612.70387135177259</v>
      </c>
      <c r="H110" s="67">
        <f t="shared" si="56"/>
        <v>394.90797764041037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304.99999999999983</v>
      </c>
      <c r="O110" s="13">
        <f>N110*VLOOKUP('Données projet'!$B$9,Paramètres!$A$1:$I$89,3,0)*VLOOKUP('Données projet'!$B$9,Paramètres!$A$1:$I$89,5,0)</f>
        <v>275.96399999999983</v>
      </c>
      <c r="P110" s="13">
        <f t="shared" si="87"/>
        <v>66.113366665488854</v>
      </c>
      <c r="Q110" s="20">
        <f t="shared" si="107"/>
        <v>595.78474694239264</v>
      </c>
      <c r="R110" s="59">
        <f t="shared" si="55"/>
        <v>889.11808027572602</v>
      </c>
      <c r="S110" s="59">
        <f ca="1">AVERAGE(OFFSET($R$3,0,0,'Données projet'!$E$9+1,1))-AVERAGE(OFFSET($H$3,0,0,'Données projet'!$E$9+1,1))</f>
        <v>336.59194805061094</v>
      </c>
      <c r="T110" s="59">
        <f t="shared" si="88"/>
        <v>473.66884161123909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1.8214707694783243</v>
      </c>
      <c r="AA110" s="21">
        <f>EXP(-LN(2)/25)*AA109+(1-EXP(-LN(2)/25))/(LN(2)/25)*Calculateur!V110*Calculateur!X110*VLOOKUP('Données projet'!$B$9,Paramètres!$A$1:$I$89,3,0)*0.475*44/12</f>
        <v>0</v>
      </c>
      <c r="AB110" s="21">
        <f>EXP(-LN(2)/2)*AB109+(1-EXP(-LN(2)/2))/(LN(2)/2)*V110*Y110*VLOOKUP('Données projet'!$B$9,Paramètres!$A$1:$I$89,3,0)*0.475*44/12</f>
        <v>0</v>
      </c>
      <c r="AC110" s="22">
        <f t="shared" si="57"/>
        <v>1.8214707694783243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319</v>
      </c>
      <c r="AJ110" s="13">
        <f>AI110*VLOOKUP('Données projet'!$B$10,Paramètres!$A$1:$I$89,3,0)*VLOOKUP('Données projet'!$B$10,Paramètres!$A$1:$I$89,5,0)</f>
        <v>209.00879999999998</v>
      </c>
      <c r="AK110" s="13">
        <f t="shared" si="89"/>
        <v>51.718923953824202</v>
      </c>
      <c r="AL110" s="20">
        <f t="shared" si="58"/>
        <v>454.10078588624373</v>
      </c>
      <c r="AM110" s="59">
        <f t="shared" si="59"/>
        <v>747.43411921957704</v>
      </c>
      <c r="AN110" s="59">
        <f ca="1">AVERAGE(OFFSET($AM$3,0,0,'Données projet'!$E$10+1,1))-AVERAGE(OFFSET($H$3,0,0,'Données projet'!$E$10+1,1))</f>
        <v>244.66788784685366</v>
      </c>
      <c r="AO110" s="59">
        <f t="shared" si="90"/>
        <v>252.04429018409274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20.81137744501136</v>
      </c>
      <c r="AV110" s="21">
        <f>EXP(-LN(2)/25)*AV109+(1-EXP(-LN(2)/25))/(LN(2)/25)*Calculateur!AQ110*Calculateur!AS110*VLOOKUP('Données projet'!$B$10,Paramètres!$A$1:$I$89,3,0)*0.475*44/12</f>
        <v>0</v>
      </c>
      <c r="AW110" s="21">
        <f>EXP(-LN(2)/2)*AW109+(1-EXP(-LN(2)/2))/(LN(2)/2)*AQ110*AT110*VLOOKUP('Données projet'!$B$10,Paramètres!$A$1:$I$89,3,0)*0.475*44/12</f>
        <v>0</v>
      </c>
      <c r="AX110" s="21">
        <f t="shared" si="60"/>
        <v>20.81137744501136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243.99999999999989</v>
      </c>
      <c r="BE110" s="13">
        <f>BD110*VLOOKUP('Données projet'!$B$11,Paramètres!$A$1:$I$89,3,0)*VLOOKUP('Données projet'!$B$11,Paramètres!$A$1:$I$89,5,0)</f>
        <v>232.19039999999987</v>
      </c>
      <c r="BF110" s="13">
        <f t="shared" si="91"/>
        <v>56.756035639094556</v>
      </c>
      <c r="BG110" s="20">
        <f t="shared" si="61"/>
        <v>503.24837540475619</v>
      </c>
      <c r="BH110" s="59">
        <f t="shared" si="62"/>
        <v>796.58170873808945</v>
      </c>
      <c r="BI110" s="59">
        <f ca="1">AVERAGE(OFFSET($BH$3,0,0,'Données projet'!$E$11+1,1))-AVERAGE(OFFSET($H$3,0,0,'Données projet'!$E$11+1,1))</f>
        <v>373.51596132356536</v>
      </c>
      <c r="BJ110" s="59">
        <f t="shared" si="92"/>
        <v>417.00150517020114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90.669476749753301</v>
      </c>
      <c r="BQ110" s="21">
        <f>EXP(-LN(2)/25)*BQ109+(1-EXP(-LN(2)/25))/(LN(2)/25)*Calculateur!BL110*Calculateur!BN110*VLOOKUP('Données projet'!$B$11,Paramètres!$A$1:$I$89,3,0)*0.475*44/12</f>
        <v>0</v>
      </c>
      <c r="BR110" s="21">
        <f>EXP(-LN(2)/2)*BR109+(1-EXP(-LN(2)/2))/(LN(2)/2)*BL110*BO110*VLOOKUP('Données projet'!$B$11,Paramètres!$A$1:$I$89,3,0)*0.475*44/12</f>
        <v>0</v>
      </c>
      <c r="BS110" s="22">
        <f t="shared" si="63"/>
        <v>90.669476749753301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4.2</v>
      </c>
      <c r="BY110" s="12">
        <f>IF('Données projet'!$A$114&gt;35,BY109+BX110-CG109,IF(A110&lt;'Données projet'!$A$114,$BV$205^A110,IF(A110='Données projet'!$A$114,'Données projet'!$B$114,BY109+BX110-CG109)))</f>
        <v>272.39999999999998</v>
      </c>
      <c r="BZ110" s="13">
        <f>BY110*VLOOKUP('Données projet'!$B$12,Paramètres!$A$1:$I$89,3,0)*VLOOKUP('Données projet'!$B$12,Paramètres!$A$1:$I$89,5,0)</f>
        <v>246.46751999999995</v>
      </c>
      <c r="CA110" s="13">
        <f t="shared" si="93"/>
        <v>59.828888074216977</v>
      </c>
      <c r="CB110" s="20">
        <f t="shared" si="64"/>
        <v>533.46624406259446</v>
      </c>
      <c r="CC110" s="59">
        <f t="shared" si="65"/>
        <v>826.79957739592783</v>
      </c>
      <c r="CD110" s="59">
        <f ca="1">AVERAGE(OFFSET($CC$3,0,0,'Données projet'!$E$12+1,1))-AVERAGE(OFFSET($H$3,0,0,'Données projet'!$E$12+1,1))</f>
        <v>289.19622253646992</v>
      </c>
      <c r="CE110" s="59">
        <f t="shared" si="94"/>
        <v>191.23827338431175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>
        <f>EXP(-LN(2)/35)*CK109+(1-EXP(-LN(2)/35))/(LN(2)/35)*CG110*CH110*VLOOKUP('Données projet'!$B$12,Paramètres!$A$1:$I$89,3,0)*0.475*44/12</f>
        <v>70.819753699554383</v>
      </c>
      <c r="CL110" s="21">
        <f>EXP(-LN(2)/25)*CL109+(1-EXP(-LN(2)/25))/(LN(2)/25)*Calculateur!CG110*Calculateur!CI110*VLOOKUP('Données projet'!$B$12,Paramètres!$A$1:$I$89,3,0)*0.475*44/12</f>
        <v>0</v>
      </c>
      <c r="CM110" s="21">
        <f>EXP(-LN(2)/2)*CM109+(1-EXP(-LN(2)/2))/(LN(2)/2)*CG110*CJ110*VLOOKUP('Données projet'!$B$12,Paramètres!$A$1:$I$89,3,0)*0.475*44/12</f>
        <v>0</v>
      </c>
      <c r="CN110" s="22">
        <f t="shared" si="66"/>
        <v>70.819753699554383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3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62.33759999999991</v>
      </c>
      <c r="D111" s="11">
        <f t="shared" si="86"/>
        <v>17.757966554912581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618.2815663887983</v>
      </c>
      <c r="H111" s="67">
        <f t="shared" si="56"/>
        <v>396.16644508313925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304.99999999999983</v>
      </c>
      <c r="O111" s="13">
        <f>N111*VLOOKUP('Données projet'!$B$9,Paramètres!$A$1:$I$89,3,0)*VLOOKUP('Données projet'!$B$9,Paramètres!$A$1:$I$89,5,0)</f>
        <v>275.96399999999983</v>
      </c>
      <c r="P111" s="13">
        <f t="shared" si="87"/>
        <v>66.113366665488854</v>
      </c>
      <c r="Q111" s="20">
        <f t="shared" si="107"/>
        <v>595.78474694239264</v>
      </c>
      <c r="R111" s="59">
        <f t="shared" si="55"/>
        <v>889.11808027572602</v>
      </c>
      <c r="S111" s="59">
        <f ca="1">AVERAGE(OFFSET($R$3,0,0,'Données projet'!$E$9+1,1))-AVERAGE(OFFSET($H$3,0,0,'Données projet'!$E$9+1,1))</f>
        <v>336.59194805061094</v>
      </c>
      <c r="T111" s="59">
        <f t="shared" si="88"/>
        <v>473.66884161123909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1.7857528386763228</v>
      </c>
      <c r="AA111" s="21">
        <f>EXP(-LN(2)/25)*AA110+(1-EXP(-LN(2)/25))/(LN(2)/25)*Calculateur!V111*Calculateur!X111*VLOOKUP('Données projet'!$B$9,Paramètres!$A$1:$I$89,3,0)*0.475*44/12</f>
        <v>0</v>
      </c>
      <c r="AB111" s="21">
        <f>EXP(-LN(2)/2)*AB110+(1-EXP(-LN(2)/2))/(LN(2)/2)*V111*Y111*VLOOKUP('Données projet'!$B$9,Paramètres!$A$1:$I$89,3,0)*0.475*44/12</f>
        <v>0</v>
      </c>
      <c r="AC111" s="22">
        <f t="shared" si="57"/>
        <v>1.7857528386763228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319</v>
      </c>
      <c r="AJ111" s="13">
        <f>AI111*VLOOKUP('Données projet'!$B$10,Paramètres!$A$1:$I$89,3,0)*VLOOKUP('Données projet'!$B$10,Paramètres!$A$1:$I$89,5,0)</f>
        <v>209.00879999999998</v>
      </c>
      <c r="AK111" s="13">
        <f t="shared" si="89"/>
        <v>51.718923953824202</v>
      </c>
      <c r="AL111" s="20">
        <f t="shared" si="58"/>
        <v>454.10078588624373</v>
      </c>
      <c r="AM111" s="59">
        <f t="shared" si="59"/>
        <v>747.43411921957704</v>
      </c>
      <c r="AN111" s="59">
        <f ca="1">AVERAGE(OFFSET($AM$3,0,0,'Données projet'!$E$10+1,1))-AVERAGE(OFFSET($H$3,0,0,'Données projet'!$E$10+1,1))</f>
        <v>244.66788784685366</v>
      </c>
      <c r="AO111" s="59">
        <f t="shared" si="90"/>
        <v>252.04429018409274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20.403279027001531</v>
      </c>
      <c r="AV111" s="21">
        <f>EXP(-LN(2)/25)*AV110+(1-EXP(-LN(2)/25))/(LN(2)/25)*Calculateur!AQ111*Calculateur!AS111*VLOOKUP('Données projet'!$B$10,Paramètres!$A$1:$I$89,3,0)*0.475*44/12</f>
        <v>0</v>
      </c>
      <c r="AW111" s="21">
        <f>EXP(-LN(2)/2)*AW110+(1-EXP(-LN(2)/2))/(LN(2)/2)*AQ111*AT111*VLOOKUP('Données projet'!$B$10,Paramètres!$A$1:$I$89,3,0)*0.475*44/12</f>
        <v>0</v>
      </c>
      <c r="AX111" s="21">
        <f t="shared" si="60"/>
        <v>20.403279027001531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243.99999999999989</v>
      </c>
      <c r="BE111" s="13">
        <f>BD111*VLOOKUP('Données projet'!$B$11,Paramètres!$A$1:$I$89,3,0)*VLOOKUP('Données projet'!$B$11,Paramètres!$A$1:$I$89,5,0)</f>
        <v>232.19039999999987</v>
      </c>
      <c r="BF111" s="13">
        <f t="shared" si="91"/>
        <v>56.756035639094556</v>
      </c>
      <c r="BG111" s="20">
        <f t="shared" si="61"/>
        <v>503.24837540475619</v>
      </c>
      <c r="BH111" s="59">
        <f t="shared" si="62"/>
        <v>796.58170873808945</v>
      </c>
      <c r="BI111" s="59">
        <f ca="1">AVERAGE(OFFSET($BH$3,0,0,'Données projet'!$E$11+1,1))-AVERAGE(OFFSET($H$3,0,0,'Données projet'!$E$11+1,1))</f>
        <v>373.51596132356536</v>
      </c>
      <c r="BJ111" s="59">
        <f t="shared" si="92"/>
        <v>417.00150517020114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88.891503613610752</v>
      </c>
      <c r="BQ111" s="21">
        <f>EXP(-LN(2)/25)*BQ110+(1-EXP(-LN(2)/25))/(LN(2)/25)*Calculateur!BL111*Calculateur!BN111*VLOOKUP('Données projet'!$B$11,Paramètres!$A$1:$I$89,3,0)*0.475*44/12</f>
        <v>0</v>
      </c>
      <c r="BR111" s="21">
        <f>EXP(-LN(2)/2)*BR110+(1-EXP(-LN(2)/2))/(LN(2)/2)*BL111*BO111*VLOOKUP('Données projet'!$B$11,Paramètres!$A$1:$I$89,3,0)*0.475*44/12</f>
        <v>0</v>
      </c>
      <c r="BS111" s="22">
        <f t="shared" si="63"/>
        <v>88.891503613610752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4.2</v>
      </c>
      <c r="BY111" s="12">
        <f>IF('Données projet'!$A$114&gt;35,BY110+BX111-CG110,IF(A111&lt;'Données projet'!$A$114,$BV$205^A111,IF(A111='Données projet'!$A$114,'Données projet'!$B$114,BY110+BX111-CG110)))</f>
        <v>276.59999999999997</v>
      </c>
      <c r="BZ111" s="13">
        <f>BY111*VLOOKUP('Données projet'!$B$12,Paramètres!$A$1:$I$89,3,0)*VLOOKUP('Données projet'!$B$12,Paramètres!$A$1:$I$89,5,0)</f>
        <v>250.26767999999996</v>
      </c>
      <c r="CA111" s="13">
        <f t="shared" si="93"/>
        <v>60.643256925083442</v>
      </c>
      <c r="CB111" s="20">
        <f t="shared" si="64"/>
        <v>541.50321514452014</v>
      </c>
      <c r="CC111" s="59">
        <f t="shared" si="65"/>
        <v>834.83654847785351</v>
      </c>
      <c r="CD111" s="59">
        <f ca="1">AVERAGE(OFFSET($CC$3,0,0,'Données projet'!$E$12+1,1))-AVERAGE(OFFSET($H$3,0,0,'Données projet'!$E$12+1,1))</f>
        <v>289.19622253646992</v>
      </c>
      <c r="CE111" s="59">
        <f t="shared" si="94"/>
        <v>191.23827338431175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>
        <f>EXP(-LN(2)/35)*CK110+(1-EXP(-LN(2)/35))/(LN(2)/35)*CG111*CH111*VLOOKUP('Données projet'!$B$12,Paramètres!$A$1:$I$89,3,0)*0.475*44/12</f>
        <v>69.431021525290646</v>
      </c>
      <c r="CL111" s="21">
        <f>EXP(-LN(2)/25)*CL110+(1-EXP(-LN(2)/25))/(LN(2)/25)*Calculateur!CG111*Calculateur!CI111*VLOOKUP('Données projet'!$B$12,Paramètres!$A$1:$I$89,3,0)*0.475*44/12</f>
        <v>0</v>
      </c>
      <c r="CM111" s="21">
        <f>EXP(-LN(2)/2)*CM110+(1-EXP(-LN(2)/2))/(LN(2)/2)*CG111*CJ111*VLOOKUP('Données projet'!$B$12,Paramètres!$A$1:$I$89,3,0)*0.475*44/12</f>
        <v>0</v>
      </c>
      <c r="CN111" s="22">
        <f t="shared" si="66"/>
        <v>69.431021525290646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3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62.914799999999907</v>
      </c>
      <c r="D112" s="11">
        <f t="shared" si="86"/>
        <v>17.903175004622941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623.85805266726413</v>
      </c>
      <c r="H112" s="67">
        <f t="shared" si="56"/>
        <v>397.42463979971814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304.99999999999983</v>
      </c>
      <c r="O112" s="13">
        <f>N112*VLOOKUP('Données projet'!$B$9,Paramètres!$A$1:$I$89,3,0)*VLOOKUP('Données projet'!$B$9,Paramètres!$A$1:$I$89,5,0)</f>
        <v>275.96399999999983</v>
      </c>
      <c r="P112" s="13">
        <f t="shared" si="87"/>
        <v>66.113366665488854</v>
      </c>
      <c r="Q112" s="20">
        <f t="shared" si="107"/>
        <v>595.78474694239264</v>
      </c>
      <c r="R112" s="59">
        <f t="shared" si="55"/>
        <v>889.11808027572602</v>
      </c>
      <c r="S112" s="59">
        <f ca="1">AVERAGE(OFFSET($R$3,0,0,'Données projet'!$E$9+1,1))-AVERAGE(OFFSET($H$3,0,0,'Données projet'!$E$9+1,1))</f>
        <v>336.59194805061094</v>
      </c>
      <c r="T112" s="59">
        <f t="shared" si="88"/>
        <v>473.66884161123909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1.7507353147115621</v>
      </c>
      <c r="AA112" s="21">
        <f>EXP(-LN(2)/25)*AA111+(1-EXP(-LN(2)/25))/(LN(2)/25)*Calculateur!V112*Calculateur!X112*VLOOKUP('Données projet'!$B$9,Paramètres!$A$1:$I$89,3,0)*0.475*44/12</f>
        <v>0</v>
      </c>
      <c r="AB112" s="21">
        <f>EXP(-LN(2)/2)*AB111+(1-EXP(-LN(2)/2))/(LN(2)/2)*V112*Y112*VLOOKUP('Données projet'!$B$9,Paramètres!$A$1:$I$89,3,0)*0.475*44/12</f>
        <v>0</v>
      </c>
      <c r="AC112" s="22">
        <f t="shared" si="57"/>
        <v>1.7507353147115621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319</v>
      </c>
      <c r="AJ112" s="13">
        <f>AI112*VLOOKUP('Données projet'!$B$10,Paramètres!$A$1:$I$89,3,0)*VLOOKUP('Données projet'!$B$10,Paramètres!$A$1:$I$89,5,0)</f>
        <v>209.00879999999998</v>
      </c>
      <c r="AK112" s="13">
        <f t="shared" si="89"/>
        <v>51.718923953824202</v>
      </c>
      <c r="AL112" s="20">
        <f t="shared" si="58"/>
        <v>454.10078588624373</v>
      </c>
      <c r="AM112" s="59">
        <f t="shared" si="59"/>
        <v>747.43411921957704</v>
      </c>
      <c r="AN112" s="59">
        <f ca="1">AVERAGE(OFFSET($AM$3,0,0,'Données projet'!$E$10+1,1))-AVERAGE(OFFSET($H$3,0,0,'Données projet'!$E$10+1,1))</f>
        <v>244.66788784685366</v>
      </c>
      <c r="AO112" s="59">
        <f t="shared" si="90"/>
        <v>252.04429018409274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20.003183170053418</v>
      </c>
      <c r="AV112" s="21">
        <f>EXP(-LN(2)/25)*AV111+(1-EXP(-LN(2)/25))/(LN(2)/25)*Calculateur!AQ112*Calculateur!AS112*VLOOKUP('Données projet'!$B$10,Paramètres!$A$1:$I$89,3,0)*0.475*44/12</f>
        <v>0</v>
      </c>
      <c r="AW112" s="21">
        <f>EXP(-LN(2)/2)*AW111+(1-EXP(-LN(2)/2))/(LN(2)/2)*AQ112*AT112*VLOOKUP('Données projet'!$B$10,Paramètres!$A$1:$I$89,3,0)*0.475*44/12</f>
        <v>0</v>
      </c>
      <c r="AX112" s="21">
        <f t="shared" si="60"/>
        <v>20.003183170053418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243.99999999999989</v>
      </c>
      <c r="BE112" s="13">
        <f>BD112*VLOOKUP('Données projet'!$B$11,Paramètres!$A$1:$I$89,3,0)*VLOOKUP('Données projet'!$B$11,Paramètres!$A$1:$I$89,5,0)</f>
        <v>232.19039999999987</v>
      </c>
      <c r="BF112" s="13">
        <f t="shared" si="91"/>
        <v>56.756035639094556</v>
      </c>
      <c r="BG112" s="20">
        <f t="shared" si="61"/>
        <v>503.24837540475619</v>
      </c>
      <c r="BH112" s="59">
        <f t="shared" si="62"/>
        <v>796.58170873808945</v>
      </c>
      <c r="BI112" s="59">
        <f ca="1">AVERAGE(OFFSET($BH$3,0,0,'Données projet'!$E$11+1,1))-AVERAGE(OFFSET($H$3,0,0,'Données projet'!$E$11+1,1))</f>
        <v>373.51596132356536</v>
      </c>
      <c r="BJ112" s="59">
        <f t="shared" si="92"/>
        <v>417.00150517020114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87.148395446211424</v>
      </c>
      <c r="BQ112" s="21">
        <f>EXP(-LN(2)/25)*BQ111+(1-EXP(-LN(2)/25))/(LN(2)/25)*Calculateur!BL112*Calculateur!BN112*VLOOKUP('Données projet'!$B$11,Paramètres!$A$1:$I$89,3,0)*0.475*44/12</f>
        <v>0</v>
      </c>
      <c r="BR112" s="21">
        <f>EXP(-LN(2)/2)*BR111+(1-EXP(-LN(2)/2))/(LN(2)/2)*BL112*BO112*VLOOKUP('Données projet'!$B$11,Paramètres!$A$1:$I$89,3,0)*0.475*44/12</f>
        <v>0</v>
      </c>
      <c r="BS112" s="22">
        <f t="shared" si="63"/>
        <v>87.148395446211424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4.2</v>
      </c>
      <c r="BY112" s="12">
        <f>IF('Données projet'!$A$114&gt;35,BY111+BX112-CG111,IF(A112&lt;'Données projet'!$A$114,$BV$205^A112,IF(A112='Données projet'!$A$114,'Données projet'!$B$114,BY111+BX112-CG111)))</f>
        <v>280.79999999999995</v>
      </c>
      <c r="BZ112" s="13">
        <f>BY112*VLOOKUP('Données projet'!$B$12,Paramètres!$A$1:$I$89,3,0)*VLOOKUP('Données projet'!$B$12,Paramètres!$A$1:$I$89,5,0)</f>
        <v>254.06783999999996</v>
      </c>
      <c r="CA112" s="13">
        <f t="shared" si="93"/>
        <v>61.456187622750718</v>
      </c>
      <c r="CB112" s="20">
        <f t="shared" si="64"/>
        <v>549.53768144295748</v>
      </c>
      <c r="CC112" s="59">
        <f t="shared" si="65"/>
        <v>842.87101477629085</v>
      </c>
      <c r="CD112" s="59">
        <f ca="1">AVERAGE(OFFSET($CC$3,0,0,'Données projet'!$E$12+1,1))-AVERAGE(OFFSET($H$3,0,0,'Données projet'!$E$12+1,1))</f>
        <v>289.19622253646992</v>
      </c>
      <c r="CE112" s="59">
        <f t="shared" si="94"/>
        <v>191.23827338431175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>
        <f>EXP(-LN(2)/35)*CK111+(1-EXP(-LN(2)/35))/(LN(2)/35)*CG112*CH112*VLOOKUP('Données projet'!$B$12,Paramètres!$A$1:$I$89,3,0)*0.475*44/12</f>
        <v>68.069521541921233</v>
      </c>
      <c r="CL112" s="21">
        <f>EXP(-LN(2)/25)*CL111+(1-EXP(-LN(2)/25))/(LN(2)/25)*Calculateur!CG112*Calculateur!CI112*VLOOKUP('Données projet'!$B$12,Paramètres!$A$1:$I$89,3,0)*0.475*44/12</f>
        <v>0</v>
      </c>
      <c r="CM112" s="21">
        <f>EXP(-LN(2)/2)*CM111+(1-EXP(-LN(2)/2))/(LN(2)/2)*CG112*CJ112*VLOOKUP('Données projet'!$B$12,Paramètres!$A$1:$I$89,3,0)*0.475*44/12</f>
        <v>0</v>
      </c>
      <c r="CN112" s="22">
        <f t="shared" si="66"/>
        <v>68.069521541921233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3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63.491999999999905</v>
      </c>
      <c r="D113" s="11">
        <f t="shared" si="86"/>
        <v>18.048228468163344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629.43334256126025</v>
      </c>
      <c r="H113" s="67">
        <f t="shared" si="56"/>
        <v>398.68256458205099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304.99999999999983</v>
      </c>
      <c r="O113" s="13">
        <f>N113*VLOOKUP('Données projet'!$B$9,Paramètres!$A$1:$I$89,3,0)*VLOOKUP('Données projet'!$B$9,Paramètres!$A$1:$I$89,5,0)</f>
        <v>275.96399999999983</v>
      </c>
      <c r="P113" s="13">
        <f t="shared" si="87"/>
        <v>66.113366665488854</v>
      </c>
      <c r="Q113" s="20">
        <f t="shared" si="107"/>
        <v>595.78474694239264</v>
      </c>
      <c r="R113" s="59">
        <f t="shared" si="55"/>
        <v>889.11808027572602</v>
      </c>
      <c r="S113" s="59">
        <f ca="1">AVERAGE(OFFSET($R$3,0,0,'Données projet'!$E$9+1,1))-AVERAGE(OFFSET($H$3,0,0,'Données projet'!$E$9+1,1))</f>
        <v>336.59194805061094</v>
      </c>
      <c r="T113" s="59">
        <f t="shared" si="88"/>
        <v>473.66884161123909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1.7164044630331696</v>
      </c>
      <c r="AA113" s="21">
        <f>EXP(-LN(2)/25)*AA112+(1-EXP(-LN(2)/25))/(LN(2)/25)*Calculateur!V113*Calculateur!X113*VLOOKUP('Données projet'!$B$9,Paramètres!$A$1:$I$89,3,0)*0.475*44/12</f>
        <v>0</v>
      </c>
      <c r="AB113" s="21">
        <f>EXP(-LN(2)/2)*AB112+(1-EXP(-LN(2)/2))/(LN(2)/2)*V113*Y113*VLOOKUP('Données projet'!$B$9,Paramètres!$A$1:$I$89,3,0)*0.475*44/12</f>
        <v>0</v>
      </c>
      <c r="AC113" s="22">
        <f t="shared" si="57"/>
        <v>1.7164044630331696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319</v>
      </c>
      <c r="AJ113" s="13">
        <f>AI113*VLOOKUP('Données projet'!$B$10,Paramètres!$A$1:$I$89,3,0)*VLOOKUP('Données projet'!$B$10,Paramètres!$A$1:$I$89,5,0)</f>
        <v>209.00879999999998</v>
      </c>
      <c r="AK113" s="13">
        <f t="shared" si="89"/>
        <v>51.718923953824202</v>
      </c>
      <c r="AL113" s="20">
        <f t="shared" si="58"/>
        <v>454.10078588624373</v>
      </c>
      <c r="AM113" s="59">
        <f t="shared" si="59"/>
        <v>747.43411921957704</v>
      </c>
      <c r="AN113" s="59">
        <f ca="1">AVERAGE(OFFSET($AM$3,0,0,'Données projet'!$E$10+1,1))-AVERAGE(OFFSET($H$3,0,0,'Données projet'!$E$10+1,1))</f>
        <v>244.66788784685366</v>
      </c>
      <c r="AO113" s="59">
        <f t="shared" si="90"/>
        <v>252.04429018409274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19.610932948825681</v>
      </c>
      <c r="AV113" s="21">
        <f>EXP(-LN(2)/25)*AV112+(1-EXP(-LN(2)/25))/(LN(2)/25)*Calculateur!AQ113*Calculateur!AS113*VLOOKUP('Données projet'!$B$10,Paramètres!$A$1:$I$89,3,0)*0.475*44/12</f>
        <v>0</v>
      </c>
      <c r="AW113" s="21">
        <f>EXP(-LN(2)/2)*AW112+(1-EXP(-LN(2)/2))/(LN(2)/2)*AQ113*AT113*VLOOKUP('Données projet'!$B$10,Paramètres!$A$1:$I$89,3,0)*0.475*44/12</f>
        <v>0</v>
      </c>
      <c r="AX113" s="21">
        <f t="shared" si="60"/>
        <v>19.610932948825681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243.99999999999989</v>
      </c>
      <c r="BE113" s="13">
        <f>BD113*VLOOKUP('Données projet'!$B$11,Paramètres!$A$1:$I$89,3,0)*VLOOKUP('Données projet'!$B$11,Paramètres!$A$1:$I$89,5,0)</f>
        <v>232.19039999999987</v>
      </c>
      <c r="BF113" s="13">
        <f t="shared" si="91"/>
        <v>56.756035639094556</v>
      </c>
      <c r="BG113" s="20">
        <f t="shared" si="61"/>
        <v>503.24837540475619</v>
      </c>
      <c r="BH113" s="59">
        <f t="shared" si="62"/>
        <v>796.58170873808945</v>
      </c>
      <c r="BI113" s="59">
        <f ca="1">AVERAGE(OFFSET($BH$3,0,0,'Données projet'!$E$11+1,1))-AVERAGE(OFFSET($H$3,0,0,'Données projet'!$E$11+1,1))</f>
        <v>373.51596132356536</v>
      </c>
      <c r="BJ113" s="59">
        <f t="shared" si="92"/>
        <v>417.00150517020114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85.439468566783788</v>
      </c>
      <c r="BQ113" s="21">
        <f>EXP(-LN(2)/25)*BQ112+(1-EXP(-LN(2)/25))/(LN(2)/25)*Calculateur!BL113*Calculateur!BN113*VLOOKUP('Données projet'!$B$11,Paramètres!$A$1:$I$89,3,0)*0.475*44/12</f>
        <v>0</v>
      </c>
      <c r="BR113" s="21">
        <f>EXP(-LN(2)/2)*BR112+(1-EXP(-LN(2)/2))/(LN(2)/2)*BL113*BO113*VLOOKUP('Données projet'!$B$11,Paramètres!$A$1:$I$89,3,0)*0.475*44/12</f>
        <v>0</v>
      </c>
      <c r="BS113" s="22">
        <f t="shared" si="63"/>
        <v>85.439468566783788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>
        <f>VLOOKUP(A113,'Données projet'!$A$113:$I$133,2,0)</f>
        <v>285</v>
      </c>
      <c r="BW113" s="12">
        <f>VLOOKUP(A113,'Données projet'!$A$113:$I$133,9,0)</f>
        <v>4.2</v>
      </c>
      <c r="BX113" s="12">
        <f t="array" ref="BX113">INDEX(BW:BW,MIN(IF(ISNUMBER(BW113:BW309),ROW(BW113:BW309),"")))</f>
        <v>4.2</v>
      </c>
      <c r="BY113" s="12">
        <f>IF('Données projet'!$A$114&gt;35,BY112+BX113-CG112,IF(A113&lt;'Données projet'!$A$114,$BV$205^A113,IF(A113='Données projet'!$A$114,'Données projet'!$B$114,BY112+BX113-CG112)))</f>
        <v>284.99999999999994</v>
      </c>
      <c r="BZ113" s="13">
        <f>BY113*VLOOKUP('Données projet'!$B$12,Paramètres!$A$1:$I$89,3,0)*VLOOKUP('Données projet'!$B$12,Paramètres!$A$1:$I$89,5,0)</f>
        <v>257.86799999999994</v>
      </c>
      <c r="CA113" s="13">
        <f t="shared" si="93"/>
        <v>62.267704162827528</v>
      </c>
      <c r="CB113" s="20">
        <f t="shared" si="64"/>
        <v>557.56968475025781</v>
      </c>
      <c r="CC113" s="59">
        <f t="shared" si="65"/>
        <v>850.90301808359118</v>
      </c>
      <c r="CD113" s="59">
        <f ca="1">AVERAGE(OFFSET($CC$3,0,0,'Données projet'!$E$12+1,1))-AVERAGE(OFFSET($H$3,0,0,'Données projet'!$E$12+1,1))</f>
        <v>289.19622253646992</v>
      </c>
      <c r="CE113" s="59">
        <f t="shared" si="94"/>
        <v>191.23827338431175</v>
      </c>
      <c r="CF113" s="15">
        <f>IF(ISNA(VLOOKUP(A113,'Données projet'!$A$113:$I$133,3,0)),0,VLOOKUP(A113,'Données projet'!$A$113:$I$133,3,0))</f>
        <v>18</v>
      </c>
      <c r="CG113" s="15">
        <f>IF(ISNA(VLOOKUP(A113,'Données projet'!$A$113:$I$133,4,0)),0,VLOOKUP(A113,'Données projet'!$A$113:$I$133,4,0))</f>
        <v>19</v>
      </c>
      <c r="CH113" s="16">
        <f>IF(ISNA(VLOOKUP(A113,'Données projet'!$A$113:$I$133,5,0)),0%,VLOOKUP(A113,'Données projet'!$A$113:$I$133,5,0)*VLOOKUP('Données projet'!$B$12,Paramètres!$A$1:$I$89,7,0))</f>
        <v>0.43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>
        <f>EXP(-LN(2)/35)*CK112+(1-EXP(-LN(2)/35))/(LN(2)/35)*CG113*CH113*VLOOKUP('Données projet'!$B$12,Paramètres!$A$1:$I$89,3,0)*0.475*44/12</f>
        <v>74.906595569902251</v>
      </c>
      <c r="CL113" s="21">
        <f>EXP(-LN(2)/25)*CL112+(1-EXP(-LN(2)/25))/(LN(2)/25)*Calculateur!CG113*Calculateur!CI113*VLOOKUP('Données projet'!$B$12,Paramètres!$A$1:$I$89,3,0)*0.475*44/12</f>
        <v>0</v>
      </c>
      <c r="CM113" s="21">
        <f>EXP(-LN(2)/2)*CM112+(1-EXP(-LN(2)/2))/(LN(2)/2)*CG113*CJ113*VLOOKUP('Données projet'!$B$12,Paramètres!$A$1:$I$89,3,0)*0.475*44/12</f>
        <v>0</v>
      </c>
      <c r="CN113" s="22">
        <f t="shared" si="66"/>
        <v>74.906595569902251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3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64.06919999999991</v>
      </c>
      <c r="D114" s="11">
        <f t="shared" si="86"/>
        <v>18.193128517714069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635.007448206915</v>
      </c>
      <c r="H114" s="67">
        <f t="shared" si="56"/>
        <v>399.94022216835185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304.99999999999983</v>
      </c>
      <c r="O114" s="13">
        <f>N114*VLOOKUP('Données projet'!$B$9,Paramètres!$A$1:$I$89,3,0)*VLOOKUP('Données projet'!$B$9,Paramètres!$A$1:$I$89,5,0)</f>
        <v>275.96399999999983</v>
      </c>
      <c r="P114" s="13">
        <f t="shared" si="87"/>
        <v>66.113366665488854</v>
      </c>
      <c r="Q114" s="20">
        <f t="shared" si="107"/>
        <v>595.78474694239264</v>
      </c>
      <c r="R114" s="59">
        <f t="shared" si="55"/>
        <v>889.11808027572602</v>
      </c>
      <c r="S114" s="59">
        <f ca="1">AVERAGE(OFFSET($R$3,0,0,'Données projet'!$E$9+1,1))-AVERAGE(OFFSET($H$3,0,0,'Données projet'!$E$9+1,1))</f>
        <v>336.59194805061094</v>
      </c>
      <c r="T114" s="59">
        <f t="shared" si="88"/>
        <v>473.66884161123909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1.6827468184164385</v>
      </c>
      <c r="AA114" s="21">
        <f>EXP(-LN(2)/25)*AA113+(1-EXP(-LN(2)/25))/(LN(2)/25)*Calculateur!V114*Calculateur!X114*VLOOKUP('Données projet'!$B$9,Paramètres!$A$1:$I$89,3,0)*0.475*44/12</f>
        <v>0</v>
      </c>
      <c r="AB114" s="21">
        <f>EXP(-LN(2)/2)*AB113+(1-EXP(-LN(2)/2))/(LN(2)/2)*V114*Y114*VLOOKUP('Données projet'!$B$9,Paramètres!$A$1:$I$89,3,0)*0.475*44/12</f>
        <v>0</v>
      </c>
      <c r="AC114" s="22">
        <f t="shared" si="57"/>
        <v>1.6827468184164385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319</v>
      </c>
      <c r="AJ114" s="13">
        <f>AI114*VLOOKUP('Données projet'!$B$10,Paramètres!$A$1:$I$89,3,0)*VLOOKUP('Données projet'!$B$10,Paramètres!$A$1:$I$89,5,0)</f>
        <v>209.00879999999998</v>
      </c>
      <c r="AK114" s="13">
        <f t="shared" si="89"/>
        <v>51.718923953824202</v>
      </c>
      <c r="AL114" s="20">
        <f t="shared" si="58"/>
        <v>454.10078588624373</v>
      </c>
      <c r="AM114" s="59">
        <f t="shared" si="59"/>
        <v>747.43411921957704</v>
      </c>
      <c r="AN114" s="59">
        <f ca="1">AVERAGE(OFFSET($AM$3,0,0,'Données projet'!$E$10+1,1))-AVERAGE(OFFSET($H$3,0,0,'Données projet'!$E$10+1,1))</f>
        <v>244.66788784685366</v>
      </c>
      <c r="AO114" s="59">
        <f t="shared" si="90"/>
        <v>252.04429018409274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19.22637451518721</v>
      </c>
      <c r="AV114" s="21">
        <f>EXP(-LN(2)/25)*AV113+(1-EXP(-LN(2)/25))/(LN(2)/25)*Calculateur!AQ114*Calculateur!AS114*VLOOKUP('Données projet'!$B$10,Paramètres!$A$1:$I$89,3,0)*0.475*44/12</f>
        <v>0</v>
      </c>
      <c r="AW114" s="21">
        <f>EXP(-LN(2)/2)*AW113+(1-EXP(-LN(2)/2))/(LN(2)/2)*AQ114*AT114*VLOOKUP('Données projet'!$B$10,Paramètres!$A$1:$I$89,3,0)*0.475*44/12</f>
        <v>0</v>
      </c>
      <c r="AX114" s="21">
        <f t="shared" si="60"/>
        <v>19.22637451518721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243.99999999999989</v>
      </c>
      <c r="BE114" s="13">
        <f>BD114*VLOOKUP('Données projet'!$B$11,Paramètres!$A$1:$I$89,3,0)*VLOOKUP('Données projet'!$B$11,Paramètres!$A$1:$I$89,5,0)</f>
        <v>232.19039999999987</v>
      </c>
      <c r="BF114" s="13">
        <f t="shared" si="91"/>
        <v>56.756035639094556</v>
      </c>
      <c r="BG114" s="20">
        <f t="shared" si="61"/>
        <v>503.24837540475619</v>
      </c>
      <c r="BH114" s="59">
        <f t="shared" si="62"/>
        <v>796.58170873808945</v>
      </c>
      <c r="BI114" s="59">
        <f ca="1">AVERAGE(OFFSET($BH$3,0,0,'Données projet'!$E$11+1,1))-AVERAGE(OFFSET($H$3,0,0,'Données projet'!$E$11+1,1))</f>
        <v>373.51596132356536</v>
      </c>
      <c r="BJ114" s="59">
        <f t="shared" si="92"/>
        <v>417.00150517020114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83.764052701119255</v>
      </c>
      <c r="BQ114" s="21">
        <f>EXP(-LN(2)/25)*BQ113+(1-EXP(-LN(2)/25))/(LN(2)/25)*Calculateur!BL114*Calculateur!BN114*VLOOKUP('Données projet'!$B$11,Paramètres!$A$1:$I$89,3,0)*0.475*44/12</f>
        <v>0</v>
      </c>
      <c r="BR114" s="21">
        <f>EXP(-LN(2)/2)*BR113+(1-EXP(-LN(2)/2))/(LN(2)/2)*BL114*BO114*VLOOKUP('Données projet'!$B$11,Paramètres!$A$1:$I$89,3,0)*0.475*44/12</f>
        <v>0</v>
      </c>
      <c r="BS114" s="22">
        <f t="shared" si="63"/>
        <v>83.764052701119255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3.8</v>
      </c>
      <c r="BY114" s="12">
        <f>IF('Données projet'!$A$114&gt;35,BY113+BX114-CG113,IF(A114&lt;'Données projet'!$A$114,$BV$205^A114,IF(A114='Données projet'!$A$114,'Données projet'!$B$114,BY113+BX114-CG113)))</f>
        <v>269.79999999999995</v>
      </c>
      <c r="BZ114" s="13">
        <f>BY114*VLOOKUP('Données projet'!$B$12,Paramètres!$A$1:$I$89,3,0)*VLOOKUP('Données projet'!$B$12,Paramètres!$A$1:$I$89,5,0)</f>
        <v>244.11503999999994</v>
      </c>
      <c r="CA114" s="13">
        <f t="shared" si="93"/>
        <v>59.324023461759012</v>
      </c>
      <c r="CB114" s="20">
        <f t="shared" si="64"/>
        <v>528.48970219589683</v>
      </c>
      <c r="CC114" s="59">
        <f t="shared" si="65"/>
        <v>821.82303552923008</v>
      </c>
      <c r="CD114" s="59">
        <f ca="1">AVERAGE(OFFSET($CC$3,0,0,'Données projet'!$E$12+1,1))-AVERAGE(OFFSET($H$3,0,0,'Données projet'!$E$12+1,1))</f>
        <v>289.19622253646992</v>
      </c>
      <c r="CE114" s="59">
        <f t="shared" si="94"/>
        <v>191.23827338431175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>
        <f>EXP(-LN(2)/35)*CK113+(1-EXP(-LN(2)/35))/(LN(2)/35)*CG114*CH114*VLOOKUP('Données projet'!$B$12,Paramètres!$A$1:$I$89,3,0)*0.475*44/12</f>
        <v>73.437722919288404</v>
      </c>
      <c r="CL114" s="21">
        <f>EXP(-LN(2)/25)*CL113+(1-EXP(-LN(2)/25))/(LN(2)/25)*Calculateur!CG114*Calculateur!CI114*VLOOKUP('Données projet'!$B$12,Paramètres!$A$1:$I$89,3,0)*0.475*44/12</f>
        <v>0</v>
      </c>
      <c r="CM114" s="21">
        <f>EXP(-LN(2)/2)*CM113+(1-EXP(-LN(2)/2))/(LN(2)/2)*CG114*CJ114*VLOOKUP('Données projet'!$B$12,Paramètres!$A$1:$I$89,3,0)*0.475*44/12</f>
        <v>0</v>
      </c>
      <c r="CN114" s="22">
        <f t="shared" si="66"/>
        <v>73.437722919288404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3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64.646399999999915</v>
      </c>
      <c r="D115" s="11">
        <f t="shared" si="86"/>
        <v>18.337876695493641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640.58038150907305</v>
      </c>
      <c r="H115" s="67">
        <f t="shared" si="56"/>
        <v>401.19761524465127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304.99999999999983</v>
      </c>
      <c r="O115" s="13">
        <f>N115*VLOOKUP('Données projet'!$B$9,Paramètres!$A$1:$I$89,3,0)*VLOOKUP('Données projet'!$B$9,Paramètres!$A$1:$I$89,5,0)</f>
        <v>275.96399999999983</v>
      </c>
      <c r="P115" s="13">
        <f t="shared" si="87"/>
        <v>66.113366665488854</v>
      </c>
      <c r="Q115" s="20">
        <f t="shared" si="107"/>
        <v>595.78474694239264</v>
      </c>
      <c r="R115" s="59">
        <f t="shared" si="55"/>
        <v>889.11808027572602</v>
      </c>
      <c r="S115" s="59">
        <f ca="1">AVERAGE(OFFSET($R$3,0,0,'Données projet'!$E$9+1,1))-AVERAGE(OFFSET($H$3,0,0,'Données projet'!$E$9+1,1))</f>
        <v>336.59194805061094</v>
      </c>
      <c r="T115" s="59">
        <f t="shared" si="88"/>
        <v>473.66884161123909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1.6497491796815054</v>
      </c>
      <c r="AA115" s="21">
        <f>EXP(-LN(2)/25)*AA114+(1-EXP(-LN(2)/25))/(LN(2)/25)*Calculateur!V115*Calculateur!X115*VLOOKUP('Données projet'!$B$9,Paramètres!$A$1:$I$89,3,0)*0.475*44/12</f>
        <v>0</v>
      </c>
      <c r="AB115" s="21">
        <f>EXP(-LN(2)/2)*AB114+(1-EXP(-LN(2)/2))/(LN(2)/2)*V115*Y115*VLOOKUP('Données projet'!$B$9,Paramètres!$A$1:$I$89,3,0)*0.475*44/12</f>
        <v>0</v>
      </c>
      <c r="AC115" s="22">
        <f t="shared" si="57"/>
        <v>1.6497491796815054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319</v>
      </c>
      <c r="AJ115" s="13">
        <f>AI115*VLOOKUP('Données projet'!$B$10,Paramètres!$A$1:$I$89,3,0)*VLOOKUP('Données projet'!$B$10,Paramètres!$A$1:$I$89,5,0)</f>
        <v>209.00879999999998</v>
      </c>
      <c r="AK115" s="13">
        <f t="shared" si="89"/>
        <v>51.718923953824202</v>
      </c>
      <c r="AL115" s="20">
        <f t="shared" si="58"/>
        <v>454.10078588624373</v>
      </c>
      <c r="AM115" s="59">
        <f t="shared" si="59"/>
        <v>747.43411921957704</v>
      </c>
      <c r="AN115" s="59">
        <f ca="1">AVERAGE(OFFSET($AM$3,0,0,'Données projet'!$E$10+1,1))-AVERAGE(OFFSET($H$3,0,0,'Données projet'!$E$10+1,1))</f>
        <v>244.66788784685366</v>
      </c>
      <c r="AO115" s="59">
        <f t="shared" si="90"/>
        <v>252.04429018409274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18.849357037874906</v>
      </c>
      <c r="AV115" s="21">
        <f>EXP(-LN(2)/25)*AV114+(1-EXP(-LN(2)/25))/(LN(2)/25)*Calculateur!AQ115*Calculateur!AS115*VLOOKUP('Données projet'!$B$10,Paramètres!$A$1:$I$89,3,0)*0.475*44/12</f>
        <v>0</v>
      </c>
      <c r="AW115" s="21">
        <f>EXP(-LN(2)/2)*AW114+(1-EXP(-LN(2)/2))/(LN(2)/2)*AQ115*AT115*VLOOKUP('Données projet'!$B$10,Paramètres!$A$1:$I$89,3,0)*0.475*44/12</f>
        <v>0</v>
      </c>
      <c r="AX115" s="21">
        <f t="shared" si="60"/>
        <v>18.849357037874906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243.99999999999989</v>
      </c>
      <c r="BE115" s="13">
        <f>BD115*VLOOKUP('Données projet'!$B$11,Paramètres!$A$1:$I$89,3,0)*VLOOKUP('Données projet'!$B$11,Paramètres!$A$1:$I$89,5,0)</f>
        <v>232.19039999999987</v>
      </c>
      <c r="BF115" s="13">
        <f t="shared" si="91"/>
        <v>56.756035639094556</v>
      </c>
      <c r="BG115" s="20">
        <f t="shared" si="61"/>
        <v>503.24837540475619</v>
      </c>
      <c r="BH115" s="59">
        <f t="shared" si="62"/>
        <v>796.58170873808945</v>
      </c>
      <c r="BI115" s="59">
        <f ca="1">AVERAGE(OFFSET($BH$3,0,0,'Données projet'!$E$11+1,1))-AVERAGE(OFFSET($H$3,0,0,'Données projet'!$E$11+1,1))</f>
        <v>373.51596132356536</v>
      </c>
      <c r="BJ115" s="59">
        <f t="shared" si="92"/>
        <v>417.00150517020114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82.121490718677634</v>
      </c>
      <c r="BQ115" s="21">
        <f>EXP(-LN(2)/25)*BQ114+(1-EXP(-LN(2)/25))/(LN(2)/25)*Calculateur!BL115*Calculateur!BN115*VLOOKUP('Données projet'!$B$11,Paramètres!$A$1:$I$89,3,0)*0.475*44/12</f>
        <v>0</v>
      </c>
      <c r="BR115" s="21">
        <f>EXP(-LN(2)/2)*BR114+(1-EXP(-LN(2)/2))/(LN(2)/2)*BL115*BO115*VLOOKUP('Données projet'!$B$11,Paramètres!$A$1:$I$89,3,0)*0.475*44/12</f>
        <v>0</v>
      </c>
      <c r="BS115" s="22">
        <f t="shared" si="63"/>
        <v>82.121490718677634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3.8</v>
      </c>
      <c r="BY115" s="12">
        <f>IF('Données projet'!$A$114&gt;35,BY114+BX115-CG114,IF(A115&lt;'Données projet'!$A$114,$BV$205^A115,IF(A115='Données projet'!$A$114,'Données projet'!$B$114,BY114+BX115-CG114)))</f>
        <v>273.59999999999997</v>
      </c>
      <c r="BZ115" s="13">
        <f>BY115*VLOOKUP('Données projet'!$B$12,Paramètres!$A$1:$I$89,3,0)*VLOOKUP('Données projet'!$B$12,Paramètres!$A$1:$I$89,5,0)</f>
        <v>247.55327999999994</v>
      </c>
      <c r="CA115" s="13">
        <f t="shared" si="93"/>
        <v>60.061713068870255</v>
      </c>
      <c r="CB115" s="20">
        <f t="shared" si="64"/>
        <v>535.76277959494894</v>
      </c>
      <c r="CC115" s="59">
        <f t="shared" si="65"/>
        <v>829.09611292828231</v>
      </c>
      <c r="CD115" s="59">
        <f ca="1">AVERAGE(OFFSET($CC$3,0,0,'Données projet'!$E$12+1,1))-AVERAGE(OFFSET($H$3,0,0,'Données projet'!$E$12+1,1))</f>
        <v>289.19622253646992</v>
      </c>
      <c r="CE115" s="59">
        <f t="shared" si="94"/>
        <v>191.23827338431175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>
        <f>EXP(-LN(2)/35)*CK114+(1-EXP(-LN(2)/35))/(LN(2)/35)*CG115*CH115*VLOOKUP('Données projet'!$B$12,Paramètres!$A$1:$I$89,3,0)*0.475*44/12</f>
        <v>71.997653965429237</v>
      </c>
      <c r="CL115" s="21">
        <f>EXP(-LN(2)/25)*CL114+(1-EXP(-LN(2)/25))/(LN(2)/25)*Calculateur!CG115*Calculateur!CI115*VLOOKUP('Données projet'!$B$12,Paramètres!$A$1:$I$89,3,0)*0.475*44/12</f>
        <v>0</v>
      </c>
      <c r="CM115" s="21">
        <f>EXP(-LN(2)/2)*CM114+(1-EXP(-LN(2)/2))/(LN(2)/2)*CG115*CJ115*VLOOKUP('Données projet'!$B$12,Paramètres!$A$1:$I$89,3,0)*0.475*44/12</f>
        <v>0</v>
      </c>
      <c r="CN115" s="22">
        <f t="shared" si="66"/>
        <v>71.997653965429237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3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65.223599999999919</v>
      </c>
      <c r="D116" s="11">
        <f t="shared" si="86"/>
        <v>18.482474514592173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646.15215414772842</v>
      </c>
      <c r="H116" s="67">
        <f t="shared" si="56"/>
        <v>402.4547464462479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304.99999999999983</v>
      </c>
      <c r="O116" s="13">
        <f>N116*VLOOKUP('Données projet'!$B$9,Paramètres!$A$1:$I$89,3,0)*VLOOKUP('Données projet'!$B$9,Paramètres!$A$1:$I$89,5,0)</f>
        <v>275.96399999999983</v>
      </c>
      <c r="P116" s="13">
        <f t="shared" si="87"/>
        <v>66.113366665488854</v>
      </c>
      <c r="Q116" s="20">
        <f t="shared" si="107"/>
        <v>595.78474694239264</v>
      </c>
      <c r="R116" s="59">
        <f t="shared" si="55"/>
        <v>889.11808027572602</v>
      </c>
      <c r="S116" s="59">
        <f ca="1">AVERAGE(OFFSET($R$3,0,0,'Données projet'!$E$9+1,1))-AVERAGE(OFFSET($H$3,0,0,'Données projet'!$E$9+1,1))</f>
        <v>336.59194805061094</v>
      </c>
      <c r="T116" s="59">
        <f t="shared" si="88"/>
        <v>473.66884161123909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1.6173986045155919</v>
      </c>
      <c r="AA116" s="21">
        <f>EXP(-LN(2)/25)*AA115+(1-EXP(-LN(2)/25))/(LN(2)/25)*Calculateur!V116*Calculateur!X116*VLOOKUP('Données projet'!$B$9,Paramètres!$A$1:$I$89,3,0)*0.475*44/12</f>
        <v>0</v>
      </c>
      <c r="AB116" s="21">
        <f>EXP(-LN(2)/2)*AB115+(1-EXP(-LN(2)/2))/(LN(2)/2)*V116*Y116*VLOOKUP('Données projet'!$B$9,Paramètres!$A$1:$I$89,3,0)*0.475*44/12</f>
        <v>0</v>
      </c>
      <c r="AC116" s="22">
        <f t="shared" si="57"/>
        <v>1.6173986045155919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319</v>
      </c>
      <c r="AJ116" s="13">
        <f>AI116*VLOOKUP('Données projet'!$B$10,Paramètres!$A$1:$I$89,3,0)*VLOOKUP('Données projet'!$B$10,Paramètres!$A$1:$I$89,5,0)</f>
        <v>209.00879999999998</v>
      </c>
      <c r="AK116" s="13">
        <f t="shared" si="89"/>
        <v>51.718923953824202</v>
      </c>
      <c r="AL116" s="20">
        <f t="shared" si="58"/>
        <v>454.10078588624373</v>
      </c>
      <c r="AM116" s="59">
        <f t="shared" si="59"/>
        <v>747.43411921957704</v>
      </c>
      <c r="AN116" s="59">
        <f ca="1">AVERAGE(OFFSET($AM$3,0,0,'Données projet'!$E$10+1,1))-AVERAGE(OFFSET($H$3,0,0,'Données projet'!$E$10+1,1))</f>
        <v>244.66788784685366</v>
      </c>
      <c r="AO116" s="59">
        <f t="shared" si="90"/>
        <v>252.04429018409274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18.479732643334742</v>
      </c>
      <c r="AV116" s="21">
        <f>EXP(-LN(2)/25)*AV115+(1-EXP(-LN(2)/25))/(LN(2)/25)*Calculateur!AQ116*Calculateur!AS116*VLOOKUP('Données projet'!$B$10,Paramètres!$A$1:$I$89,3,0)*0.475*44/12</f>
        <v>0</v>
      </c>
      <c r="AW116" s="21">
        <f>EXP(-LN(2)/2)*AW115+(1-EXP(-LN(2)/2))/(LN(2)/2)*AQ116*AT116*VLOOKUP('Données projet'!$B$10,Paramètres!$A$1:$I$89,3,0)*0.475*44/12</f>
        <v>0</v>
      </c>
      <c r="AX116" s="21">
        <f t="shared" si="60"/>
        <v>18.479732643334742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243.99999999999989</v>
      </c>
      <c r="BE116" s="13">
        <f>BD116*VLOOKUP('Données projet'!$B$11,Paramètres!$A$1:$I$89,3,0)*VLOOKUP('Données projet'!$B$11,Paramètres!$A$1:$I$89,5,0)</f>
        <v>232.19039999999987</v>
      </c>
      <c r="BF116" s="13">
        <f t="shared" si="91"/>
        <v>56.756035639094556</v>
      </c>
      <c r="BG116" s="20">
        <f t="shared" si="61"/>
        <v>503.24837540475619</v>
      </c>
      <c r="BH116" s="59">
        <f t="shared" si="62"/>
        <v>796.58170873808945</v>
      </c>
      <c r="BI116" s="59">
        <f ca="1">AVERAGE(OFFSET($BH$3,0,0,'Données projet'!$E$11+1,1))-AVERAGE(OFFSET($H$3,0,0,'Données projet'!$E$11+1,1))</f>
        <v>373.51596132356536</v>
      </c>
      <c r="BJ116" s="59">
        <f t="shared" si="92"/>
        <v>417.00150517020114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80.511138374847803</v>
      </c>
      <c r="BQ116" s="21">
        <f>EXP(-LN(2)/25)*BQ115+(1-EXP(-LN(2)/25))/(LN(2)/25)*Calculateur!BL116*Calculateur!BN116*VLOOKUP('Données projet'!$B$11,Paramètres!$A$1:$I$89,3,0)*0.475*44/12</f>
        <v>0</v>
      </c>
      <c r="BR116" s="21">
        <f>EXP(-LN(2)/2)*BR115+(1-EXP(-LN(2)/2))/(LN(2)/2)*BL116*BO116*VLOOKUP('Données projet'!$B$11,Paramètres!$A$1:$I$89,3,0)*0.475*44/12</f>
        <v>0</v>
      </c>
      <c r="BS116" s="22">
        <f t="shared" si="63"/>
        <v>80.511138374847803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3.8</v>
      </c>
      <c r="BY116" s="12">
        <f>IF('Données projet'!$A$114&gt;35,BY115+BX116-CG115,IF(A116&lt;'Données projet'!$A$114,$BV$205^A116,IF(A116='Données projet'!$A$114,'Données projet'!$B$114,BY115+BX116-CG115)))</f>
        <v>277.39999999999998</v>
      </c>
      <c r="BZ116" s="13">
        <f>BY116*VLOOKUP('Données projet'!$B$12,Paramètres!$A$1:$I$89,3,0)*VLOOKUP('Données projet'!$B$12,Paramètres!$A$1:$I$89,5,0)</f>
        <v>250.99151999999995</v>
      </c>
      <c r="CA116" s="13">
        <f t="shared" si="93"/>
        <v>60.798211000769406</v>
      </c>
      <c r="CB116" s="20">
        <f t="shared" si="64"/>
        <v>543.03378149300659</v>
      </c>
      <c r="CC116" s="59">
        <f t="shared" si="65"/>
        <v>836.36711482633996</v>
      </c>
      <c r="CD116" s="59">
        <f ca="1">AVERAGE(OFFSET($CC$3,0,0,'Données projet'!$E$12+1,1))-AVERAGE(OFFSET($H$3,0,0,'Données projet'!$E$12+1,1))</f>
        <v>289.19622253646992</v>
      </c>
      <c r="CE116" s="59">
        <f t="shared" si="94"/>
        <v>191.23827338431175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>
        <f>EXP(-LN(2)/35)*CK115+(1-EXP(-LN(2)/35))/(LN(2)/35)*CG116*CH116*VLOOKUP('Données projet'!$B$12,Paramètres!$A$1:$I$89,3,0)*0.475*44/12</f>
        <v>70.585823885399918</v>
      </c>
      <c r="CL116" s="21">
        <f>EXP(-LN(2)/25)*CL115+(1-EXP(-LN(2)/25))/(LN(2)/25)*Calculateur!CG116*Calculateur!CI116*VLOOKUP('Données projet'!$B$12,Paramètres!$A$1:$I$89,3,0)*0.475*44/12</f>
        <v>0</v>
      </c>
      <c r="CM116" s="21">
        <f>EXP(-LN(2)/2)*CM115+(1-EXP(-LN(2)/2))/(LN(2)/2)*CG116*CJ116*VLOOKUP('Données projet'!$B$12,Paramètres!$A$1:$I$89,3,0)*0.475*44/12</f>
        <v>0</v>
      </c>
      <c r="CN116" s="22">
        <f t="shared" si="66"/>
        <v>70.585823885399918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3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65.800799999999924</v>
      </c>
      <c r="D117" s="11">
        <f t="shared" si="86"/>
        <v>18.626923459774272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651.72277758422194</v>
      </c>
      <c r="H117" s="67">
        <f t="shared" si="56"/>
        <v>403.71161835910675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304.99999999999983</v>
      </c>
      <c r="O117" s="13">
        <f>N117*VLOOKUP('Données projet'!$B$9,Paramètres!$A$1:$I$89,3,0)*VLOOKUP('Données projet'!$B$9,Paramètres!$A$1:$I$89,5,0)</f>
        <v>275.96399999999983</v>
      </c>
      <c r="P117" s="13">
        <f t="shared" si="87"/>
        <v>66.113366665488854</v>
      </c>
      <c r="Q117" s="20">
        <f t="shared" si="107"/>
        <v>595.78474694239264</v>
      </c>
      <c r="R117" s="59">
        <f t="shared" si="55"/>
        <v>889.11808027572602</v>
      </c>
      <c r="S117" s="59">
        <f ca="1">AVERAGE(OFFSET($R$3,0,0,'Données projet'!$E$9+1,1))-AVERAGE(OFFSET($H$3,0,0,'Données projet'!$E$9+1,1))</f>
        <v>336.59194805061094</v>
      </c>
      <c r="T117" s="59">
        <f t="shared" si="88"/>
        <v>473.66884161123909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1.5856824043967797</v>
      </c>
      <c r="AA117" s="21">
        <f>EXP(-LN(2)/25)*AA116+(1-EXP(-LN(2)/25))/(LN(2)/25)*Calculateur!V117*Calculateur!X117*VLOOKUP('Données projet'!$B$9,Paramètres!$A$1:$I$89,3,0)*0.475*44/12</f>
        <v>0</v>
      </c>
      <c r="AB117" s="21">
        <f>EXP(-LN(2)/2)*AB116+(1-EXP(-LN(2)/2))/(LN(2)/2)*V117*Y117*VLOOKUP('Données projet'!$B$9,Paramètres!$A$1:$I$89,3,0)*0.475*44/12</f>
        <v>0</v>
      </c>
      <c r="AC117" s="22">
        <f t="shared" si="57"/>
        <v>1.5856824043967797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319</v>
      </c>
      <c r="AJ117" s="13">
        <f>AI117*VLOOKUP('Données projet'!$B$10,Paramètres!$A$1:$I$89,3,0)*VLOOKUP('Données projet'!$B$10,Paramètres!$A$1:$I$89,5,0)</f>
        <v>209.00879999999998</v>
      </c>
      <c r="AK117" s="13">
        <f t="shared" si="89"/>
        <v>51.718923953824202</v>
      </c>
      <c r="AL117" s="20">
        <f t="shared" si="58"/>
        <v>454.10078588624373</v>
      </c>
      <c r="AM117" s="59">
        <f t="shared" si="59"/>
        <v>747.43411921957704</v>
      </c>
      <c r="AN117" s="59">
        <f ca="1">AVERAGE(OFFSET($AM$3,0,0,'Données projet'!$E$10+1,1))-AVERAGE(OFFSET($H$3,0,0,'Données projet'!$E$10+1,1))</f>
        <v>244.66788784685366</v>
      </c>
      <c r="AO117" s="59">
        <f t="shared" si="90"/>
        <v>252.04429018409274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18.11735635772289</v>
      </c>
      <c r="AV117" s="21">
        <f>EXP(-LN(2)/25)*AV116+(1-EXP(-LN(2)/25))/(LN(2)/25)*Calculateur!AQ117*Calculateur!AS117*VLOOKUP('Données projet'!$B$10,Paramètres!$A$1:$I$89,3,0)*0.475*44/12</f>
        <v>0</v>
      </c>
      <c r="AW117" s="21">
        <f>EXP(-LN(2)/2)*AW116+(1-EXP(-LN(2)/2))/(LN(2)/2)*AQ117*AT117*VLOOKUP('Données projet'!$B$10,Paramètres!$A$1:$I$89,3,0)*0.475*44/12</f>
        <v>0</v>
      </c>
      <c r="AX117" s="21">
        <f t="shared" si="60"/>
        <v>18.11735635772289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243.99999999999989</v>
      </c>
      <c r="BE117" s="13">
        <f>BD117*VLOOKUP('Données projet'!$B$11,Paramètres!$A$1:$I$89,3,0)*VLOOKUP('Données projet'!$B$11,Paramètres!$A$1:$I$89,5,0)</f>
        <v>232.19039999999987</v>
      </c>
      <c r="BF117" s="13">
        <f t="shared" si="91"/>
        <v>56.756035639094556</v>
      </c>
      <c r="BG117" s="20">
        <f t="shared" si="61"/>
        <v>503.24837540475619</v>
      </c>
      <c r="BH117" s="59">
        <f t="shared" si="62"/>
        <v>796.58170873808945</v>
      </c>
      <c r="BI117" s="59">
        <f ca="1">AVERAGE(OFFSET($BH$3,0,0,'Données projet'!$E$11+1,1))-AVERAGE(OFFSET($H$3,0,0,'Données projet'!$E$11+1,1))</f>
        <v>373.51596132356536</v>
      </c>
      <c r="BJ117" s="59">
        <f t="shared" si="92"/>
        <v>417.00150517020114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78.932364058262536</v>
      </c>
      <c r="BQ117" s="21">
        <f>EXP(-LN(2)/25)*BQ116+(1-EXP(-LN(2)/25))/(LN(2)/25)*Calculateur!BL117*Calculateur!BN117*VLOOKUP('Données projet'!$B$11,Paramètres!$A$1:$I$89,3,0)*0.475*44/12</f>
        <v>0</v>
      </c>
      <c r="BR117" s="21">
        <f>EXP(-LN(2)/2)*BR116+(1-EXP(-LN(2)/2))/(LN(2)/2)*BL117*BO117*VLOOKUP('Données projet'!$B$11,Paramètres!$A$1:$I$89,3,0)*0.475*44/12</f>
        <v>0</v>
      </c>
      <c r="BS117" s="22">
        <f t="shared" si="63"/>
        <v>78.932364058262536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3.8</v>
      </c>
      <c r="BY117" s="12">
        <f>IF('Données projet'!$A$114&gt;35,BY116+BX117-CG116,IF(A117&lt;'Données projet'!$A$114,$BV$205^A117,IF(A117='Données projet'!$A$114,'Données projet'!$B$114,BY116+BX117-CG116)))</f>
        <v>281.2</v>
      </c>
      <c r="BZ117" s="13">
        <f>BY117*VLOOKUP('Données projet'!$B$12,Paramètres!$A$1:$I$89,3,0)*VLOOKUP('Données projet'!$B$12,Paramètres!$A$1:$I$89,5,0)</f>
        <v>254.42975999999996</v>
      </c>
      <c r="CA117" s="13">
        <f t="shared" si="93"/>
        <v>61.533535468549189</v>
      </c>
      <c r="CB117" s="20">
        <f t="shared" si="64"/>
        <v>550.30273960772308</v>
      </c>
      <c r="CC117" s="59">
        <f t="shared" si="65"/>
        <v>843.63607294105645</v>
      </c>
      <c r="CD117" s="59">
        <f ca="1">AVERAGE(OFFSET($CC$3,0,0,'Données projet'!$E$12+1,1))-AVERAGE(OFFSET($H$3,0,0,'Données projet'!$E$12+1,1))</f>
        <v>289.19622253646992</v>
      </c>
      <c r="CE117" s="59">
        <f t="shared" si="94"/>
        <v>191.23827338431175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>
        <f>EXP(-LN(2)/35)*CK116+(1-EXP(-LN(2)/35))/(LN(2)/35)*CG117*CH117*VLOOKUP('Données projet'!$B$12,Paramètres!$A$1:$I$89,3,0)*0.475*44/12</f>
        <v>69.201678932108649</v>
      </c>
      <c r="CL117" s="21">
        <f>EXP(-LN(2)/25)*CL116+(1-EXP(-LN(2)/25))/(LN(2)/25)*Calculateur!CG117*Calculateur!CI117*VLOOKUP('Données projet'!$B$12,Paramètres!$A$1:$I$89,3,0)*0.475*44/12</f>
        <v>0</v>
      </c>
      <c r="CM117" s="21">
        <f>EXP(-LN(2)/2)*CM116+(1-EXP(-LN(2)/2))/(LN(2)/2)*CG117*CJ117*VLOOKUP('Données projet'!$B$12,Paramètres!$A$1:$I$89,3,0)*0.475*44/12</f>
        <v>0</v>
      </c>
      <c r="CN117" s="22">
        <f t="shared" si="66"/>
        <v>69.201678932108649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3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66.377999999999929</v>
      </c>
      <c r="D118" s="11">
        <f t="shared" si="86"/>
        <v>18.771224988253078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657.29226306721625</v>
      </c>
      <c r="H118" s="67">
        <f t="shared" si="56"/>
        <v>404.96823352120737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304.99999999999983</v>
      </c>
      <c r="O118" s="13">
        <f>N118*VLOOKUP('Données projet'!$B$9,Paramètres!$A$1:$I$89,3,0)*VLOOKUP('Données projet'!$B$9,Paramètres!$A$1:$I$89,5,0)</f>
        <v>275.96399999999983</v>
      </c>
      <c r="P118" s="13">
        <f t="shared" si="87"/>
        <v>66.113366665488854</v>
      </c>
      <c r="Q118" s="20">
        <f t="shared" si="107"/>
        <v>595.78474694239264</v>
      </c>
      <c r="R118" s="59">
        <f t="shared" si="55"/>
        <v>889.11808027572602</v>
      </c>
      <c r="S118" s="59">
        <f ca="1">AVERAGE(OFFSET($R$3,0,0,'Données projet'!$E$9+1,1))-AVERAGE(OFFSET($H$3,0,0,'Données projet'!$E$9+1,1))</f>
        <v>336.59194805061094</v>
      </c>
      <c r="T118" s="59">
        <f t="shared" si="88"/>
        <v>473.66884161123909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1.5545881396173253</v>
      </c>
      <c r="AA118" s="21">
        <f>EXP(-LN(2)/25)*AA117+(1-EXP(-LN(2)/25))/(LN(2)/25)*Calculateur!V118*Calculateur!X118*VLOOKUP('Données projet'!$B$9,Paramètres!$A$1:$I$89,3,0)*0.475*44/12</f>
        <v>0</v>
      </c>
      <c r="AB118" s="21">
        <f>EXP(-LN(2)/2)*AB117+(1-EXP(-LN(2)/2))/(LN(2)/2)*V118*Y118*VLOOKUP('Données projet'!$B$9,Paramètres!$A$1:$I$89,3,0)*0.475*44/12</f>
        <v>0</v>
      </c>
      <c r="AC118" s="22">
        <f t="shared" si="57"/>
        <v>1.5545881396173253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319</v>
      </c>
      <c r="AJ118" s="13">
        <f>AI118*VLOOKUP('Données projet'!$B$10,Paramètres!$A$1:$I$89,3,0)*VLOOKUP('Données projet'!$B$10,Paramètres!$A$1:$I$89,5,0)</f>
        <v>209.00879999999998</v>
      </c>
      <c r="AK118" s="13">
        <f t="shared" si="89"/>
        <v>51.718923953824202</v>
      </c>
      <c r="AL118" s="20">
        <f t="shared" si="58"/>
        <v>454.10078588624373</v>
      </c>
      <c r="AM118" s="59">
        <f t="shared" si="59"/>
        <v>747.43411921957704</v>
      </c>
      <c r="AN118" s="59">
        <f ca="1">AVERAGE(OFFSET($AM$3,0,0,'Données projet'!$E$10+1,1))-AVERAGE(OFFSET($H$3,0,0,'Données projet'!$E$10+1,1))</f>
        <v>244.66788784685366</v>
      </c>
      <c r="AO118" s="59">
        <f t="shared" si="90"/>
        <v>252.04429018409274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17.762086050044179</v>
      </c>
      <c r="AV118" s="21">
        <f>EXP(-LN(2)/25)*AV117+(1-EXP(-LN(2)/25))/(LN(2)/25)*Calculateur!AQ118*Calculateur!AS118*VLOOKUP('Données projet'!$B$10,Paramètres!$A$1:$I$89,3,0)*0.475*44/12</f>
        <v>0</v>
      </c>
      <c r="AW118" s="21">
        <f>EXP(-LN(2)/2)*AW117+(1-EXP(-LN(2)/2))/(LN(2)/2)*AQ118*AT118*VLOOKUP('Données projet'!$B$10,Paramètres!$A$1:$I$89,3,0)*0.475*44/12</f>
        <v>0</v>
      </c>
      <c r="AX118" s="21">
        <f t="shared" si="60"/>
        <v>17.762086050044179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243.99999999999989</v>
      </c>
      <c r="BE118" s="13">
        <f>BD118*VLOOKUP('Données projet'!$B$11,Paramètres!$A$1:$I$89,3,0)*VLOOKUP('Données projet'!$B$11,Paramètres!$A$1:$I$89,5,0)</f>
        <v>232.19039999999987</v>
      </c>
      <c r="BF118" s="13">
        <f t="shared" si="91"/>
        <v>56.756035639094556</v>
      </c>
      <c r="BG118" s="20">
        <f t="shared" si="61"/>
        <v>503.24837540475619</v>
      </c>
      <c r="BH118" s="59">
        <f t="shared" si="62"/>
        <v>796.58170873808945</v>
      </c>
      <c r="BI118" s="59">
        <f ca="1">AVERAGE(OFFSET($BH$3,0,0,'Données projet'!$E$11+1,1))-AVERAGE(OFFSET($H$3,0,0,'Données projet'!$E$11+1,1))</f>
        <v>373.51596132356536</v>
      </c>
      <c r="BJ118" s="59">
        <f t="shared" si="92"/>
        <v>417.00150517020114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77.384548543068263</v>
      </c>
      <c r="BQ118" s="21">
        <f>EXP(-LN(2)/25)*BQ117+(1-EXP(-LN(2)/25))/(LN(2)/25)*Calculateur!BL118*Calculateur!BN118*VLOOKUP('Données projet'!$B$11,Paramètres!$A$1:$I$89,3,0)*0.475*44/12</f>
        <v>0</v>
      </c>
      <c r="BR118" s="21">
        <f>EXP(-LN(2)/2)*BR117+(1-EXP(-LN(2)/2))/(LN(2)/2)*BL118*BO118*VLOOKUP('Données projet'!$B$11,Paramètres!$A$1:$I$89,3,0)*0.475*44/12</f>
        <v>0</v>
      </c>
      <c r="BS118" s="22">
        <f t="shared" si="63"/>
        <v>77.384548543068263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>
        <f>VLOOKUP(A118,'Données projet'!$A$113:$I$133,2,0)</f>
        <v>285</v>
      </c>
      <c r="BW118" s="12">
        <f>VLOOKUP(A118,'Données projet'!$A$113:$I$133,9,0)</f>
        <v>3.8</v>
      </c>
      <c r="BX118" s="12">
        <f t="array" ref="BX118">INDEX(BW:BW,MIN(IF(ISNUMBER(BW118:BW314),ROW(BW118:BW314),"")))</f>
        <v>3.8</v>
      </c>
      <c r="BY118" s="12">
        <f>IF('Données projet'!$A$114&gt;35,BY117+BX118-CG117,IF(A118&lt;'Données projet'!$A$114,$BV$205^A118,IF(A118='Données projet'!$A$114,'Données projet'!$B$114,BY117+BX118-CG117)))</f>
        <v>285</v>
      </c>
      <c r="BZ118" s="13">
        <f>BY118*VLOOKUP('Données projet'!$B$12,Paramètres!$A$1:$I$89,3,0)*VLOOKUP('Données projet'!$B$12,Paramètres!$A$1:$I$89,5,0)</f>
        <v>257.86799999999999</v>
      </c>
      <c r="CA118" s="13">
        <f t="shared" si="93"/>
        <v>62.267704162827528</v>
      </c>
      <c r="CB118" s="20">
        <f t="shared" si="64"/>
        <v>557.56968475025803</v>
      </c>
      <c r="CC118" s="59">
        <f t="shared" si="65"/>
        <v>850.90301808359141</v>
      </c>
      <c r="CD118" s="59">
        <f ca="1">AVERAGE(OFFSET($CC$3,0,0,'Données projet'!$E$12+1,1))-AVERAGE(OFFSET($H$3,0,0,'Données projet'!$E$12+1,1))</f>
        <v>289.19622253646992</v>
      </c>
      <c r="CE118" s="59">
        <f t="shared" si="94"/>
        <v>191.23827338431175</v>
      </c>
      <c r="CF118" s="15">
        <f>IF(ISNA(VLOOKUP(A118,'Données projet'!$A$113:$I$133,3,0)),0,VLOOKUP(A118,'Données projet'!$A$113:$I$133,3,0))</f>
        <v>19</v>
      </c>
      <c r="CG118" s="15">
        <f>IF(ISNA(VLOOKUP(A118,'Données projet'!$A$113:$I$133,4,0)),0,VLOOKUP(A118,'Données projet'!$A$113:$I$133,4,0))</f>
        <v>18</v>
      </c>
      <c r="CH118" s="16">
        <f>IF(ISNA(VLOOKUP(A118,'Données projet'!$A$113:$I$133,5,0)),0%,VLOOKUP(A118,'Données projet'!$A$113:$I$133,5,0)*VLOOKUP('Données projet'!$B$12,Paramètres!$A$1:$I$89,7,0))</f>
        <v>0.43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>
        <f>EXP(-LN(2)/35)*CK117+(1-EXP(-LN(2)/35))/(LN(2)/35)*CG118*CH118*VLOOKUP('Données projet'!$B$12,Paramètres!$A$1:$I$89,3,0)*0.475*44/12</f>
        <v>75.58645331647331</v>
      </c>
      <c r="CL118" s="21">
        <f>EXP(-LN(2)/25)*CL117+(1-EXP(-LN(2)/25))/(LN(2)/25)*Calculateur!CG118*Calculateur!CI118*VLOOKUP('Données projet'!$B$12,Paramètres!$A$1:$I$89,3,0)*0.475*44/12</f>
        <v>0</v>
      </c>
      <c r="CM118" s="21">
        <f>EXP(-LN(2)/2)*CM117+(1-EXP(-LN(2)/2))/(LN(2)/2)*CG118*CJ118*VLOOKUP('Données projet'!$B$12,Paramètres!$A$1:$I$89,3,0)*0.475*44/12</f>
        <v>0</v>
      </c>
      <c r="CN118" s="22">
        <f t="shared" si="66"/>
        <v>75.58645331647331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3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66.955199999999934</v>
      </c>
      <c r="D119" s="11">
        <f t="shared" si="86"/>
        <v>18.915380530436487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662.86062163845668</v>
      </c>
      <c r="H119" s="67">
        <f t="shared" si="56"/>
        <v>406.22459442384343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304.99999999999983</v>
      </c>
      <c r="O119" s="13">
        <f>N119*VLOOKUP('Données projet'!$B$9,Paramètres!$A$1:$I$89,3,0)*VLOOKUP('Données projet'!$B$9,Paramètres!$A$1:$I$89,5,0)</f>
        <v>275.96399999999983</v>
      </c>
      <c r="P119" s="13">
        <f t="shared" si="87"/>
        <v>66.113366665488854</v>
      </c>
      <c r="Q119" s="20">
        <f t="shared" si="107"/>
        <v>595.78474694239264</v>
      </c>
      <c r="R119" s="59">
        <f t="shared" si="55"/>
        <v>889.11808027572602</v>
      </c>
      <c r="S119" s="59">
        <f ca="1">AVERAGE(OFFSET($R$3,0,0,'Données projet'!$E$9+1,1))-AVERAGE(OFFSET($H$3,0,0,'Données projet'!$E$9+1,1))</f>
        <v>336.59194805061094</v>
      </c>
      <c r="T119" s="59">
        <f t="shared" si="88"/>
        <v>473.66884161123909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1.5241036144045672</v>
      </c>
      <c r="AA119" s="21">
        <f>EXP(-LN(2)/25)*AA118+(1-EXP(-LN(2)/25))/(LN(2)/25)*Calculateur!V119*Calculateur!X119*VLOOKUP('Données projet'!$B$9,Paramètres!$A$1:$I$89,3,0)*0.475*44/12</f>
        <v>0</v>
      </c>
      <c r="AB119" s="21">
        <f>EXP(-LN(2)/2)*AB118+(1-EXP(-LN(2)/2))/(LN(2)/2)*V119*Y119*VLOOKUP('Données projet'!$B$9,Paramètres!$A$1:$I$89,3,0)*0.475*44/12</f>
        <v>0</v>
      </c>
      <c r="AC119" s="22">
        <f t="shared" si="57"/>
        <v>1.5241036144045672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319</v>
      </c>
      <c r="AJ119" s="13">
        <f>AI119*VLOOKUP('Données projet'!$B$10,Paramètres!$A$1:$I$89,3,0)*VLOOKUP('Données projet'!$B$10,Paramètres!$A$1:$I$89,5,0)</f>
        <v>209.00879999999998</v>
      </c>
      <c r="AK119" s="13">
        <f t="shared" si="89"/>
        <v>51.718923953824202</v>
      </c>
      <c r="AL119" s="20">
        <f t="shared" si="58"/>
        <v>454.10078588624373</v>
      </c>
      <c r="AM119" s="59">
        <f t="shared" si="59"/>
        <v>747.43411921957704</v>
      </c>
      <c r="AN119" s="59">
        <f ca="1">AVERAGE(OFFSET($AM$3,0,0,'Données projet'!$E$10+1,1))-AVERAGE(OFFSET($H$3,0,0,'Données projet'!$E$10+1,1))</f>
        <v>244.66788784685366</v>
      </c>
      <c r="AO119" s="59">
        <f t="shared" si="90"/>
        <v>252.04429018409274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17.413782376405553</v>
      </c>
      <c r="AV119" s="21">
        <f>EXP(-LN(2)/25)*AV118+(1-EXP(-LN(2)/25))/(LN(2)/25)*Calculateur!AQ119*Calculateur!AS119*VLOOKUP('Données projet'!$B$10,Paramètres!$A$1:$I$89,3,0)*0.475*44/12</f>
        <v>0</v>
      </c>
      <c r="AW119" s="21">
        <f>EXP(-LN(2)/2)*AW118+(1-EXP(-LN(2)/2))/(LN(2)/2)*AQ119*AT119*VLOOKUP('Données projet'!$B$10,Paramètres!$A$1:$I$89,3,0)*0.475*44/12</f>
        <v>0</v>
      </c>
      <c r="AX119" s="21">
        <f t="shared" si="60"/>
        <v>17.413782376405553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243.99999999999989</v>
      </c>
      <c r="BE119" s="13">
        <f>BD119*VLOOKUP('Données projet'!$B$11,Paramètres!$A$1:$I$89,3,0)*VLOOKUP('Données projet'!$B$11,Paramètres!$A$1:$I$89,5,0)</f>
        <v>232.19039999999987</v>
      </c>
      <c r="BF119" s="13">
        <f t="shared" si="91"/>
        <v>56.756035639094556</v>
      </c>
      <c r="BG119" s="20">
        <f t="shared" si="61"/>
        <v>503.24837540475619</v>
      </c>
      <c r="BH119" s="59">
        <f t="shared" si="62"/>
        <v>796.58170873808945</v>
      </c>
      <c r="BI119" s="59">
        <f ca="1">AVERAGE(OFFSET($BH$3,0,0,'Données projet'!$E$11+1,1))-AVERAGE(OFFSET($H$3,0,0,'Données projet'!$E$11+1,1))</f>
        <v>373.51596132356536</v>
      </c>
      <c r="BJ119" s="59">
        <f t="shared" si="92"/>
        <v>417.00150517020114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75.867084746052697</v>
      </c>
      <c r="BQ119" s="21">
        <f>EXP(-LN(2)/25)*BQ118+(1-EXP(-LN(2)/25))/(LN(2)/25)*Calculateur!BL119*Calculateur!BN119*VLOOKUP('Données projet'!$B$11,Paramètres!$A$1:$I$89,3,0)*0.475*44/12</f>
        <v>0</v>
      </c>
      <c r="BR119" s="21">
        <f>EXP(-LN(2)/2)*BR118+(1-EXP(-LN(2)/2))/(LN(2)/2)*BL119*BO119*VLOOKUP('Données projet'!$B$11,Paramètres!$A$1:$I$89,3,0)*0.475*44/12</f>
        <v>0</v>
      </c>
      <c r="BS119" s="22">
        <f t="shared" si="63"/>
        <v>75.867084746052697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267</v>
      </c>
      <c r="BZ119" s="13">
        <f>BY119*VLOOKUP('Données projet'!$B$12,Paramètres!$A$1:$I$89,3,0)*VLOOKUP('Données projet'!$B$12,Paramètres!$A$1:$I$89,5,0)</f>
        <v>241.58159999999998</v>
      </c>
      <c r="CA119" s="13">
        <f t="shared" si="93"/>
        <v>58.779689232021951</v>
      </c>
      <c r="CB119" s="20">
        <f t="shared" si="64"/>
        <v>523.12924541243819</v>
      </c>
      <c r="CC119" s="59">
        <f t="shared" si="65"/>
        <v>816.46257874577145</v>
      </c>
      <c r="CD119" s="59">
        <f ca="1">AVERAGE(OFFSET($CC$3,0,0,'Données projet'!$E$12+1,1))-AVERAGE(OFFSET($H$3,0,0,'Données projet'!$E$12+1,1))</f>
        <v>289.19622253646992</v>
      </c>
      <c r="CE119" s="59">
        <f t="shared" si="94"/>
        <v>191.23827338431175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>
        <f>EXP(-LN(2)/35)*CK118+(1-EXP(-LN(2)/35))/(LN(2)/35)*CG119*CH119*VLOOKUP('Données projet'!$B$12,Paramètres!$A$1:$I$89,3,0)*0.475*44/12</f>
        <v>74.104249070121483</v>
      </c>
      <c r="CL119" s="21">
        <f>EXP(-LN(2)/25)*CL118+(1-EXP(-LN(2)/25))/(LN(2)/25)*Calculateur!CG119*Calculateur!CI119*VLOOKUP('Données projet'!$B$12,Paramètres!$A$1:$I$89,3,0)*0.475*44/12</f>
        <v>0</v>
      </c>
      <c r="CM119" s="21">
        <f>EXP(-LN(2)/2)*CM118+(1-EXP(-LN(2)/2))/(LN(2)/2)*CG119*CJ119*VLOOKUP('Données projet'!$B$12,Paramètres!$A$1:$I$89,3,0)*0.475*44/12</f>
        <v>0</v>
      </c>
      <c r="CN119" s="22">
        <f t="shared" si="66"/>
        <v>74.104249070121483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3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67.532399999999939</v>
      </c>
      <c r="D120" s="11">
        <f t="shared" si="86"/>
        <v>19.059391490646956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668.42786413832698</v>
      </c>
      <c r="H120" s="67">
        <f t="shared" si="56"/>
        <v>407.48070351287669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304.99999999999983</v>
      </c>
      <c r="O120" s="13">
        <f>N120*VLOOKUP('Données projet'!$B$9,Paramètres!$A$1:$I$89,3,0)*VLOOKUP('Données projet'!$B$9,Paramètres!$A$1:$I$89,5,0)</f>
        <v>275.96399999999983</v>
      </c>
      <c r="P120" s="13">
        <f t="shared" si="87"/>
        <v>66.113366665488854</v>
      </c>
      <c r="Q120" s="20">
        <f t="shared" si="107"/>
        <v>595.78474694239264</v>
      </c>
      <c r="R120" s="59">
        <f t="shared" si="55"/>
        <v>889.11808027572602</v>
      </c>
      <c r="S120" s="59">
        <f ca="1">AVERAGE(OFFSET($R$3,0,0,'Données projet'!$E$9+1,1))-AVERAGE(OFFSET($H$3,0,0,'Données projet'!$E$9+1,1))</f>
        <v>336.59194805061094</v>
      </c>
      <c r="T120" s="59">
        <f t="shared" si="88"/>
        <v>473.66884161123909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1.4942168721375069</v>
      </c>
      <c r="AA120" s="21">
        <f>EXP(-LN(2)/25)*AA119+(1-EXP(-LN(2)/25))/(LN(2)/25)*Calculateur!V120*Calculateur!X120*VLOOKUP('Données projet'!$B$9,Paramètres!$A$1:$I$89,3,0)*0.475*44/12</f>
        <v>0</v>
      </c>
      <c r="AB120" s="21">
        <f>EXP(-LN(2)/2)*AB119+(1-EXP(-LN(2)/2))/(LN(2)/2)*V120*Y120*VLOOKUP('Données projet'!$B$9,Paramètres!$A$1:$I$89,3,0)*0.475*44/12</f>
        <v>0</v>
      </c>
      <c r="AC120" s="22">
        <f t="shared" si="57"/>
        <v>1.4942168721375069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319</v>
      </c>
      <c r="AJ120" s="13">
        <f>AI120*VLOOKUP('Données projet'!$B$10,Paramètres!$A$1:$I$89,3,0)*VLOOKUP('Données projet'!$B$10,Paramètres!$A$1:$I$89,5,0)</f>
        <v>209.00879999999998</v>
      </c>
      <c r="AK120" s="13">
        <f t="shared" si="89"/>
        <v>51.718923953824202</v>
      </c>
      <c r="AL120" s="20">
        <f t="shared" si="58"/>
        <v>454.10078588624373</v>
      </c>
      <c r="AM120" s="59">
        <f t="shared" si="59"/>
        <v>747.43411921957704</v>
      </c>
      <c r="AN120" s="59">
        <f ca="1">AVERAGE(OFFSET($AM$3,0,0,'Données projet'!$E$10+1,1))-AVERAGE(OFFSET($H$3,0,0,'Données projet'!$E$10+1,1))</f>
        <v>244.66788784685366</v>
      </c>
      <c r="AO120" s="59">
        <f t="shared" si="90"/>
        <v>252.04429018409274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17.072308725362717</v>
      </c>
      <c r="AV120" s="21">
        <f>EXP(-LN(2)/25)*AV119+(1-EXP(-LN(2)/25))/(LN(2)/25)*Calculateur!AQ120*Calculateur!AS120*VLOOKUP('Données projet'!$B$10,Paramètres!$A$1:$I$89,3,0)*0.475*44/12</f>
        <v>0</v>
      </c>
      <c r="AW120" s="21">
        <f>EXP(-LN(2)/2)*AW119+(1-EXP(-LN(2)/2))/(LN(2)/2)*AQ120*AT120*VLOOKUP('Données projet'!$B$10,Paramètres!$A$1:$I$89,3,0)*0.475*44/12</f>
        <v>0</v>
      </c>
      <c r="AX120" s="21">
        <f t="shared" si="60"/>
        <v>17.072308725362717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243.99999999999989</v>
      </c>
      <c r="BE120" s="13">
        <f>BD120*VLOOKUP('Données projet'!$B$11,Paramètres!$A$1:$I$89,3,0)*VLOOKUP('Données projet'!$B$11,Paramètres!$A$1:$I$89,5,0)</f>
        <v>232.19039999999987</v>
      </c>
      <c r="BF120" s="13">
        <f t="shared" si="91"/>
        <v>56.756035639094556</v>
      </c>
      <c r="BG120" s="20">
        <f t="shared" si="61"/>
        <v>503.24837540475619</v>
      </c>
      <c r="BH120" s="59">
        <f t="shared" si="62"/>
        <v>796.58170873808945</v>
      </c>
      <c r="BI120" s="59">
        <f ca="1">AVERAGE(OFFSET($BH$3,0,0,'Données projet'!$E$11+1,1))-AVERAGE(OFFSET($H$3,0,0,'Données projet'!$E$11+1,1))</f>
        <v>373.51596132356536</v>
      </c>
      <c r="BJ120" s="59">
        <f t="shared" si="92"/>
        <v>417.00150517020114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74.379377488535084</v>
      </c>
      <c r="BQ120" s="21">
        <f>EXP(-LN(2)/25)*BQ119+(1-EXP(-LN(2)/25))/(LN(2)/25)*Calculateur!BL120*Calculateur!BN120*VLOOKUP('Données projet'!$B$11,Paramètres!$A$1:$I$89,3,0)*0.475*44/12</f>
        <v>0</v>
      </c>
      <c r="BR120" s="21">
        <f>EXP(-LN(2)/2)*BR119+(1-EXP(-LN(2)/2))/(LN(2)/2)*BL120*BO120*VLOOKUP('Données projet'!$B$11,Paramètres!$A$1:$I$89,3,0)*0.475*44/12</f>
        <v>0</v>
      </c>
      <c r="BS120" s="22">
        <f t="shared" si="63"/>
        <v>74.379377488535084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267</v>
      </c>
      <c r="BZ120" s="13">
        <f>BY120*VLOOKUP('Données projet'!$B$12,Paramètres!$A$1:$I$89,3,0)*VLOOKUP('Données projet'!$B$12,Paramètres!$A$1:$I$89,5,0)</f>
        <v>241.58159999999998</v>
      </c>
      <c r="CA120" s="13">
        <f t="shared" si="93"/>
        <v>58.779689232021951</v>
      </c>
      <c r="CB120" s="20">
        <f t="shared" si="64"/>
        <v>523.12924541243819</v>
      </c>
      <c r="CC120" s="59">
        <f t="shared" si="65"/>
        <v>816.46257874577145</v>
      </c>
      <c r="CD120" s="59">
        <f ca="1">AVERAGE(OFFSET($CC$3,0,0,'Données projet'!$E$12+1,1))-AVERAGE(OFFSET($H$3,0,0,'Données projet'!$E$12+1,1))</f>
        <v>289.19622253646992</v>
      </c>
      <c r="CE120" s="59">
        <f t="shared" si="94"/>
        <v>191.23827338431175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>
        <f>EXP(-LN(2)/35)*CK119+(1-EXP(-LN(2)/35))/(LN(2)/35)*CG120*CH120*VLOOKUP('Données projet'!$B$12,Paramètres!$A$1:$I$89,3,0)*0.475*44/12</f>
        <v>72.651109944985294</v>
      </c>
      <c r="CL120" s="21">
        <f>EXP(-LN(2)/25)*CL119+(1-EXP(-LN(2)/25))/(LN(2)/25)*Calculateur!CG120*Calculateur!CI120*VLOOKUP('Données projet'!$B$12,Paramètres!$A$1:$I$89,3,0)*0.475*44/12</f>
        <v>0</v>
      </c>
      <c r="CM120" s="21">
        <f>EXP(-LN(2)/2)*CM119+(1-EXP(-LN(2)/2))/(LN(2)/2)*CG120*CJ120*VLOOKUP('Données projet'!$B$12,Paramètres!$A$1:$I$89,3,0)*0.475*44/12</f>
        <v>0</v>
      </c>
      <c r="CN120" s="22">
        <f t="shared" si="66"/>
        <v>72.651109944985294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3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68.109599999999944</v>
      </c>
      <c r="D121" s="11">
        <f t="shared" si="86"/>
        <v>19.203259247816082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673.99400121121141</v>
      </c>
      <c r="H121" s="67">
        <f t="shared" si="56"/>
        <v>408.73656318994625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304.99999999999983</v>
      </c>
      <c r="O121" s="13">
        <f>N121*VLOOKUP('Données projet'!$B$9,Paramètres!$A$1:$I$89,3,0)*VLOOKUP('Données projet'!$B$9,Paramètres!$A$1:$I$89,5,0)</f>
        <v>275.96399999999983</v>
      </c>
      <c r="P121" s="13">
        <f t="shared" si="87"/>
        <v>66.113366665488854</v>
      </c>
      <c r="Q121" s="20">
        <f t="shared" si="107"/>
        <v>595.78474694239264</v>
      </c>
      <c r="R121" s="59">
        <f t="shared" si="55"/>
        <v>889.11808027572602</v>
      </c>
      <c r="S121" s="59">
        <f ca="1">AVERAGE(OFFSET($R$3,0,0,'Données projet'!$E$9+1,1))-AVERAGE(OFFSET($H$3,0,0,'Données projet'!$E$9+1,1))</f>
        <v>336.59194805061094</v>
      </c>
      <c r="T121" s="59">
        <f t="shared" si="88"/>
        <v>473.66884161123909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1.4649161906571908</v>
      </c>
      <c r="AA121" s="21">
        <f>EXP(-LN(2)/25)*AA120+(1-EXP(-LN(2)/25))/(LN(2)/25)*Calculateur!V121*Calculateur!X121*VLOOKUP('Données projet'!$B$9,Paramètres!$A$1:$I$89,3,0)*0.475*44/12</f>
        <v>0</v>
      </c>
      <c r="AB121" s="21">
        <f>EXP(-LN(2)/2)*AB120+(1-EXP(-LN(2)/2))/(LN(2)/2)*V121*Y121*VLOOKUP('Données projet'!$B$9,Paramètres!$A$1:$I$89,3,0)*0.475*44/12</f>
        <v>0</v>
      </c>
      <c r="AC121" s="22">
        <f t="shared" si="57"/>
        <v>1.4649161906571908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319</v>
      </c>
      <c r="AJ121" s="13">
        <f>AI121*VLOOKUP('Données projet'!$B$10,Paramètres!$A$1:$I$89,3,0)*VLOOKUP('Données projet'!$B$10,Paramètres!$A$1:$I$89,5,0)</f>
        <v>209.00879999999998</v>
      </c>
      <c r="AK121" s="13">
        <f t="shared" si="89"/>
        <v>51.718923953824202</v>
      </c>
      <c r="AL121" s="20">
        <f t="shared" si="58"/>
        <v>454.10078588624373</v>
      </c>
      <c r="AM121" s="59">
        <f t="shared" si="59"/>
        <v>747.43411921957704</v>
      </c>
      <c r="AN121" s="59">
        <f ca="1">AVERAGE(OFFSET($AM$3,0,0,'Données projet'!$E$10+1,1))-AVERAGE(OFFSET($H$3,0,0,'Données projet'!$E$10+1,1))</f>
        <v>244.66788784685366</v>
      </c>
      <c r="AO121" s="59">
        <f t="shared" si="90"/>
        <v>252.04429018409274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16.737531164338471</v>
      </c>
      <c r="AV121" s="21">
        <f>EXP(-LN(2)/25)*AV120+(1-EXP(-LN(2)/25))/(LN(2)/25)*Calculateur!AQ121*Calculateur!AS121*VLOOKUP('Données projet'!$B$10,Paramètres!$A$1:$I$89,3,0)*0.475*44/12</f>
        <v>0</v>
      </c>
      <c r="AW121" s="21">
        <f>EXP(-LN(2)/2)*AW120+(1-EXP(-LN(2)/2))/(LN(2)/2)*AQ121*AT121*VLOOKUP('Données projet'!$B$10,Paramètres!$A$1:$I$89,3,0)*0.475*44/12</f>
        <v>0</v>
      </c>
      <c r="AX121" s="21">
        <f t="shared" si="60"/>
        <v>16.737531164338471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243.99999999999989</v>
      </c>
      <c r="BE121" s="13">
        <f>BD121*VLOOKUP('Données projet'!$B$11,Paramètres!$A$1:$I$89,3,0)*VLOOKUP('Données projet'!$B$11,Paramètres!$A$1:$I$89,5,0)</f>
        <v>232.19039999999987</v>
      </c>
      <c r="BF121" s="13">
        <f t="shared" si="91"/>
        <v>56.756035639094556</v>
      </c>
      <c r="BG121" s="20">
        <f t="shared" si="61"/>
        <v>503.24837540475619</v>
      </c>
      <c r="BH121" s="59">
        <f t="shared" si="62"/>
        <v>796.58170873808945</v>
      </c>
      <c r="BI121" s="59">
        <f ca="1">AVERAGE(OFFSET($BH$3,0,0,'Données projet'!$E$11+1,1))-AVERAGE(OFFSET($H$3,0,0,'Données projet'!$E$11+1,1))</f>
        <v>373.51596132356536</v>
      </c>
      <c r="BJ121" s="59">
        <f t="shared" si="92"/>
        <v>417.00150517020114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72.920843262925573</v>
      </c>
      <c r="BQ121" s="21">
        <f>EXP(-LN(2)/25)*BQ120+(1-EXP(-LN(2)/25))/(LN(2)/25)*Calculateur!BL121*Calculateur!BN121*VLOOKUP('Données projet'!$B$11,Paramètres!$A$1:$I$89,3,0)*0.475*44/12</f>
        <v>0</v>
      </c>
      <c r="BR121" s="21">
        <f>EXP(-LN(2)/2)*BR120+(1-EXP(-LN(2)/2))/(LN(2)/2)*BL121*BO121*VLOOKUP('Données projet'!$B$11,Paramètres!$A$1:$I$89,3,0)*0.475*44/12</f>
        <v>0</v>
      </c>
      <c r="BS121" s="22">
        <f t="shared" si="63"/>
        <v>72.920843262925573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267</v>
      </c>
      <c r="BZ121" s="13">
        <f>BY121*VLOOKUP('Données projet'!$B$12,Paramètres!$A$1:$I$89,3,0)*VLOOKUP('Données projet'!$B$12,Paramètres!$A$1:$I$89,5,0)</f>
        <v>241.58159999999998</v>
      </c>
      <c r="CA121" s="13">
        <f t="shared" si="93"/>
        <v>58.779689232021951</v>
      </c>
      <c r="CB121" s="20">
        <f t="shared" si="64"/>
        <v>523.12924541243819</v>
      </c>
      <c r="CC121" s="59">
        <f t="shared" si="65"/>
        <v>816.46257874577145</v>
      </c>
      <c r="CD121" s="59">
        <f ca="1">AVERAGE(OFFSET($CC$3,0,0,'Données projet'!$E$12+1,1))-AVERAGE(OFFSET($H$3,0,0,'Données projet'!$E$12+1,1))</f>
        <v>289.19622253646992</v>
      </c>
      <c r="CE121" s="59">
        <f t="shared" si="94"/>
        <v>191.23827338431175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>
        <f>EXP(-LN(2)/35)*CK120+(1-EXP(-LN(2)/35))/(LN(2)/35)*CG121*CH121*VLOOKUP('Données projet'!$B$12,Paramètres!$A$1:$I$89,3,0)*0.475*44/12</f>
        <v>71.226465991765679</v>
      </c>
      <c r="CL121" s="21">
        <f>EXP(-LN(2)/25)*CL120+(1-EXP(-LN(2)/25))/(LN(2)/25)*Calculateur!CG121*Calculateur!CI121*VLOOKUP('Données projet'!$B$12,Paramètres!$A$1:$I$89,3,0)*0.475*44/12</f>
        <v>0</v>
      </c>
      <c r="CM121" s="21">
        <f>EXP(-LN(2)/2)*CM120+(1-EXP(-LN(2)/2))/(LN(2)/2)*CG121*CJ121*VLOOKUP('Données projet'!$B$12,Paramètres!$A$1:$I$89,3,0)*0.475*44/12</f>
        <v>0</v>
      </c>
      <c r="CN121" s="22">
        <f t="shared" si="66"/>
        <v>71.226465991765679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3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68.686799999999948</v>
      </c>
      <c r="D122" s="11">
        <f t="shared" si="86"/>
        <v>19.346985156154776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679.55904331066802</v>
      </c>
      <c r="H122" s="67">
        <f t="shared" si="56"/>
        <v>409.99217581363609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304.99999999999983</v>
      </c>
      <c r="O122" s="13">
        <f>N122*VLOOKUP('Données projet'!$B$9,Paramètres!$A$1:$I$89,3,0)*VLOOKUP('Données projet'!$B$9,Paramètres!$A$1:$I$89,5,0)</f>
        <v>275.96399999999983</v>
      </c>
      <c r="P122" s="13">
        <f t="shared" si="87"/>
        <v>66.113366665488854</v>
      </c>
      <c r="Q122" s="20">
        <f t="shared" si="107"/>
        <v>595.78474694239264</v>
      </c>
      <c r="R122" s="59">
        <f t="shared" si="55"/>
        <v>889.11808027572602</v>
      </c>
      <c r="S122" s="59">
        <f ca="1">AVERAGE(OFFSET($R$3,0,0,'Données projet'!$E$9+1,1))-AVERAGE(OFFSET($H$3,0,0,'Données projet'!$E$9+1,1))</f>
        <v>336.59194805061094</v>
      </c>
      <c r="T122" s="59">
        <f t="shared" si="88"/>
        <v>473.66884161123909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1.4361900776690528</v>
      </c>
      <c r="AA122" s="21">
        <f>EXP(-LN(2)/25)*AA121+(1-EXP(-LN(2)/25))/(LN(2)/25)*Calculateur!V122*Calculateur!X122*VLOOKUP('Données projet'!$B$9,Paramètres!$A$1:$I$89,3,0)*0.475*44/12</f>
        <v>0</v>
      </c>
      <c r="AB122" s="21">
        <f>EXP(-LN(2)/2)*AB121+(1-EXP(-LN(2)/2))/(LN(2)/2)*V122*Y122*VLOOKUP('Données projet'!$B$9,Paramètres!$A$1:$I$89,3,0)*0.475*44/12</f>
        <v>0</v>
      </c>
      <c r="AC122" s="22">
        <f t="shared" si="57"/>
        <v>1.4361900776690528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319</v>
      </c>
      <c r="AJ122" s="13">
        <f>AI122*VLOOKUP('Données projet'!$B$10,Paramètres!$A$1:$I$89,3,0)*VLOOKUP('Données projet'!$B$10,Paramètres!$A$1:$I$89,5,0)</f>
        <v>209.00879999999998</v>
      </c>
      <c r="AK122" s="13">
        <f t="shared" si="89"/>
        <v>51.718923953824202</v>
      </c>
      <c r="AL122" s="20">
        <f t="shared" si="58"/>
        <v>454.10078588624373</v>
      </c>
      <c r="AM122" s="59">
        <f t="shared" si="59"/>
        <v>747.43411921957704</v>
      </c>
      <c r="AN122" s="59">
        <f ca="1">AVERAGE(OFFSET($AM$3,0,0,'Données projet'!$E$10+1,1))-AVERAGE(OFFSET($H$3,0,0,'Données projet'!$E$10+1,1))</f>
        <v>244.66788784685366</v>
      </c>
      <c r="AO122" s="59">
        <f t="shared" si="90"/>
        <v>252.04429018409274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16.409318387091758</v>
      </c>
      <c r="AV122" s="21">
        <f>EXP(-LN(2)/25)*AV121+(1-EXP(-LN(2)/25))/(LN(2)/25)*Calculateur!AQ122*Calculateur!AS122*VLOOKUP('Données projet'!$B$10,Paramètres!$A$1:$I$89,3,0)*0.475*44/12</f>
        <v>0</v>
      </c>
      <c r="AW122" s="21">
        <f>EXP(-LN(2)/2)*AW121+(1-EXP(-LN(2)/2))/(LN(2)/2)*AQ122*AT122*VLOOKUP('Données projet'!$B$10,Paramètres!$A$1:$I$89,3,0)*0.475*44/12</f>
        <v>0</v>
      </c>
      <c r="AX122" s="21">
        <f t="shared" si="60"/>
        <v>16.409318387091758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243.99999999999989</v>
      </c>
      <c r="BE122" s="13">
        <f>BD122*VLOOKUP('Données projet'!$B$11,Paramètres!$A$1:$I$89,3,0)*VLOOKUP('Données projet'!$B$11,Paramètres!$A$1:$I$89,5,0)</f>
        <v>232.19039999999987</v>
      </c>
      <c r="BF122" s="13">
        <f t="shared" si="91"/>
        <v>56.756035639094556</v>
      </c>
      <c r="BG122" s="20">
        <f t="shared" si="61"/>
        <v>503.24837540475619</v>
      </c>
      <c r="BH122" s="59">
        <f t="shared" si="62"/>
        <v>796.58170873808945</v>
      </c>
      <c r="BI122" s="59">
        <f ca="1">AVERAGE(OFFSET($BH$3,0,0,'Données projet'!$E$11+1,1))-AVERAGE(OFFSET($H$3,0,0,'Données projet'!$E$11+1,1))</f>
        <v>373.51596132356536</v>
      </c>
      <c r="BJ122" s="59">
        <f t="shared" si="92"/>
        <v>417.00150517020114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71.490910003862226</v>
      </c>
      <c r="BQ122" s="21">
        <f>EXP(-LN(2)/25)*BQ121+(1-EXP(-LN(2)/25))/(LN(2)/25)*Calculateur!BL122*Calculateur!BN122*VLOOKUP('Données projet'!$B$11,Paramètres!$A$1:$I$89,3,0)*0.475*44/12</f>
        <v>0</v>
      </c>
      <c r="BR122" s="21">
        <f>EXP(-LN(2)/2)*BR121+(1-EXP(-LN(2)/2))/(LN(2)/2)*BL122*BO122*VLOOKUP('Données projet'!$B$11,Paramètres!$A$1:$I$89,3,0)*0.475*44/12</f>
        <v>0</v>
      </c>
      <c r="BS122" s="22">
        <f t="shared" si="63"/>
        <v>71.490910003862226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267</v>
      </c>
      <c r="BZ122" s="13">
        <f>BY122*VLOOKUP('Données projet'!$B$12,Paramètres!$A$1:$I$89,3,0)*VLOOKUP('Données projet'!$B$12,Paramètres!$A$1:$I$89,5,0)</f>
        <v>241.58159999999998</v>
      </c>
      <c r="CA122" s="13">
        <f t="shared" si="93"/>
        <v>58.779689232021951</v>
      </c>
      <c r="CB122" s="20">
        <f t="shared" si="64"/>
        <v>523.12924541243819</v>
      </c>
      <c r="CC122" s="59">
        <f t="shared" si="65"/>
        <v>816.46257874577145</v>
      </c>
      <c r="CD122" s="59">
        <f ca="1">AVERAGE(OFFSET($CC$3,0,0,'Données projet'!$E$12+1,1))-AVERAGE(OFFSET($H$3,0,0,'Données projet'!$E$12+1,1))</f>
        <v>289.19622253646992</v>
      </c>
      <c r="CE122" s="59">
        <f t="shared" si="94"/>
        <v>191.23827338431175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>
        <f>EXP(-LN(2)/35)*CK121+(1-EXP(-LN(2)/35))/(LN(2)/35)*CG122*CH122*VLOOKUP('Données projet'!$B$12,Paramètres!$A$1:$I$89,3,0)*0.475*44/12</f>
        <v>69.82975843752169</v>
      </c>
      <c r="CL122" s="21">
        <f>EXP(-LN(2)/25)*CL121+(1-EXP(-LN(2)/25))/(LN(2)/25)*Calculateur!CG122*Calculateur!CI122*VLOOKUP('Données projet'!$B$12,Paramètres!$A$1:$I$89,3,0)*0.475*44/12</f>
        <v>0</v>
      </c>
      <c r="CM122" s="21">
        <f>EXP(-LN(2)/2)*CM121+(1-EXP(-LN(2)/2))/(LN(2)/2)*CG122*CJ122*VLOOKUP('Données projet'!$B$12,Paramètres!$A$1:$I$89,3,0)*0.475*44/12</f>
        <v>0</v>
      </c>
      <c r="CN122" s="22">
        <f t="shared" si="66"/>
        <v>69.82975843752169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3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69.263999999999953</v>
      </c>
      <c r="D123" s="11">
        <f t="shared" si="86"/>
        <v>19.490570545800438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685.12300070442404</v>
      </c>
      <c r="H123" s="67">
        <f t="shared" si="56"/>
        <v>411.24754370060236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304.99999999999983</v>
      </c>
      <c r="O123" s="13">
        <f>N123*VLOOKUP('Données projet'!$B$9,Paramètres!$A$1:$I$89,3,0)*VLOOKUP('Données projet'!$B$9,Paramètres!$A$1:$I$89,5,0)</f>
        <v>275.96399999999983</v>
      </c>
      <c r="P123" s="13">
        <f t="shared" si="87"/>
        <v>66.113366665488854</v>
      </c>
      <c r="Q123" s="20">
        <f t="shared" si="107"/>
        <v>595.78474694239264</v>
      </c>
      <c r="R123" s="59">
        <f t="shared" si="55"/>
        <v>889.11808027572602</v>
      </c>
      <c r="S123" s="59">
        <f ca="1">AVERAGE(OFFSET($R$3,0,0,'Données projet'!$E$9+1,1))-AVERAGE(OFFSET($H$3,0,0,'Données projet'!$E$9+1,1))</f>
        <v>336.59194805061094</v>
      </c>
      <c r="T123" s="59">
        <f t="shared" si="88"/>
        <v>473.66884161123909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1.4080272662354134</v>
      </c>
      <c r="AA123" s="21">
        <f>EXP(-LN(2)/25)*AA122+(1-EXP(-LN(2)/25))/(LN(2)/25)*Calculateur!V123*Calculateur!X123*VLOOKUP('Données projet'!$B$9,Paramètres!$A$1:$I$89,3,0)*0.475*44/12</f>
        <v>0</v>
      </c>
      <c r="AB123" s="21">
        <f>EXP(-LN(2)/2)*AB122+(1-EXP(-LN(2)/2))/(LN(2)/2)*V123*Y123*VLOOKUP('Données projet'!$B$9,Paramètres!$A$1:$I$89,3,0)*0.475*44/12</f>
        <v>0</v>
      </c>
      <c r="AC123" s="22">
        <f t="shared" si="57"/>
        <v>1.4080272662354134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319</v>
      </c>
      <c r="AJ123" s="13">
        <f>AI123*VLOOKUP('Données projet'!$B$10,Paramètres!$A$1:$I$89,3,0)*VLOOKUP('Données projet'!$B$10,Paramètres!$A$1:$I$89,5,0)</f>
        <v>209.00879999999998</v>
      </c>
      <c r="AK123" s="13">
        <f t="shared" si="89"/>
        <v>51.718923953824202</v>
      </c>
      <c r="AL123" s="20">
        <f t="shared" si="58"/>
        <v>454.10078588624373</v>
      </c>
      <c r="AM123" s="59">
        <f t="shared" si="59"/>
        <v>747.43411921957704</v>
      </c>
      <c r="AN123" s="59">
        <f ca="1">AVERAGE(OFFSET($AM$3,0,0,'Données projet'!$E$10+1,1))-AVERAGE(OFFSET($H$3,0,0,'Données projet'!$E$10+1,1))</f>
        <v>244.66788784685366</v>
      </c>
      <c r="AO123" s="59">
        <f t="shared" si="90"/>
        <v>252.04429018409274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16.087541662216829</v>
      </c>
      <c r="AV123" s="21">
        <f>EXP(-LN(2)/25)*AV122+(1-EXP(-LN(2)/25))/(LN(2)/25)*Calculateur!AQ123*Calculateur!AS123*VLOOKUP('Données projet'!$B$10,Paramètres!$A$1:$I$89,3,0)*0.475*44/12</f>
        <v>0</v>
      </c>
      <c r="AW123" s="21">
        <f>EXP(-LN(2)/2)*AW122+(1-EXP(-LN(2)/2))/(LN(2)/2)*AQ123*AT123*VLOOKUP('Données projet'!$B$10,Paramètres!$A$1:$I$89,3,0)*0.475*44/12</f>
        <v>0</v>
      </c>
      <c r="AX123" s="21">
        <f t="shared" si="60"/>
        <v>16.087541662216829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243.99999999999989</v>
      </c>
      <c r="BE123" s="13">
        <f>BD123*VLOOKUP('Données projet'!$B$11,Paramètres!$A$1:$I$89,3,0)*VLOOKUP('Données projet'!$B$11,Paramètres!$A$1:$I$89,5,0)</f>
        <v>232.19039999999987</v>
      </c>
      <c r="BF123" s="13">
        <f t="shared" si="91"/>
        <v>56.756035639094556</v>
      </c>
      <c r="BG123" s="20">
        <f t="shared" si="61"/>
        <v>503.24837540475619</v>
      </c>
      <c r="BH123" s="59">
        <f t="shared" si="62"/>
        <v>796.58170873808945</v>
      </c>
      <c r="BI123" s="59">
        <f ca="1">AVERAGE(OFFSET($BH$3,0,0,'Données projet'!$E$11+1,1))-AVERAGE(OFFSET($H$3,0,0,'Données projet'!$E$11+1,1))</f>
        <v>373.51596132356536</v>
      </c>
      <c r="BJ123" s="59">
        <f t="shared" si="92"/>
        <v>417.00150517020114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70.089016863835937</v>
      </c>
      <c r="BQ123" s="21">
        <f>EXP(-LN(2)/25)*BQ122+(1-EXP(-LN(2)/25))/(LN(2)/25)*Calculateur!BL123*Calculateur!BN123*VLOOKUP('Données projet'!$B$11,Paramètres!$A$1:$I$89,3,0)*0.475*44/12</f>
        <v>0</v>
      </c>
      <c r="BR123" s="21">
        <f>EXP(-LN(2)/2)*BR122+(1-EXP(-LN(2)/2))/(LN(2)/2)*BL123*BO123*VLOOKUP('Données projet'!$B$11,Paramètres!$A$1:$I$89,3,0)*0.475*44/12</f>
        <v>0</v>
      </c>
      <c r="BS123" s="22">
        <f t="shared" si="63"/>
        <v>70.089016863835937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267</v>
      </c>
      <c r="BZ123" s="13">
        <f>BY123*VLOOKUP('Données projet'!$B$12,Paramètres!$A$1:$I$89,3,0)*VLOOKUP('Données projet'!$B$12,Paramètres!$A$1:$I$89,5,0)</f>
        <v>241.58159999999998</v>
      </c>
      <c r="CA123" s="13">
        <f t="shared" si="93"/>
        <v>58.779689232021951</v>
      </c>
      <c r="CB123" s="20">
        <f t="shared" si="64"/>
        <v>523.12924541243819</v>
      </c>
      <c r="CC123" s="59">
        <f t="shared" si="65"/>
        <v>816.46257874577145</v>
      </c>
      <c r="CD123" s="59">
        <f ca="1">AVERAGE(OFFSET($CC$3,0,0,'Données projet'!$E$12+1,1))-AVERAGE(OFFSET($H$3,0,0,'Données projet'!$E$12+1,1))</f>
        <v>289.19622253646992</v>
      </c>
      <c r="CE123" s="59">
        <f t="shared" si="94"/>
        <v>191.23827338431175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>
        <f>EXP(-LN(2)/35)*CK122+(1-EXP(-LN(2)/35))/(LN(2)/35)*CG123*CH123*VLOOKUP('Données projet'!$B$12,Paramètres!$A$1:$I$89,3,0)*0.475*44/12</f>
        <v>68.46043946650893</v>
      </c>
      <c r="CL123" s="21">
        <f>EXP(-LN(2)/25)*CL122+(1-EXP(-LN(2)/25))/(LN(2)/25)*Calculateur!CG123*Calculateur!CI123*VLOOKUP('Données projet'!$B$12,Paramètres!$A$1:$I$89,3,0)*0.475*44/12</f>
        <v>0</v>
      </c>
      <c r="CM123" s="21">
        <f>EXP(-LN(2)/2)*CM122+(1-EXP(-LN(2)/2))/(LN(2)/2)*CG123*CJ123*VLOOKUP('Données projet'!$B$12,Paramètres!$A$1:$I$89,3,0)*0.475*44/12</f>
        <v>0</v>
      </c>
      <c r="CN123" s="22">
        <f t="shared" si="66"/>
        <v>68.46043946650893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3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69.841199999999958</v>
      </c>
      <c r="D124" s="11">
        <f t="shared" si="86"/>
        <v>19.634016723441825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690.68588347919967</v>
      </c>
      <c r="H124" s="67">
        <f t="shared" si="56"/>
        <v>412.50266912666109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304.99999999999983</v>
      </c>
      <c r="O124" s="13">
        <f>N124*VLOOKUP('Données projet'!$B$9,Paramètres!$A$1:$I$89,3,0)*VLOOKUP('Données projet'!$B$9,Paramètres!$A$1:$I$89,5,0)</f>
        <v>275.96399999999983</v>
      </c>
      <c r="P124" s="13">
        <f t="shared" si="87"/>
        <v>66.113366665488854</v>
      </c>
      <c r="Q124" s="20">
        <f t="shared" si="107"/>
        <v>595.78474694239264</v>
      </c>
      <c r="R124" s="59">
        <f t="shared" si="55"/>
        <v>889.11808027572602</v>
      </c>
      <c r="S124" s="59">
        <f ca="1">AVERAGE(OFFSET($R$3,0,0,'Données projet'!$E$9+1,1))-AVERAGE(OFFSET($H$3,0,0,'Données projet'!$E$9+1,1))</f>
        <v>336.59194805061094</v>
      </c>
      <c r="T124" s="59">
        <f t="shared" si="88"/>
        <v>473.66884161123909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1.3804167103563687</v>
      </c>
      <c r="AA124" s="21">
        <f>EXP(-LN(2)/25)*AA123+(1-EXP(-LN(2)/25))/(LN(2)/25)*Calculateur!V124*Calculateur!X124*VLOOKUP('Données projet'!$B$9,Paramètres!$A$1:$I$89,3,0)*0.475*44/12</f>
        <v>0</v>
      </c>
      <c r="AB124" s="21">
        <f>EXP(-LN(2)/2)*AB123+(1-EXP(-LN(2)/2))/(LN(2)/2)*V124*Y124*VLOOKUP('Données projet'!$B$9,Paramètres!$A$1:$I$89,3,0)*0.475*44/12</f>
        <v>0</v>
      </c>
      <c r="AC124" s="22">
        <f t="shared" si="57"/>
        <v>1.3804167103563687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319</v>
      </c>
      <c r="AJ124" s="13">
        <f>AI124*VLOOKUP('Données projet'!$B$10,Paramètres!$A$1:$I$89,3,0)*VLOOKUP('Données projet'!$B$10,Paramètres!$A$1:$I$89,5,0)</f>
        <v>209.00879999999998</v>
      </c>
      <c r="AK124" s="13">
        <f t="shared" si="89"/>
        <v>51.718923953824202</v>
      </c>
      <c r="AL124" s="20">
        <f t="shared" si="58"/>
        <v>454.10078588624373</v>
      </c>
      <c r="AM124" s="59">
        <f t="shared" si="59"/>
        <v>747.43411921957704</v>
      </c>
      <c r="AN124" s="59">
        <f ca="1">AVERAGE(OFFSET($AM$3,0,0,'Données projet'!$E$10+1,1))-AVERAGE(OFFSET($H$3,0,0,'Données projet'!$E$10+1,1))</f>
        <v>244.66788784685366</v>
      </c>
      <c r="AO124" s="59">
        <f t="shared" si="90"/>
        <v>252.04429018409274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15.772074782652274</v>
      </c>
      <c r="AV124" s="21">
        <f>EXP(-LN(2)/25)*AV123+(1-EXP(-LN(2)/25))/(LN(2)/25)*Calculateur!AQ124*Calculateur!AS124*VLOOKUP('Données projet'!$B$10,Paramètres!$A$1:$I$89,3,0)*0.475*44/12</f>
        <v>0</v>
      </c>
      <c r="AW124" s="21">
        <f>EXP(-LN(2)/2)*AW123+(1-EXP(-LN(2)/2))/(LN(2)/2)*AQ124*AT124*VLOOKUP('Données projet'!$B$10,Paramètres!$A$1:$I$89,3,0)*0.475*44/12</f>
        <v>0</v>
      </c>
      <c r="AX124" s="21">
        <f t="shared" si="60"/>
        <v>15.772074782652274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243.99999999999989</v>
      </c>
      <c r="BE124" s="13">
        <f>BD124*VLOOKUP('Données projet'!$B$11,Paramètres!$A$1:$I$89,3,0)*VLOOKUP('Données projet'!$B$11,Paramètres!$A$1:$I$89,5,0)</f>
        <v>232.19039999999987</v>
      </c>
      <c r="BF124" s="13">
        <f t="shared" si="91"/>
        <v>56.756035639094556</v>
      </c>
      <c r="BG124" s="20">
        <f t="shared" si="61"/>
        <v>503.24837540475619</v>
      </c>
      <c r="BH124" s="59">
        <f t="shared" si="62"/>
        <v>796.58170873808945</v>
      </c>
      <c r="BI124" s="59">
        <f ca="1">AVERAGE(OFFSET($BH$3,0,0,'Données projet'!$E$11+1,1))-AVERAGE(OFFSET($H$3,0,0,'Données projet'!$E$11+1,1))</f>
        <v>373.51596132356536</v>
      </c>
      <c r="BJ124" s="59">
        <f t="shared" si="92"/>
        <v>417.00150517020114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68.714613993215181</v>
      </c>
      <c r="BQ124" s="21">
        <f>EXP(-LN(2)/25)*BQ123+(1-EXP(-LN(2)/25))/(LN(2)/25)*Calculateur!BL124*Calculateur!BN124*VLOOKUP('Données projet'!$B$11,Paramètres!$A$1:$I$89,3,0)*0.475*44/12</f>
        <v>0</v>
      </c>
      <c r="BR124" s="21">
        <f>EXP(-LN(2)/2)*BR123+(1-EXP(-LN(2)/2))/(LN(2)/2)*BL124*BO124*VLOOKUP('Données projet'!$B$11,Paramètres!$A$1:$I$89,3,0)*0.475*44/12</f>
        <v>0</v>
      </c>
      <c r="BS124" s="22">
        <f t="shared" si="63"/>
        <v>68.714613993215181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267</v>
      </c>
      <c r="BZ124" s="13">
        <f>BY124*VLOOKUP('Données projet'!$B$12,Paramètres!$A$1:$I$89,3,0)*VLOOKUP('Données projet'!$B$12,Paramètres!$A$1:$I$89,5,0)</f>
        <v>241.58159999999998</v>
      </c>
      <c r="CA124" s="13">
        <f t="shared" si="93"/>
        <v>58.779689232021951</v>
      </c>
      <c r="CB124" s="20">
        <f t="shared" si="64"/>
        <v>523.12924541243819</v>
      </c>
      <c r="CC124" s="59">
        <f t="shared" si="65"/>
        <v>816.46257874577145</v>
      </c>
      <c r="CD124" s="59">
        <f ca="1">AVERAGE(OFFSET($CC$3,0,0,'Données projet'!$E$12+1,1))-AVERAGE(OFFSET($H$3,0,0,'Données projet'!$E$12+1,1))</f>
        <v>289.19622253646992</v>
      </c>
      <c r="CE124" s="59">
        <f t="shared" si="94"/>
        <v>191.23827338431175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>
        <f>EXP(-LN(2)/35)*CK123+(1-EXP(-LN(2)/35))/(LN(2)/35)*CG124*CH124*VLOOKUP('Données projet'!$B$12,Paramètres!$A$1:$I$89,3,0)*0.475*44/12</f>
        <v>67.117972005315622</v>
      </c>
      <c r="CL124" s="21">
        <f>EXP(-LN(2)/25)*CL123+(1-EXP(-LN(2)/25))/(LN(2)/25)*Calculateur!CG124*Calculateur!CI124*VLOOKUP('Données projet'!$B$12,Paramètres!$A$1:$I$89,3,0)*0.475*44/12</f>
        <v>0</v>
      </c>
      <c r="CM124" s="21">
        <f>EXP(-LN(2)/2)*CM123+(1-EXP(-LN(2)/2))/(LN(2)/2)*CG124*CJ124*VLOOKUP('Données projet'!$B$12,Paramètres!$A$1:$I$89,3,0)*0.475*44/12</f>
        <v>0</v>
      </c>
      <c r="CN124" s="22">
        <f t="shared" si="66"/>
        <v>67.117972005315622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3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70.418399999999963</v>
      </c>
      <c r="D125" s="11">
        <f t="shared" si="86"/>
        <v>19.777324972922738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696.24770154536827</v>
      </c>
      <c r="H125" s="67">
        <f t="shared" si="56"/>
        <v>413.75755432784035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304.99999999999983</v>
      </c>
      <c r="O125" s="13">
        <f>N125*VLOOKUP('Données projet'!$B$9,Paramètres!$A$1:$I$89,3,0)*VLOOKUP('Données projet'!$B$9,Paramètres!$A$1:$I$89,5,0)</f>
        <v>275.96399999999983</v>
      </c>
      <c r="P125" s="13">
        <f t="shared" si="87"/>
        <v>66.113366665488854</v>
      </c>
      <c r="Q125" s="20">
        <f t="shared" si="107"/>
        <v>595.78474694239264</v>
      </c>
      <c r="R125" s="59">
        <f t="shared" si="55"/>
        <v>889.11808027572602</v>
      </c>
      <c r="S125" s="59">
        <f ca="1">AVERAGE(OFFSET($R$3,0,0,'Données projet'!$E$9+1,1))-AVERAGE(OFFSET($H$3,0,0,'Données projet'!$E$9+1,1))</f>
        <v>336.59194805061094</v>
      </c>
      <c r="T125" s="59">
        <f t="shared" si="88"/>
        <v>473.66884161123909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1.3533475806373358</v>
      </c>
      <c r="AA125" s="21">
        <f>EXP(-LN(2)/25)*AA124+(1-EXP(-LN(2)/25))/(LN(2)/25)*Calculateur!V125*Calculateur!X125*VLOOKUP('Données projet'!$B$9,Paramètres!$A$1:$I$89,3,0)*0.475*44/12</f>
        <v>0</v>
      </c>
      <c r="AB125" s="21">
        <f>EXP(-LN(2)/2)*AB124+(1-EXP(-LN(2)/2))/(LN(2)/2)*V125*Y125*VLOOKUP('Données projet'!$B$9,Paramètres!$A$1:$I$89,3,0)*0.475*44/12</f>
        <v>0</v>
      </c>
      <c r="AC125" s="22">
        <f t="shared" si="57"/>
        <v>1.3533475806373358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319</v>
      </c>
      <c r="AJ125" s="13">
        <f>AI125*VLOOKUP('Données projet'!$B$10,Paramètres!$A$1:$I$89,3,0)*VLOOKUP('Données projet'!$B$10,Paramètres!$A$1:$I$89,5,0)</f>
        <v>209.00879999999998</v>
      </c>
      <c r="AK125" s="13">
        <f t="shared" si="89"/>
        <v>51.718923953824202</v>
      </c>
      <c r="AL125" s="20">
        <f t="shared" si="58"/>
        <v>454.10078588624373</v>
      </c>
      <c r="AM125" s="59">
        <f t="shared" si="59"/>
        <v>747.43411921957704</v>
      </c>
      <c r="AN125" s="59">
        <f ca="1">AVERAGE(OFFSET($AM$3,0,0,'Données projet'!$E$10+1,1))-AVERAGE(OFFSET($H$3,0,0,'Données projet'!$E$10+1,1))</f>
        <v>244.66788784685366</v>
      </c>
      <c r="AO125" s="59">
        <f t="shared" si="90"/>
        <v>252.04429018409274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15.462794016180183</v>
      </c>
      <c r="AV125" s="21">
        <f>EXP(-LN(2)/25)*AV124+(1-EXP(-LN(2)/25))/(LN(2)/25)*Calculateur!AQ125*Calculateur!AS125*VLOOKUP('Données projet'!$B$10,Paramètres!$A$1:$I$89,3,0)*0.475*44/12</f>
        <v>0</v>
      </c>
      <c r="AW125" s="21">
        <f>EXP(-LN(2)/2)*AW124+(1-EXP(-LN(2)/2))/(LN(2)/2)*AQ125*AT125*VLOOKUP('Données projet'!$B$10,Paramètres!$A$1:$I$89,3,0)*0.475*44/12</f>
        <v>0</v>
      </c>
      <c r="AX125" s="21">
        <f t="shared" si="60"/>
        <v>15.462794016180183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243.99999999999989</v>
      </c>
      <c r="BE125" s="13">
        <f>BD125*VLOOKUP('Données projet'!$B$11,Paramètres!$A$1:$I$89,3,0)*VLOOKUP('Données projet'!$B$11,Paramètres!$A$1:$I$89,5,0)</f>
        <v>232.19039999999987</v>
      </c>
      <c r="BF125" s="13">
        <f t="shared" si="91"/>
        <v>56.756035639094556</v>
      </c>
      <c r="BG125" s="20">
        <f t="shared" si="61"/>
        <v>503.24837540475619</v>
      </c>
      <c r="BH125" s="59">
        <f t="shared" si="62"/>
        <v>796.58170873808945</v>
      </c>
      <c r="BI125" s="59">
        <f ca="1">AVERAGE(OFFSET($BH$3,0,0,'Données projet'!$E$11+1,1))-AVERAGE(OFFSET($H$3,0,0,'Données projet'!$E$11+1,1))</f>
        <v>373.51596132356536</v>
      </c>
      <c r="BJ125" s="59">
        <f t="shared" si="92"/>
        <v>417.00150517020114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67.367162324584328</v>
      </c>
      <c r="BQ125" s="21">
        <f>EXP(-LN(2)/25)*BQ124+(1-EXP(-LN(2)/25))/(LN(2)/25)*Calculateur!BL125*Calculateur!BN125*VLOOKUP('Données projet'!$B$11,Paramètres!$A$1:$I$89,3,0)*0.475*44/12</f>
        <v>0</v>
      </c>
      <c r="BR125" s="21">
        <f>EXP(-LN(2)/2)*BR124+(1-EXP(-LN(2)/2))/(LN(2)/2)*BL125*BO125*VLOOKUP('Données projet'!$B$11,Paramètres!$A$1:$I$89,3,0)*0.475*44/12</f>
        <v>0</v>
      </c>
      <c r="BS125" s="22">
        <f t="shared" si="63"/>
        <v>67.367162324584328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267</v>
      </c>
      <c r="BZ125" s="13">
        <f>BY125*VLOOKUP('Données projet'!$B$12,Paramètres!$A$1:$I$89,3,0)*VLOOKUP('Données projet'!$B$12,Paramètres!$A$1:$I$89,5,0)</f>
        <v>241.58159999999998</v>
      </c>
      <c r="CA125" s="13">
        <f t="shared" si="93"/>
        <v>58.779689232021951</v>
      </c>
      <c r="CB125" s="20">
        <f t="shared" si="64"/>
        <v>523.12924541243819</v>
      </c>
      <c r="CC125" s="59">
        <f t="shared" si="65"/>
        <v>816.46257874577145</v>
      </c>
      <c r="CD125" s="59">
        <f ca="1">AVERAGE(OFFSET($CC$3,0,0,'Données projet'!$E$12+1,1))-AVERAGE(OFFSET($H$3,0,0,'Données projet'!$E$12+1,1))</f>
        <v>289.19622253646992</v>
      </c>
      <c r="CE125" s="59">
        <f t="shared" si="94"/>
        <v>191.23827338431175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>
        <f>EXP(-LN(2)/35)*CK124+(1-EXP(-LN(2)/35))/(LN(2)/35)*CG125*CH125*VLOOKUP('Données projet'!$B$12,Paramètres!$A$1:$I$89,3,0)*0.475*44/12</f>
        <v>65.801829512212024</v>
      </c>
      <c r="CL125" s="21">
        <f>EXP(-LN(2)/25)*CL124+(1-EXP(-LN(2)/25))/(LN(2)/25)*Calculateur!CG125*Calculateur!CI125*VLOOKUP('Données projet'!$B$12,Paramètres!$A$1:$I$89,3,0)*0.475*44/12</f>
        <v>0</v>
      </c>
      <c r="CM125" s="21">
        <f>EXP(-LN(2)/2)*CM124+(1-EXP(-LN(2)/2))/(LN(2)/2)*CG125*CJ125*VLOOKUP('Données projet'!$B$12,Paramètres!$A$1:$I$89,3,0)*0.475*44/12</f>
        <v>0</v>
      </c>
      <c r="CN125" s="22">
        <f t="shared" si="66"/>
        <v>65.801829512212024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3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70.995599999999968</v>
      </c>
      <c r="D126" s="11">
        <f t="shared" si="86"/>
        <v>19.92049655582537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701.80846464145873</v>
      </c>
      <c r="H126" s="67">
        <f t="shared" si="56"/>
        <v>415.01220150139579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304.99999999999983</v>
      </c>
      <c r="O126" s="13">
        <f>N126*VLOOKUP('Données projet'!$B$9,Paramètres!$A$1:$I$89,3,0)*VLOOKUP('Données projet'!$B$9,Paramètres!$A$1:$I$89,5,0)</f>
        <v>275.96399999999983</v>
      </c>
      <c r="P126" s="13">
        <f t="shared" si="87"/>
        <v>66.113366665488854</v>
      </c>
      <c r="Q126" s="20">
        <f t="shared" si="107"/>
        <v>595.78474694239264</v>
      </c>
      <c r="R126" s="59">
        <f t="shared" si="55"/>
        <v>889.11808027572602</v>
      </c>
      <c r="S126" s="59">
        <f ca="1">AVERAGE(OFFSET($R$3,0,0,'Données projet'!$E$9+1,1))-AVERAGE(OFFSET($H$3,0,0,'Données projet'!$E$9+1,1))</f>
        <v>336.59194805061094</v>
      </c>
      <c r="T126" s="59">
        <f t="shared" si="88"/>
        <v>473.66884161123909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1.3268092600415544</v>
      </c>
      <c r="AA126" s="21">
        <f>EXP(-LN(2)/25)*AA125+(1-EXP(-LN(2)/25))/(LN(2)/25)*Calculateur!V126*Calculateur!X126*VLOOKUP('Données projet'!$B$9,Paramètres!$A$1:$I$89,3,0)*0.475*44/12</f>
        <v>0</v>
      </c>
      <c r="AB126" s="21">
        <f>EXP(-LN(2)/2)*AB125+(1-EXP(-LN(2)/2))/(LN(2)/2)*V126*Y126*VLOOKUP('Données projet'!$B$9,Paramètres!$A$1:$I$89,3,0)*0.475*44/12</f>
        <v>0</v>
      </c>
      <c r="AC126" s="22">
        <f t="shared" si="57"/>
        <v>1.3268092600415544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319</v>
      </c>
      <c r="AJ126" s="13">
        <f>AI126*VLOOKUP('Données projet'!$B$10,Paramètres!$A$1:$I$89,3,0)*VLOOKUP('Données projet'!$B$10,Paramètres!$A$1:$I$89,5,0)</f>
        <v>209.00879999999998</v>
      </c>
      <c r="AK126" s="13">
        <f t="shared" si="89"/>
        <v>51.718923953824202</v>
      </c>
      <c r="AL126" s="20">
        <f t="shared" si="58"/>
        <v>454.10078588624373</v>
      </c>
      <c r="AM126" s="59">
        <f t="shared" si="59"/>
        <v>747.43411921957704</v>
      </c>
      <c r="AN126" s="59">
        <f ca="1">AVERAGE(OFFSET($AM$3,0,0,'Données projet'!$E$10+1,1))-AVERAGE(OFFSET($H$3,0,0,'Données projet'!$E$10+1,1))</f>
        <v>244.66788784685366</v>
      </c>
      <c r="AO126" s="59">
        <f t="shared" si="90"/>
        <v>252.04429018409274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15.159578056895969</v>
      </c>
      <c r="AV126" s="21">
        <f>EXP(-LN(2)/25)*AV125+(1-EXP(-LN(2)/25))/(LN(2)/25)*Calculateur!AQ126*Calculateur!AS126*VLOOKUP('Données projet'!$B$10,Paramètres!$A$1:$I$89,3,0)*0.475*44/12</f>
        <v>0</v>
      </c>
      <c r="AW126" s="21">
        <f>EXP(-LN(2)/2)*AW125+(1-EXP(-LN(2)/2))/(LN(2)/2)*AQ126*AT126*VLOOKUP('Données projet'!$B$10,Paramètres!$A$1:$I$89,3,0)*0.475*44/12</f>
        <v>0</v>
      </c>
      <c r="AX126" s="21">
        <f t="shared" si="60"/>
        <v>15.159578056895969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243.99999999999989</v>
      </c>
      <c r="BE126" s="13">
        <f>BD126*VLOOKUP('Données projet'!$B$11,Paramètres!$A$1:$I$89,3,0)*VLOOKUP('Données projet'!$B$11,Paramètres!$A$1:$I$89,5,0)</f>
        <v>232.19039999999987</v>
      </c>
      <c r="BF126" s="13">
        <f t="shared" si="91"/>
        <v>56.756035639094556</v>
      </c>
      <c r="BG126" s="20">
        <f t="shared" si="61"/>
        <v>503.24837540475619</v>
      </c>
      <c r="BH126" s="59">
        <f t="shared" si="62"/>
        <v>796.58170873808945</v>
      </c>
      <c r="BI126" s="59">
        <f ca="1">AVERAGE(OFFSET($BH$3,0,0,'Données projet'!$E$11+1,1))-AVERAGE(OFFSET($H$3,0,0,'Données projet'!$E$11+1,1))</f>
        <v>373.51596132356536</v>
      </c>
      <c r="BJ126" s="59">
        <f t="shared" si="92"/>
        <v>417.00150517020114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66.04613336131095</v>
      </c>
      <c r="BQ126" s="21">
        <f>EXP(-LN(2)/25)*BQ125+(1-EXP(-LN(2)/25))/(LN(2)/25)*Calculateur!BL126*Calculateur!BN126*VLOOKUP('Données projet'!$B$11,Paramètres!$A$1:$I$89,3,0)*0.475*44/12</f>
        <v>0</v>
      </c>
      <c r="BR126" s="21">
        <f>EXP(-LN(2)/2)*BR125+(1-EXP(-LN(2)/2))/(LN(2)/2)*BL126*BO126*VLOOKUP('Données projet'!$B$11,Paramètres!$A$1:$I$89,3,0)*0.475*44/12</f>
        <v>0</v>
      </c>
      <c r="BS126" s="22">
        <f t="shared" si="63"/>
        <v>66.04613336131095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267</v>
      </c>
      <c r="BZ126" s="13">
        <f>BY126*VLOOKUP('Données projet'!$B$12,Paramètres!$A$1:$I$89,3,0)*VLOOKUP('Données projet'!$B$12,Paramètres!$A$1:$I$89,5,0)</f>
        <v>241.58159999999998</v>
      </c>
      <c r="CA126" s="13">
        <f t="shared" si="93"/>
        <v>58.779689232021951</v>
      </c>
      <c r="CB126" s="20">
        <f t="shared" si="64"/>
        <v>523.12924541243819</v>
      </c>
      <c r="CC126" s="59">
        <f t="shared" si="65"/>
        <v>816.46257874577145</v>
      </c>
      <c r="CD126" s="59">
        <f ca="1">AVERAGE(OFFSET($CC$3,0,0,'Données projet'!$E$12+1,1))-AVERAGE(OFFSET($H$3,0,0,'Données projet'!$E$12+1,1))</f>
        <v>289.19622253646992</v>
      </c>
      <c r="CE126" s="59">
        <f t="shared" si="94"/>
        <v>191.23827338431175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>
        <f>EXP(-LN(2)/35)*CK125+(1-EXP(-LN(2)/35))/(LN(2)/35)*CG126*CH126*VLOOKUP('Données projet'!$B$12,Paramètres!$A$1:$I$89,3,0)*0.475*44/12</f>
        <v>64.511495770630532</v>
      </c>
      <c r="CL126" s="21">
        <f>EXP(-LN(2)/25)*CL125+(1-EXP(-LN(2)/25))/(LN(2)/25)*Calculateur!CG126*Calculateur!CI126*VLOOKUP('Données projet'!$B$12,Paramètres!$A$1:$I$89,3,0)*0.475*44/12</f>
        <v>0</v>
      </c>
      <c r="CM126" s="21">
        <f>EXP(-LN(2)/2)*CM125+(1-EXP(-LN(2)/2))/(LN(2)/2)*CG126*CJ126*VLOOKUP('Données projet'!$B$12,Paramètres!$A$1:$I$89,3,0)*0.475*44/12</f>
        <v>0</v>
      </c>
      <c r="CN126" s="22">
        <f t="shared" si="66"/>
        <v>64.511495770630532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3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71.572799999999972</v>
      </c>
      <c r="D127" s="11">
        <f t="shared" si="86"/>
        <v>20.063532712034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707.36818233850784</v>
      </c>
      <c r="H127" s="67">
        <f t="shared" si="56"/>
        <v>416.26661280679252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304.99999999999983</v>
      </c>
      <c r="O127" s="13">
        <f>N127*VLOOKUP('Données projet'!$B$9,Paramètres!$A$1:$I$89,3,0)*VLOOKUP('Données projet'!$B$9,Paramètres!$A$1:$I$89,5,0)</f>
        <v>275.96399999999983</v>
      </c>
      <c r="P127" s="13">
        <f t="shared" si="87"/>
        <v>66.113366665488854</v>
      </c>
      <c r="Q127" s="20">
        <f t="shared" si="107"/>
        <v>595.78474694239264</v>
      </c>
      <c r="R127" s="59">
        <f t="shared" si="55"/>
        <v>889.11808027572602</v>
      </c>
      <c r="S127" s="59">
        <f ca="1">AVERAGE(OFFSET($R$3,0,0,'Données projet'!$E$9+1,1))-AVERAGE(OFFSET($H$3,0,0,'Données projet'!$E$9+1,1))</f>
        <v>336.59194805061094</v>
      </c>
      <c r="T127" s="59">
        <f t="shared" si="88"/>
        <v>473.66884161123909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1.300791339725879</v>
      </c>
      <c r="AA127" s="21">
        <f>EXP(-LN(2)/25)*AA126+(1-EXP(-LN(2)/25))/(LN(2)/25)*Calculateur!V127*Calculateur!X127*VLOOKUP('Données projet'!$B$9,Paramètres!$A$1:$I$89,3,0)*0.475*44/12</f>
        <v>0</v>
      </c>
      <c r="AB127" s="21">
        <f>EXP(-LN(2)/2)*AB126+(1-EXP(-LN(2)/2))/(LN(2)/2)*V127*Y127*VLOOKUP('Données projet'!$B$9,Paramètres!$A$1:$I$89,3,0)*0.475*44/12</f>
        <v>0</v>
      </c>
      <c r="AC127" s="22">
        <f t="shared" si="57"/>
        <v>1.300791339725879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319</v>
      </c>
      <c r="AJ127" s="13">
        <f>AI127*VLOOKUP('Données projet'!$B$10,Paramètres!$A$1:$I$89,3,0)*VLOOKUP('Données projet'!$B$10,Paramètres!$A$1:$I$89,5,0)</f>
        <v>209.00879999999998</v>
      </c>
      <c r="AK127" s="13">
        <f t="shared" si="89"/>
        <v>51.718923953824202</v>
      </c>
      <c r="AL127" s="20">
        <f t="shared" si="58"/>
        <v>454.10078588624373</v>
      </c>
      <c r="AM127" s="59">
        <f t="shared" si="59"/>
        <v>747.43411921957704</v>
      </c>
      <c r="AN127" s="59">
        <f ca="1">AVERAGE(OFFSET($AM$3,0,0,'Données projet'!$E$10+1,1))-AVERAGE(OFFSET($H$3,0,0,'Données projet'!$E$10+1,1))</f>
        <v>244.66788784685366</v>
      </c>
      <c r="AO127" s="59">
        <f t="shared" si="90"/>
        <v>252.04429018409274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14.862307977629845</v>
      </c>
      <c r="AV127" s="21">
        <f>EXP(-LN(2)/25)*AV126+(1-EXP(-LN(2)/25))/(LN(2)/25)*Calculateur!AQ127*Calculateur!AS127*VLOOKUP('Données projet'!$B$10,Paramètres!$A$1:$I$89,3,0)*0.475*44/12</f>
        <v>0</v>
      </c>
      <c r="AW127" s="21">
        <f>EXP(-LN(2)/2)*AW126+(1-EXP(-LN(2)/2))/(LN(2)/2)*AQ127*AT127*VLOOKUP('Données projet'!$B$10,Paramètres!$A$1:$I$89,3,0)*0.475*44/12</f>
        <v>0</v>
      </c>
      <c r="AX127" s="21">
        <f t="shared" si="60"/>
        <v>14.862307977629845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243.99999999999989</v>
      </c>
      <c r="BE127" s="13">
        <f>BD127*VLOOKUP('Données projet'!$B$11,Paramètres!$A$1:$I$89,3,0)*VLOOKUP('Données projet'!$B$11,Paramètres!$A$1:$I$89,5,0)</f>
        <v>232.19039999999987</v>
      </c>
      <c r="BF127" s="13">
        <f t="shared" si="91"/>
        <v>56.756035639094556</v>
      </c>
      <c r="BG127" s="20">
        <f t="shared" si="61"/>
        <v>503.24837540475619</v>
      </c>
      <c r="BH127" s="59">
        <f t="shared" si="62"/>
        <v>796.58170873808945</v>
      </c>
      <c r="BI127" s="59">
        <f ca="1">AVERAGE(OFFSET($BH$3,0,0,'Données projet'!$E$11+1,1))-AVERAGE(OFFSET($H$3,0,0,'Données projet'!$E$11+1,1))</f>
        <v>373.51596132356536</v>
      </c>
      <c r="BJ127" s="59">
        <f t="shared" si="92"/>
        <v>417.00150517020114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64.751008970259264</v>
      </c>
      <c r="BQ127" s="21">
        <f>EXP(-LN(2)/25)*BQ126+(1-EXP(-LN(2)/25))/(LN(2)/25)*Calculateur!BL127*Calculateur!BN127*VLOOKUP('Données projet'!$B$11,Paramètres!$A$1:$I$89,3,0)*0.475*44/12</f>
        <v>0</v>
      </c>
      <c r="BR127" s="21">
        <f>EXP(-LN(2)/2)*BR126+(1-EXP(-LN(2)/2))/(LN(2)/2)*BL127*BO127*VLOOKUP('Données projet'!$B$11,Paramètres!$A$1:$I$89,3,0)*0.475*44/12</f>
        <v>0</v>
      </c>
      <c r="BS127" s="22">
        <f t="shared" si="63"/>
        <v>64.751008970259264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267</v>
      </c>
      <c r="BZ127" s="13">
        <f>BY127*VLOOKUP('Données projet'!$B$12,Paramètres!$A$1:$I$89,3,0)*VLOOKUP('Données projet'!$B$12,Paramètres!$A$1:$I$89,5,0)</f>
        <v>241.58159999999998</v>
      </c>
      <c r="CA127" s="13">
        <f t="shared" si="93"/>
        <v>58.779689232021951</v>
      </c>
      <c r="CB127" s="20">
        <f t="shared" si="64"/>
        <v>523.12924541243819</v>
      </c>
      <c r="CC127" s="59">
        <f t="shared" si="65"/>
        <v>816.46257874577145</v>
      </c>
      <c r="CD127" s="59">
        <f ca="1">AVERAGE(OFFSET($CC$3,0,0,'Données projet'!$E$12+1,1))-AVERAGE(OFFSET($H$3,0,0,'Données projet'!$E$12+1,1))</f>
        <v>289.19622253646992</v>
      </c>
      <c r="CE127" s="59">
        <f t="shared" si="94"/>
        <v>191.23827338431175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>
        <f>EXP(-LN(2)/35)*CK126+(1-EXP(-LN(2)/35))/(LN(2)/35)*CG127*CH127*VLOOKUP('Données projet'!$B$12,Paramètres!$A$1:$I$89,3,0)*0.475*44/12</f>
        <v>63.246464686695582</v>
      </c>
      <c r="CL127" s="21">
        <f>EXP(-LN(2)/25)*CL126+(1-EXP(-LN(2)/25))/(LN(2)/25)*Calculateur!CG127*Calculateur!CI127*VLOOKUP('Données projet'!$B$12,Paramètres!$A$1:$I$89,3,0)*0.475*44/12</f>
        <v>0</v>
      </c>
      <c r="CM127" s="21">
        <f>EXP(-LN(2)/2)*CM126+(1-EXP(-LN(2)/2))/(LN(2)/2)*CG127*CJ127*VLOOKUP('Données projet'!$B$12,Paramètres!$A$1:$I$89,3,0)*0.475*44/12</f>
        <v>0</v>
      </c>
      <c r="CN127" s="22">
        <f t="shared" si="66"/>
        <v>63.246464686695582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3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72.149999999999977</v>
      </c>
      <c r="D128" s="11">
        <f t="shared" si="86"/>
        <v>20.206434660280163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712.92686404426775</v>
      </c>
      <c r="H128" s="67">
        <f t="shared" si="56"/>
        <v>417.52079036665464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304.99999999999983</v>
      </c>
      <c r="O128" s="13">
        <f>N128*VLOOKUP('Données projet'!$B$9,Paramètres!$A$1:$I$89,3,0)*VLOOKUP('Données projet'!$B$9,Paramètres!$A$1:$I$89,5,0)</f>
        <v>275.96399999999983</v>
      </c>
      <c r="P128" s="13">
        <f t="shared" si="87"/>
        <v>66.113366665488854</v>
      </c>
      <c r="Q128" s="20">
        <f t="shared" si="107"/>
        <v>595.78474694239264</v>
      </c>
      <c r="R128" s="59">
        <f t="shared" si="55"/>
        <v>889.11808027572602</v>
      </c>
      <c r="S128" s="59">
        <f ca="1">AVERAGE(OFFSET($R$3,0,0,'Données projet'!$E$9+1,1))-AVERAGE(OFFSET($H$3,0,0,'Données projet'!$E$9+1,1))</f>
        <v>336.59194805061094</v>
      </c>
      <c r="T128" s="59">
        <f t="shared" si="88"/>
        <v>473.66884161123909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1.2752836149582296</v>
      </c>
      <c r="AA128" s="21">
        <f>EXP(-LN(2)/25)*AA127+(1-EXP(-LN(2)/25))/(LN(2)/25)*Calculateur!V128*Calculateur!X128*VLOOKUP('Données projet'!$B$9,Paramètres!$A$1:$I$89,3,0)*0.475*44/12</f>
        <v>0</v>
      </c>
      <c r="AB128" s="21">
        <f>EXP(-LN(2)/2)*AB127+(1-EXP(-LN(2)/2))/(LN(2)/2)*V128*Y128*VLOOKUP('Données projet'!$B$9,Paramètres!$A$1:$I$89,3,0)*0.475*44/12</f>
        <v>0</v>
      </c>
      <c r="AC128" s="22">
        <f t="shared" si="57"/>
        <v>1.2752836149582296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319</v>
      </c>
      <c r="AJ128" s="13">
        <f>AI128*VLOOKUP('Données projet'!$B$10,Paramètres!$A$1:$I$89,3,0)*VLOOKUP('Données projet'!$B$10,Paramètres!$A$1:$I$89,5,0)</f>
        <v>209.00879999999998</v>
      </c>
      <c r="AK128" s="13">
        <f t="shared" si="89"/>
        <v>51.718923953824202</v>
      </c>
      <c r="AL128" s="20">
        <f t="shared" si="58"/>
        <v>454.10078588624373</v>
      </c>
      <c r="AM128" s="59">
        <f t="shared" si="59"/>
        <v>747.43411921957704</v>
      </c>
      <c r="AN128" s="59">
        <f ca="1">AVERAGE(OFFSET($AM$3,0,0,'Données projet'!$E$10+1,1))-AVERAGE(OFFSET($H$3,0,0,'Données projet'!$E$10+1,1))</f>
        <v>244.66788784685366</v>
      </c>
      <c r="AO128" s="59">
        <f t="shared" si="90"/>
        <v>252.04429018409274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14.570867183301285</v>
      </c>
      <c r="AV128" s="21">
        <f>EXP(-LN(2)/25)*AV127+(1-EXP(-LN(2)/25))/(LN(2)/25)*Calculateur!AQ128*Calculateur!AS128*VLOOKUP('Données projet'!$B$10,Paramètres!$A$1:$I$89,3,0)*0.475*44/12</f>
        <v>0</v>
      </c>
      <c r="AW128" s="21">
        <f>EXP(-LN(2)/2)*AW127+(1-EXP(-LN(2)/2))/(LN(2)/2)*AQ128*AT128*VLOOKUP('Données projet'!$B$10,Paramètres!$A$1:$I$89,3,0)*0.475*44/12</f>
        <v>0</v>
      </c>
      <c r="AX128" s="21">
        <f t="shared" si="60"/>
        <v>14.570867183301285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243.99999999999989</v>
      </c>
      <c r="BE128" s="13">
        <f>BD128*VLOOKUP('Données projet'!$B$11,Paramètres!$A$1:$I$89,3,0)*VLOOKUP('Données projet'!$B$11,Paramètres!$A$1:$I$89,5,0)</f>
        <v>232.19039999999987</v>
      </c>
      <c r="BF128" s="13">
        <f t="shared" si="91"/>
        <v>56.756035639094556</v>
      </c>
      <c r="BG128" s="20">
        <f t="shared" si="61"/>
        <v>503.24837540475619</v>
      </c>
      <c r="BH128" s="59">
        <f t="shared" si="62"/>
        <v>796.58170873808945</v>
      </c>
      <c r="BI128" s="59">
        <f ca="1">AVERAGE(OFFSET($BH$3,0,0,'Données projet'!$E$11+1,1))-AVERAGE(OFFSET($H$3,0,0,'Données projet'!$E$11+1,1))</f>
        <v>373.51596132356536</v>
      </c>
      <c r="BJ128" s="59">
        <f t="shared" si="92"/>
        <v>417.00150517020114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63.481281178568224</v>
      </c>
      <c r="BQ128" s="21">
        <f>EXP(-LN(2)/25)*BQ127+(1-EXP(-LN(2)/25))/(LN(2)/25)*Calculateur!BL128*Calculateur!BN128*VLOOKUP('Données projet'!$B$11,Paramètres!$A$1:$I$89,3,0)*0.475*44/12</f>
        <v>0</v>
      </c>
      <c r="BR128" s="21">
        <f>EXP(-LN(2)/2)*BR127+(1-EXP(-LN(2)/2))/(LN(2)/2)*BL128*BO128*VLOOKUP('Données projet'!$B$11,Paramètres!$A$1:$I$89,3,0)*0.475*44/12</f>
        <v>0</v>
      </c>
      <c r="BS128" s="22">
        <f t="shared" si="63"/>
        <v>63.481281178568224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267</v>
      </c>
      <c r="BZ128" s="13">
        <f>BY128*VLOOKUP('Données projet'!$B$12,Paramètres!$A$1:$I$89,3,0)*VLOOKUP('Données projet'!$B$12,Paramètres!$A$1:$I$89,5,0)</f>
        <v>241.58159999999998</v>
      </c>
      <c r="CA128" s="13">
        <f t="shared" si="93"/>
        <v>58.779689232021951</v>
      </c>
      <c r="CB128" s="20">
        <f t="shared" si="64"/>
        <v>523.12924541243819</v>
      </c>
      <c r="CC128" s="59">
        <f t="shared" si="65"/>
        <v>816.46257874577145</v>
      </c>
      <c r="CD128" s="59">
        <f ca="1">AVERAGE(OFFSET($CC$3,0,0,'Données projet'!$E$12+1,1))-AVERAGE(OFFSET($H$3,0,0,'Données projet'!$E$12+1,1))</f>
        <v>289.19622253646992</v>
      </c>
      <c r="CE128" s="59">
        <f t="shared" si="94"/>
        <v>191.23827338431175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>
        <f>EXP(-LN(2)/35)*CK127+(1-EXP(-LN(2)/35))/(LN(2)/35)*CG128*CH128*VLOOKUP('Données projet'!$B$12,Paramètres!$A$1:$I$89,3,0)*0.475*44/12</f>
        <v>62.006240090723821</v>
      </c>
      <c r="CL128" s="21">
        <f>EXP(-LN(2)/25)*CL127+(1-EXP(-LN(2)/25))/(LN(2)/25)*Calculateur!CG128*Calculateur!CI128*VLOOKUP('Données projet'!$B$12,Paramètres!$A$1:$I$89,3,0)*0.475*44/12</f>
        <v>0</v>
      </c>
      <c r="CM128" s="21">
        <f>EXP(-LN(2)/2)*CM127+(1-EXP(-LN(2)/2))/(LN(2)/2)*CG128*CJ128*VLOOKUP('Données projet'!$B$12,Paramètres!$A$1:$I$89,3,0)*0.475*44/12</f>
        <v>0</v>
      </c>
      <c r="CN128" s="22">
        <f t="shared" si="66"/>
        <v>62.006240090723821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3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72.727199999999982</v>
      </c>
      <c r="D129" s="11">
        <f t="shared" si="86"/>
        <v>20.349203598669749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718.48451900727514</v>
      </c>
      <c r="H129" s="67">
        <f t="shared" si="56"/>
        <v>418.77473626768312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304.99999999999983</v>
      </c>
      <c r="O129" s="13">
        <f>N129*VLOOKUP('Données projet'!$B$9,Paramètres!$A$1:$I$89,3,0)*VLOOKUP('Données projet'!$B$9,Paramètres!$A$1:$I$89,5,0)</f>
        <v>275.96399999999983</v>
      </c>
      <c r="P129" s="13">
        <f t="shared" si="87"/>
        <v>66.113366665488854</v>
      </c>
      <c r="Q129" s="20">
        <f t="shared" si="107"/>
        <v>595.78474694239264</v>
      </c>
      <c r="R129" s="59">
        <f t="shared" si="55"/>
        <v>889.11808027572602</v>
      </c>
      <c r="S129" s="59">
        <f ca="1">AVERAGE(OFFSET($R$3,0,0,'Données projet'!$E$9+1,1))-AVERAGE(OFFSET($H$3,0,0,'Données projet'!$E$9+1,1))</f>
        <v>336.59194805061094</v>
      </c>
      <c r="T129" s="59">
        <f t="shared" si="88"/>
        <v>473.66884161123909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1.2502760811150979</v>
      </c>
      <c r="AA129" s="21">
        <f>EXP(-LN(2)/25)*AA128+(1-EXP(-LN(2)/25))/(LN(2)/25)*Calculateur!V129*Calculateur!X129*VLOOKUP('Données projet'!$B$9,Paramètres!$A$1:$I$89,3,0)*0.475*44/12</f>
        <v>0</v>
      </c>
      <c r="AB129" s="21">
        <f>EXP(-LN(2)/2)*AB128+(1-EXP(-LN(2)/2))/(LN(2)/2)*V129*Y129*VLOOKUP('Données projet'!$B$9,Paramètres!$A$1:$I$89,3,0)*0.475*44/12</f>
        <v>0</v>
      </c>
      <c r="AC129" s="22">
        <f t="shared" si="57"/>
        <v>1.2502760811150979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319</v>
      </c>
      <c r="AJ129" s="13">
        <f>AI129*VLOOKUP('Données projet'!$B$10,Paramètres!$A$1:$I$89,3,0)*VLOOKUP('Données projet'!$B$10,Paramètres!$A$1:$I$89,5,0)</f>
        <v>209.00879999999998</v>
      </c>
      <c r="AK129" s="13">
        <f t="shared" si="89"/>
        <v>51.718923953824202</v>
      </c>
      <c r="AL129" s="20">
        <f t="shared" si="58"/>
        <v>454.10078588624373</v>
      </c>
      <c r="AM129" s="59">
        <f t="shared" si="59"/>
        <v>747.43411921957704</v>
      </c>
      <c r="AN129" s="59">
        <f ca="1">AVERAGE(OFFSET($AM$3,0,0,'Données projet'!$E$10+1,1))-AVERAGE(OFFSET($H$3,0,0,'Données projet'!$E$10+1,1))</f>
        <v>244.66788784685366</v>
      </c>
      <c r="AO129" s="59">
        <f t="shared" si="90"/>
        <v>252.04429018409274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14.285141365188176</v>
      </c>
      <c r="AV129" s="21">
        <f>EXP(-LN(2)/25)*AV128+(1-EXP(-LN(2)/25))/(LN(2)/25)*Calculateur!AQ129*Calculateur!AS129*VLOOKUP('Données projet'!$B$10,Paramètres!$A$1:$I$89,3,0)*0.475*44/12</f>
        <v>0</v>
      </c>
      <c r="AW129" s="21">
        <f>EXP(-LN(2)/2)*AW128+(1-EXP(-LN(2)/2))/(LN(2)/2)*AQ129*AT129*VLOOKUP('Données projet'!$B$10,Paramètres!$A$1:$I$89,3,0)*0.475*44/12</f>
        <v>0</v>
      </c>
      <c r="AX129" s="21">
        <f t="shared" si="60"/>
        <v>14.285141365188176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243.99999999999989</v>
      </c>
      <c r="BE129" s="13">
        <f>BD129*VLOOKUP('Données projet'!$B$11,Paramètres!$A$1:$I$89,3,0)*VLOOKUP('Données projet'!$B$11,Paramètres!$A$1:$I$89,5,0)</f>
        <v>232.19039999999987</v>
      </c>
      <c r="BF129" s="13">
        <f t="shared" si="91"/>
        <v>56.756035639094556</v>
      </c>
      <c r="BG129" s="20">
        <f t="shared" si="61"/>
        <v>503.24837540475619</v>
      </c>
      <c r="BH129" s="59">
        <f t="shared" si="62"/>
        <v>796.58170873808945</v>
      </c>
      <c r="BI129" s="59">
        <f ca="1">AVERAGE(OFFSET($BH$3,0,0,'Données projet'!$E$11+1,1))-AVERAGE(OFFSET($H$3,0,0,'Données projet'!$E$11+1,1))</f>
        <v>373.51596132356536</v>
      </c>
      <c r="BJ129" s="59">
        <f t="shared" si="92"/>
        <v>417.00150517020114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62.236451974414763</v>
      </c>
      <c r="BQ129" s="21">
        <f>EXP(-LN(2)/25)*BQ128+(1-EXP(-LN(2)/25))/(LN(2)/25)*Calculateur!BL129*Calculateur!BN129*VLOOKUP('Données projet'!$B$11,Paramètres!$A$1:$I$89,3,0)*0.475*44/12</f>
        <v>0</v>
      </c>
      <c r="BR129" s="21">
        <f>EXP(-LN(2)/2)*BR128+(1-EXP(-LN(2)/2))/(LN(2)/2)*BL129*BO129*VLOOKUP('Données projet'!$B$11,Paramètres!$A$1:$I$89,3,0)*0.475*44/12</f>
        <v>0</v>
      </c>
      <c r="BS129" s="22">
        <f t="shared" si="63"/>
        <v>62.236451974414763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267</v>
      </c>
      <c r="BZ129" s="13">
        <f>BY129*VLOOKUP('Données projet'!$B$12,Paramètres!$A$1:$I$89,3,0)*VLOOKUP('Données projet'!$B$12,Paramètres!$A$1:$I$89,5,0)</f>
        <v>241.58159999999998</v>
      </c>
      <c r="CA129" s="13">
        <f t="shared" si="93"/>
        <v>58.779689232021951</v>
      </c>
      <c r="CB129" s="20">
        <f t="shared" si="64"/>
        <v>523.12924541243819</v>
      </c>
      <c r="CC129" s="59">
        <f t="shared" si="65"/>
        <v>816.46257874577145</v>
      </c>
      <c r="CD129" s="59">
        <f ca="1">AVERAGE(OFFSET($CC$3,0,0,'Données projet'!$E$12+1,1))-AVERAGE(OFFSET($H$3,0,0,'Données projet'!$E$12+1,1))</f>
        <v>289.19622253646992</v>
      </c>
      <c r="CE129" s="59">
        <f t="shared" si="94"/>
        <v>191.23827338431175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>
        <f>EXP(-LN(2)/35)*CK128+(1-EXP(-LN(2)/35))/(LN(2)/35)*CG129*CH129*VLOOKUP('Données projet'!$B$12,Paramètres!$A$1:$I$89,3,0)*0.475*44/12</f>
        <v>60.790335542616759</v>
      </c>
      <c r="CL129" s="21">
        <f>EXP(-LN(2)/25)*CL128+(1-EXP(-LN(2)/25))/(LN(2)/25)*Calculateur!CG129*Calculateur!CI129*VLOOKUP('Données projet'!$B$12,Paramètres!$A$1:$I$89,3,0)*0.475*44/12</f>
        <v>0</v>
      </c>
      <c r="CM129" s="21">
        <f>EXP(-LN(2)/2)*CM128+(1-EXP(-LN(2)/2))/(LN(2)/2)*CG129*CJ129*VLOOKUP('Données projet'!$B$12,Paramètres!$A$1:$I$89,3,0)*0.475*44/12</f>
        <v>0</v>
      </c>
      <c r="CN129" s="22">
        <f t="shared" si="66"/>
        <v>60.790335542616759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3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73.304399999999987</v>
      </c>
      <c r="D130" s="11">
        <f t="shared" si="86"/>
        <v>20.491840705192942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724.04115632078754</v>
      </c>
      <c r="H130" s="67">
        <f t="shared" si="56"/>
        <v>420.02845256154433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304.99999999999983</v>
      </c>
      <c r="O130" s="13">
        <f>N130*VLOOKUP('Données projet'!$B$9,Paramètres!$A$1:$I$89,3,0)*VLOOKUP('Données projet'!$B$9,Paramètres!$A$1:$I$89,5,0)</f>
        <v>275.96399999999983</v>
      </c>
      <c r="P130" s="13">
        <f t="shared" si="87"/>
        <v>66.113366665488854</v>
      </c>
      <c r="Q130" s="20">
        <f t="shared" si="107"/>
        <v>595.78474694239264</v>
      </c>
      <c r="R130" s="59">
        <f t="shared" si="55"/>
        <v>889.11808027572602</v>
      </c>
      <c r="S130" s="59">
        <f ca="1">AVERAGE(OFFSET($R$3,0,0,'Données projet'!$E$9+1,1))-AVERAGE(OFFSET($H$3,0,0,'Données projet'!$E$9+1,1))</f>
        <v>336.59194805061094</v>
      </c>
      <c r="T130" s="59">
        <f t="shared" si="88"/>
        <v>473.66884161123909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1.2257589297575404</v>
      </c>
      <c r="AA130" s="21">
        <f>EXP(-LN(2)/25)*AA129+(1-EXP(-LN(2)/25))/(LN(2)/25)*Calculateur!V130*Calculateur!X130*VLOOKUP('Données projet'!$B$9,Paramètres!$A$1:$I$89,3,0)*0.475*44/12</f>
        <v>0</v>
      </c>
      <c r="AB130" s="21">
        <f>EXP(-LN(2)/2)*AB129+(1-EXP(-LN(2)/2))/(LN(2)/2)*V130*Y130*VLOOKUP('Données projet'!$B$9,Paramètres!$A$1:$I$89,3,0)*0.475*44/12</f>
        <v>0</v>
      </c>
      <c r="AC130" s="22">
        <f t="shared" si="57"/>
        <v>1.2257589297575404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319</v>
      </c>
      <c r="AJ130" s="13">
        <f>AI130*VLOOKUP('Données projet'!$B$10,Paramètres!$A$1:$I$89,3,0)*VLOOKUP('Données projet'!$B$10,Paramètres!$A$1:$I$89,5,0)</f>
        <v>209.00879999999998</v>
      </c>
      <c r="AK130" s="13">
        <f t="shared" si="89"/>
        <v>51.718923953824202</v>
      </c>
      <c r="AL130" s="20">
        <f t="shared" si="58"/>
        <v>454.10078588624373</v>
      </c>
      <c r="AM130" s="59">
        <f t="shared" si="59"/>
        <v>747.43411921957704</v>
      </c>
      <c r="AN130" s="59">
        <f ca="1">AVERAGE(OFFSET($AM$3,0,0,'Données projet'!$E$10+1,1))-AVERAGE(OFFSET($H$3,0,0,'Données projet'!$E$10+1,1))</f>
        <v>244.66788784685366</v>
      </c>
      <c r="AO130" s="59">
        <f t="shared" si="90"/>
        <v>252.04429018409274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14.005018456092724</v>
      </c>
      <c r="AV130" s="21">
        <f>EXP(-LN(2)/25)*AV129+(1-EXP(-LN(2)/25))/(LN(2)/25)*Calculateur!AQ130*Calculateur!AS130*VLOOKUP('Données projet'!$B$10,Paramètres!$A$1:$I$89,3,0)*0.475*44/12</f>
        <v>0</v>
      </c>
      <c r="AW130" s="21">
        <f>EXP(-LN(2)/2)*AW129+(1-EXP(-LN(2)/2))/(LN(2)/2)*AQ130*AT130*VLOOKUP('Données projet'!$B$10,Paramètres!$A$1:$I$89,3,0)*0.475*44/12</f>
        <v>0</v>
      </c>
      <c r="AX130" s="21">
        <f t="shared" si="60"/>
        <v>14.005018456092724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243.99999999999989</v>
      </c>
      <c r="BE130" s="13">
        <f>BD130*VLOOKUP('Données projet'!$B$11,Paramètres!$A$1:$I$89,3,0)*VLOOKUP('Données projet'!$B$11,Paramètres!$A$1:$I$89,5,0)</f>
        <v>232.19039999999987</v>
      </c>
      <c r="BF130" s="13">
        <f t="shared" si="91"/>
        <v>56.756035639094556</v>
      </c>
      <c r="BG130" s="20">
        <f t="shared" si="61"/>
        <v>503.24837540475619</v>
      </c>
      <c r="BH130" s="59">
        <f t="shared" si="62"/>
        <v>796.58170873808945</v>
      </c>
      <c r="BI130" s="59">
        <f ca="1">AVERAGE(OFFSET($BH$3,0,0,'Données projet'!$E$11+1,1))-AVERAGE(OFFSET($H$3,0,0,'Données projet'!$E$11+1,1))</f>
        <v>373.51596132356536</v>
      </c>
      <c r="BJ130" s="59">
        <f t="shared" si="92"/>
        <v>417.00150517020114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61.01603311168391</v>
      </c>
      <c r="BQ130" s="21">
        <f>EXP(-LN(2)/25)*BQ129+(1-EXP(-LN(2)/25))/(LN(2)/25)*Calculateur!BL130*Calculateur!BN130*VLOOKUP('Données projet'!$B$11,Paramètres!$A$1:$I$89,3,0)*0.475*44/12</f>
        <v>0</v>
      </c>
      <c r="BR130" s="21">
        <f>EXP(-LN(2)/2)*BR129+(1-EXP(-LN(2)/2))/(LN(2)/2)*BL130*BO130*VLOOKUP('Données projet'!$B$11,Paramètres!$A$1:$I$89,3,0)*0.475*44/12</f>
        <v>0</v>
      </c>
      <c r="BS130" s="22">
        <f t="shared" si="63"/>
        <v>61.01603311168391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267</v>
      </c>
      <c r="BZ130" s="13">
        <f>BY130*VLOOKUP('Données projet'!$B$12,Paramètres!$A$1:$I$89,3,0)*VLOOKUP('Données projet'!$B$12,Paramètres!$A$1:$I$89,5,0)</f>
        <v>241.58159999999998</v>
      </c>
      <c r="CA130" s="13">
        <f t="shared" si="93"/>
        <v>58.779689232021951</v>
      </c>
      <c r="CB130" s="20">
        <f t="shared" si="64"/>
        <v>523.12924541243819</v>
      </c>
      <c r="CC130" s="59">
        <f t="shared" si="65"/>
        <v>816.46257874577145</v>
      </c>
      <c r="CD130" s="59">
        <f ca="1">AVERAGE(OFFSET($CC$3,0,0,'Données projet'!$E$12+1,1))-AVERAGE(OFFSET($H$3,0,0,'Données projet'!$E$12+1,1))</f>
        <v>289.19622253646992</v>
      </c>
      <c r="CE130" s="59">
        <f t="shared" si="94"/>
        <v>191.23827338431175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>
        <f>EXP(-LN(2)/35)*CK129+(1-EXP(-LN(2)/35))/(LN(2)/35)*CG130*CH130*VLOOKUP('Données projet'!$B$12,Paramètres!$A$1:$I$89,3,0)*0.475*44/12</f>
        <v>59.598274141069531</v>
      </c>
      <c r="CL130" s="21">
        <f>EXP(-LN(2)/25)*CL129+(1-EXP(-LN(2)/25))/(LN(2)/25)*Calculateur!CG130*Calculateur!CI130*VLOOKUP('Données projet'!$B$12,Paramètres!$A$1:$I$89,3,0)*0.475*44/12</f>
        <v>0</v>
      </c>
      <c r="CM130" s="21">
        <f>EXP(-LN(2)/2)*CM129+(1-EXP(-LN(2)/2))/(LN(2)/2)*CG130*CJ130*VLOOKUP('Données projet'!$B$12,Paramètres!$A$1:$I$89,3,0)*0.475*44/12</f>
        <v>0</v>
      </c>
      <c r="CN130" s="22">
        <f t="shared" si="66"/>
        <v>59.598274141069531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3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73.881599999999992</v>
      </c>
      <c r="D131" s="11">
        <f t="shared" si="86"/>
        <v>20.634347138217649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729.59678492659225</v>
      </c>
      <c r="H131" s="67">
        <f t="shared" si="56"/>
        <v>421.28194126572907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304.99999999999983</v>
      </c>
      <c r="O131" s="13">
        <f>N131*VLOOKUP('Données projet'!$B$9,Paramètres!$A$1:$I$89,3,0)*VLOOKUP('Données projet'!$B$9,Paramètres!$A$1:$I$89,5,0)</f>
        <v>275.96399999999983</v>
      </c>
      <c r="P131" s="13">
        <f t="shared" si="87"/>
        <v>66.113366665488854</v>
      </c>
      <c r="Q131" s="20">
        <f t="shared" ref="Q131:Q153" si="108">(O131+P131)*0.475*44/12</f>
        <v>595.78474694239264</v>
      </c>
      <c r="R131" s="59">
        <f t="shared" ref="R131:R194" si="109">Q131+(I131+J131)*44/12</f>
        <v>889.11808027572602</v>
      </c>
      <c r="S131" s="59">
        <f ca="1">AVERAGE(OFFSET($R$3,0,0,'Données projet'!$E$9+1,1))-AVERAGE(OFFSET($H$3,0,0,'Données projet'!$E$9+1,1))</f>
        <v>336.59194805061094</v>
      </c>
      <c r="T131" s="59">
        <f t="shared" si="88"/>
        <v>473.66884161123909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1.2017225447841189</v>
      </c>
      <c r="AA131" s="21">
        <f>EXP(-LN(2)/25)*AA130+(1-EXP(-LN(2)/25))/(LN(2)/25)*Calculateur!V131*Calculateur!X131*VLOOKUP('Données projet'!$B$9,Paramètres!$A$1:$I$89,3,0)*0.475*44/12</f>
        <v>0</v>
      </c>
      <c r="AB131" s="21">
        <f>EXP(-LN(2)/2)*AB130+(1-EXP(-LN(2)/2))/(LN(2)/2)*V131*Y131*VLOOKUP('Données projet'!$B$9,Paramètres!$A$1:$I$89,3,0)*0.475*44/12</f>
        <v>0</v>
      </c>
      <c r="AC131" s="22">
        <f t="shared" si="57"/>
        <v>1.2017225447841189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319</v>
      </c>
      <c r="AJ131" s="13">
        <f>AI131*VLOOKUP('Données projet'!$B$10,Paramètres!$A$1:$I$89,3,0)*VLOOKUP('Données projet'!$B$10,Paramètres!$A$1:$I$89,5,0)</f>
        <v>209.00879999999998</v>
      </c>
      <c r="AK131" s="13">
        <f t="shared" si="89"/>
        <v>51.718923953824202</v>
      </c>
      <c r="AL131" s="20">
        <f t="shared" si="58"/>
        <v>454.10078588624373</v>
      </c>
      <c r="AM131" s="59">
        <f t="shared" si="59"/>
        <v>747.43411921957704</v>
      </c>
      <c r="AN131" s="59">
        <f ca="1">AVERAGE(OFFSET($AM$3,0,0,'Données projet'!$E$10+1,1))-AVERAGE(OFFSET($H$3,0,0,'Données projet'!$E$10+1,1))</f>
        <v>244.66788784685366</v>
      </c>
      <c r="AO131" s="59">
        <f t="shared" si="90"/>
        <v>252.04429018409274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13.73038858638653</v>
      </c>
      <c r="AV131" s="21">
        <f>EXP(-LN(2)/25)*AV130+(1-EXP(-LN(2)/25))/(LN(2)/25)*Calculateur!AQ131*Calculateur!AS131*VLOOKUP('Données projet'!$B$10,Paramètres!$A$1:$I$89,3,0)*0.475*44/12</f>
        <v>0</v>
      </c>
      <c r="AW131" s="21">
        <f>EXP(-LN(2)/2)*AW130+(1-EXP(-LN(2)/2))/(LN(2)/2)*AQ131*AT131*VLOOKUP('Données projet'!$B$10,Paramètres!$A$1:$I$89,3,0)*0.475*44/12</f>
        <v>0</v>
      </c>
      <c r="AX131" s="21">
        <f t="shared" si="60"/>
        <v>13.73038858638653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243.99999999999989</v>
      </c>
      <c r="BE131" s="13">
        <f>BD131*VLOOKUP('Données projet'!$B$11,Paramètres!$A$1:$I$89,3,0)*VLOOKUP('Données projet'!$B$11,Paramètres!$A$1:$I$89,5,0)</f>
        <v>232.19039999999987</v>
      </c>
      <c r="BF131" s="13">
        <f t="shared" si="91"/>
        <v>56.756035639094556</v>
      </c>
      <c r="BG131" s="20">
        <f t="shared" si="61"/>
        <v>503.24837540475619</v>
      </c>
      <c r="BH131" s="59">
        <f t="shared" si="62"/>
        <v>796.58170873808945</v>
      </c>
      <c r="BI131" s="59">
        <f ca="1">AVERAGE(OFFSET($BH$3,0,0,'Données projet'!$E$11+1,1))-AVERAGE(OFFSET($H$3,0,0,'Données projet'!$E$11+1,1))</f>
        <v>373.51596132356536</v>
      </c>
      <c r="BJ131" s="59">
        <f t="shared" si="92"/>
        <v>417.00150517020114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59.819545918469203</v>
      </c>
      <c r="BQ131" s="21">
        <f>EXP(-LN(2)/25)*BQ130+(1-EXP(-LN(2)/25))/(LN(2)/25)*Calculateur!BL131*Calculateur!BN131*VLOOKUP('Données projet'!$B$11,Paramètres!$A$1:$I$89,3,0)*0.475*44/12</f>
        <v>0</v>
      </c>
      <c r="BR131" s="21">
        <f>EXP(-LN(2)/2)*BR130+(1-EXP(-LN(2)/2))/(LN(2)/2)*BL131*BO131*VLOOKUP('Données projet'!$B$11,Paramètres!$A$1:$I$89,3,0)*0.475*44/12</f>
        <v>0</v>
      </c>
      <c r="BS131" s="22">
        <f t="shared" si="63"/>
        <v>59.819545918469203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267</v>
      </c>
      <c r="BZ131" s="13">
        <f>BY131*VLOOKUP('Données projet'!$B$12,Paramètres!$A$1:$I$89,3,0)*VLOOKUP('Données projet'!$B$12,Paramètres!$A$1:$I$89,5,0)</f>
        <v>241.58159999999998</v>
      </c>
      <c r="CA131" s="13">
        <f t="shared" si="93"/>
        <v>58.779689232021951</v>
      </c>
      <c r="CB131" s="20">
        <f t="shared" si="64"/>
        <v>523.12924541243819</v>
      </c>
      <c r="CC131" s="59">
        <f t="shared" si="65"/>
        <v>816.46257874577145</v>
      </c>
      <c r="CD131" s="59">
        <f ca="1">AVERAGE(OFFSET($CC$3,0,0,'Données projet'!$E$12+1,1))-AVERAGE(OFFSET($H$3,0,0,'Données projet'!$E$12+1,1))</f>
        <v>289.19622253646992</v>
      </c>
      <c r="CE131" s="59">
        <f t="shared" si="94"/>
        <v>191.23827338431175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>
        <f>EXP(-LN(2)/35)*CK130+(1-EXP(-LN(2)/35))/(LN(2)/35)*CG131*CH131*VLOOKUP('Données projet'!$B$12,Paramètres!$A$1:$I$89,3,0)*0.475*44/12</f>
        <v>58.429588336520986</v>
      </c>
      <c r="CL131" s="21">
        <f>EXP(-LN(2)/25)*CL130+(1-EXP(-LN(2)/25))/(LN(2)/25)*Calculateur!CG131*Calculateur!CI131*VLOOKUP('Données projet'!$B$12,Paramètres!$A$1:$I$89,3,0)*0.475*44/12</f>
        <v>0</v>
      </c>
      <c r="CM131" s="21">
        <f>EXP(-LN(2)/2)*CM130+(1-EXP(-LN(2)/2))/(LN(2)/2)*CG131*CJ131*VLOOKUP('Données projet'!$B$12,Paramètres!$A$1:$I$89,3,0)*0.475*44/12</f>
        <v>0</v>
      </c>
      <c r="CN131" s="22">
        <f t="shared" si="66"/>
        <v>58.429588336520986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3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74.458799999999997</v>
      </c>
      <c r="D132" s="11">
        <f t="shared" si="86"/>
        <v>20.77672403696695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735.15141361869235</v>
      </c>
      <c r="H132" s="67">
        <f t="shared" ref="H132:H195" si="110">(B132+E132+F132)*44/12+(C132+D132)*0.475*44/12</f>
        <v>422.53520436438413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304.99999999999983</v>
      </c>
      <c r="O132" s="13">
        <f>N132*VLOOKUP('Données projet'!$B$9,Paramètres!$A$1:$I$89,3,0)*VLOOKUP('Données projet'!$B$9,Paramètres!$A$1:$I$89,5,0)</f>
        <v>275.96399999999983</v>
      </c>
      <c r="P132" s="13">
        <f t="shared" si="87"/>
        <v>66.113366665488854</v>
      </c>
      <c r="Q132" s="20">
        <f t="shared" si="108"/>
        <v>595.78474694239264</v>
      </c>
      <c r="R132" s="59">
        <f t="shared" si="109"/>
        <v>889.11808027572602</v>
      </c>
      <c r="S132" s="59">
        <f ca="1">AVERAGE(OFFSET($R$3,0,0,'Données projet'!$E$9+1,1))-AVERAGE(OFFSET($H$3,0,0,'Données projet'!$E$9+1,1))</f>
        <v>336.59194805061094</v>
      </c>
      <c r="T132" s="59">
        <f t="shared" si="88"/>
        <v>473.66884161123909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1.1781574986592791</v>
      </c>
      <c r="AA132" s="21">
        <f>EXP(-LN(2)/25)*AA131+(1-EXP(-LN(2)/25))/(LN(2)/25)*Calculateur!V132*Calculateur!X132*VLOOKUP('Données projet'!$B$9,Paramètres!$A$1:$I$89,3,0)*0.475*44/12</f>
        <v>0</v>
      </c>
      <c r="AB132" s="21">
        <f>EXP(-LN(2)/2)*AB131+(1-EXP(-LN(2)/2))/(LN(2)/2)*V132*Y132*VLOOKUP('Données projet'!$B$9,Paramètres!$A$1:$I$89,3,0)*0.475*44/12</f>
        <v>0</v>
      </c>
      <c r="AC132" s="22">
        <f t="shared" ref="AC132:AC153" si="111">SUM(Z132:AB132)</f>
        <v>1.1781574986592791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319</v>
      </c>
      <c r="AJ132" s="13">
        <f>AI132*VLOOKUP('Données projet'!$B$10,Paramètres!$A$1:$I$89,3,0)*VLOOKUP('Données projet'!$B$10,Paramètres!$A$1:$I$89,5,0)</f>
        <v>209.00879999999998</v>
      </c>
      <c r="AK132" s="13">
        <f t="shared" si="89"/>
        <v>51.718923953824202</v>
      </c>
      <c r="AL132" s="20">
        <f t="shared" ref="AL132:AL153" si="112">(AJ132+AK132)*0.475*44/12</f>
        <v>454.10078588624373</v>
      </c>
      <c r="AM132" s="59">
        <f t="shared" ref="AM132:AM195" si="113">AL132+(AD132+AE132)*44/12</f>
        <v>747.43411921957704</v>
      </c>
      <c r="AN132" s="59">
        <f ca="1">AVERAGE(OFFSET($AM$3,0,0,'Données projet'!$E$10+1,1))-AVERAGE(OFFSET($H$3,0,0,'Données projet'!$E$10+1,1))</f>
        <v>244.66788784685366</v>
      </c>
      <c r="AO132" s="59">
        <f t="shared" si="90"/>
        <v>252.04429018409274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13.461144040917594</v>
      </c>
      <c r="AV132" s="21">
        <f>EXP(-LN(2)/25)*AV131+(1-EXP(-LN(2)/25))/(LN(2)/25)*Calculateur!AQ132*Calculateur!AS132*VLOOKUP('Données projet'!$B$10,Paramètres!$A$1:$I$89,3,0)*0.475*44/12</f>
        <v>0</v>
      </c>
      <c r="AW132" s="21">
        <f>EXP(-LN(2)/2)*AW131+(1-EXP(-LN(2)/2))/(LN(2)/2)*AQ132*AT132*VLOOKUP('Données projet'!$B$10,Paramètres!$A$1:$I$89,3,0)*0.475*44/12</f>
        <v>0</v>
      </c>
      <c r="AX132" s="21">
        <f t="shared" ref="AX132:AX153" si="114">SUM(AU132:AW132)</f>
        <v>13.461144040917594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243.99999999999989</v>
      </c>
      <c r="BE132" s="13">
        <f>BD132*VLOOKUP('Données projet'!$B$11,Paramètres!$A$1:$I$89,3,0)*VLOOKUP('Données projet'!$B$11,Paramètres!$A$1:$I$89,5,0)</f>
        <v>232.19039999999987</v>
      </c>
      <c r="BF132" s="13">
        <f t="shared" si="91"/>
        <v>56.756035639094556</v>
      </c>
      <c r="BG132" s="20">
        <f t="shared" ref="BG132:BG153" si="115">(BE132+BF132)*0.475*44/12</f>
        <v>503.24837540475619</v>
      </c>
      <c r="BH132" s="59">
        <f t="shared" ref="BH132:BH195" si="116">BG132+(AY132+AZ132)*44/12</f>
        <v>796.58170873808945</v>
      </c>
      <c r="BI132" s="59">
        <f ca="1">AVERAGE(OFFSET($BH$3,0,0,'Données projet'!$E$11+1,1))-AVERAGE(OFFSET($H$3,0,0,'Données projet'!$E$11+1,1))</f>
        <v>373.51596132356536</v>
      </c>
      <c r="BJ132" s="59">
        <f t="shared" si="92"/>
        <v>417.00150517020114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58.646521109328305</v>
      </c>
      <c r="BQ132" s="21">
        <f>EXP(-LN(2)/25)*BQ131+(1-EXP(-LN(2)/25))/(LN(2)/25)*Calculateur!BL132*Calculateur!BN132*VLOOKUP('Données projet'!$B$11,Paramètres!$A$1:$I$89,3,0)*0.475*44/12</f>
        <v>0</v>
      </c>
      <c r="BR132" s="21">
        <f>EXP(-LN(2)/2)*BR131+(1-EXP(-LN(2)/2))/(LN(2)/2)*BL132*BO132*VLOOKUP('Données projet'!$B$11,Paramètres!$A$1:$I$89,3,0)*0.475*44/12</f>
        <v>0</v>
      </c>
      <c r="BS132" s="22">
        <f t="shared" ref="BS132:BS153" si="117">SUM(BP132:BR132)</f>
        <v>58.646521109328305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267</v>
      </c>
      <c r="BZ132" s="13">
        <f>BY132*VLOOKUP('Données projet'!$B$12,Paramètres!$A$1:$I$89,3,0)*VLOOKUP('Données projet'!$B$12,Paramètres!$A$1:$I$89,5,0)</f>
        <v>241.58159999999998</v>
      </c>
      <c r="CA132" s="13">
        <f t="shared" si="93"/>
        <v>58.779689232021951</v>
      </c>
      <c r="CB132" s="20">
        <f t="shared" ref="CB132:CB153" si="118">(BZ132+CA132)*0.475*44/12</f>
        <v>523.12924541243819</v>
      </c>
      <c r="CC132" s="59">
        <f t="shared" ref="CC132:CC195" si="119">CB132+(BT132+BU132)*44/12</f>
        <v>816.46257874577145</v>
      </c>
      <c r="CD132" s="59">
        <f ca="1">AVERAGE(OFFSET($CC$3,0,0,'Données projet'!$E$12+1,1))-AVERAGE(OFFSET($H$3,0,0,'Données projet'!$E$12+1,1))</f>
        <v>289.19622253646992</v>
      </c>
      <c r="CE132" s="59">
        <f t="shared" si="94"/>
        <v>191.23827338431175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>
        <f>EXP(-LN(2)/35)*CK131+(1-EXP(-LN(2)/35))/(LN(2)/35)*CG132*CH132*VLOOKUP('Données projet'!$B$12,Paramètres!$A$1:$I$89,3,0)*0.475*44/12</f>
        <v>57.28381974777168</v>
      </c>
      <c r="CL132" s="21">
        <f>EXP(-LN(2)/25)*CL131+(1-EXP(-LN(2)/25))/(LN(2)/25)*Calculateur!CG132*Calculateur!CI132*VLOOKUP('Données projet'!$B$12,Paramètres!$A$1:$I$89,3,0)*0.475*44/12</f>
        <v>0</v>
      </c>
      <c r="CM132" s="21">
        <f>EXP(-LN(2)/2)*CM131+(1-EXP(-LN(2)/2))/(LN(2)/2)*CG132*CJ132*VLOOKUP('Données projet'!$B$12,Paramètres!$A$1:$I$89,3,0)*0.475*44/12</f>
        <v>0</v>
      </c>
      <c r="CN132" s="22">
        <f t="shared" ref="CN132:CN153" si="120">SUM(CK132:CM132)</f>
        <v>57.28381974777168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3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75.036000000000001</v>
      </c>
      <c r="D133" s="11">
        <f t="shared" ref="D133:D196" si="140">IFERROR(EXP(-1.0587+0.8836*LN(C133)+0.284),0)</f>
        <v>20.918972521981534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740.70505104687516</v>
      </c>
      <c r="H133" s="67">
        <f t="shared" si="110"/>
        <v>423.78824380911783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304.99999999999983</v>
      </c>
      <c r="O133" s="13">
        <f>N133*VLOOKUP('Données projet'!$B$9,Paramètres!$A$1:$I$89,3,0)*VLOOKUP('Données projet'!$B$9,Paramètres!$A$1:$I$89,5,0)</f>
        <v>275.96399999999983</v>
      </c>
      <c r="P133" s="13">
        <f t="shared" ref="P133:P196" si="141">EXP(-1.0587+0.8836*LN(O133)+0.284)</f>
        <v>66.113366665488854</v>
      </c>
      <c r="Q133" s="20">
        <f t="shared" si="108"/>
        <v>595.78474694239264</v>
      </c>
      <c r="R133" s="59">
        <f t="shared" si="109"/>
        <v>889.11808027572602</v>
      </c>
      <c r="S133" s="59">
        <f ca="1">AVERAGE(OFFSET($R$3,0,0,'Données projet'!$E$9+1,1))-AVERAGE(OFFSET($H$3,0,0,'Données projet'!$E$9+1,1))</f>
        <v>336.59194805061094</v>
      </c>
      <c r="T133" s="59">
        <f t="shared" ref="T133:T196" si="142">$T$3</f>
        <v>473.66884161123909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1.1550545487156885</v>
      </c>
      <c r="AA133" s="21">
        <f>EXP(-LN(2)/25)*AA132+(1-EXP(-LN(2)/25))/(LN(2)/25)*Calculateur!V133*Calculateur!X133*VLOOKUP('Données projet'!$B$9,Paramètres!$A$1:$I$89,3,0)*0.475*44/12</f>
        <v>0</v>
      </c>
      <c r="AB133" s="21">
        <f>EXP(-LN(2)/2)*AB132+(1-EXP(-LN(2)/2))/(LN(2)/2)*V133*Y133*VLOOKUP('Données projet'!$B$9,Paramètres!$A$1:$I$89,3,0)*0.475*44/12</f>
        <v>0</v>
      </c>
      <c r="AC133" s="22">
        <f t="shared" si="111"/>
        <v>1.1550545487156885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319</v>
      </c>
      <c r="AJ133" s="13">
        <f>AI133*VLOOKUP('Données projet'!$B$10,Paramètres!$A$1:$I$89,3,0)*VLOOKUP('Données projet'!$B$10,Paramètres!$A$1:$I$89,5,0)</f>
        <v>209.00879999999998</v>
      </c>
      <c r="AK133" s="13">
        <f t="shared" ref="AK133:AK153" si="143">EXP(-1.0587+0.8836*LN(AJ133)+0.284)</f>
        <v>51.718923953824202</v>
      </c>
      <c r="AL133" s="20">
        <f t="shared" si="112"/>
        <v>454.10078588624373</v>
      </c>
      <c r="AM133" s="59">
        <f t="shared" si="113"/>
        <v>747.43411921957704</v>
      </c>
      <c r="AN133" s="59">
        <f ca="1">AVERAGE(OFFSET($AM$3,0,0,'Données projet'!$E$10+1,1))-AVERAGE(OFFSET($H$3,0,0,'Données projet'!$E$10+1,1))</f>
        <v>244.66788784685366</v>
      </c>
      <c r="AO133" s="59">
        <f t="shared" ref="AO133:AO196" si="144">$AO$3</f>
        <v>252.04429018409274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13.197179216762347</v>
      </c>
      <c r="AV133" s="21">
        <f>EXP(-LN(2)/25)*AV132+(1-EXP(-LN(2)/25))/(LN(2)/25)*Calculateur!AQ133*Calculateur!AS133*VLOOKUP('Données projet'!$B$10,Paramètres!$A$1:$I$89,3,0)*0.475*44/12</f>
        <v>0</v>
      </c>
      <c r="AW133" s="21">
        <f>EXP(-LN(2)/2)*AW132+(1-EXP(-LN(2)/2))/(LN(2)/2)*AQ133*AT133*VLOOKUP('Données projet'!$B$10,Paramètres!$A$1:$I$89,3,0)*0.475*44/12</f>
        <v>0</v>
      </c>
      <c r="AX133" s="21">
        <f t="shared" si="114"/>
        <v>13.197179216762347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243.99999999999989</v>
      </c>
      <c r="BE133" s="13">
        <f>BD133*VLOOKUP('Données projet'!$B$11,Paramètres!$A$1:$I$89,3,0)*VLOOKUP('Données projet'!$B$11,Paramètres!$A$1:$I$89,5,0)</f>
        <v>232.19039999999987</v>
      </c>
      <c r="BF133" s="13">
        <f t="shared" ref="BF133:BF153" si="145">EXP(-1.0587+0.8836*LN(BE133)+0.284)</f>
        <v>56.756035639094556</v>
      </c>
      <c r="BG133" s="20">
        <f t="shared" si="115"/>
        <v>503.24837540475619</v>
      </c>
      <c r="BH133" s="59">
        <f t="shared" si="116"/>
        <v>796.58170873808945</v>
      </c>
      <c r="BI133" s="59">
        <f ca="1">AVERAGE(OFFSET($BH$3,0,0,'Données projet'!$E$11+1,1))-AVERAGE(OFFSET($H$3,0,0,'Données projet'!$E$11+1,1))</f>
        <v>373.51596132356536</v>
      </c>
      <c r="BJ133" s="59">
        <f t="shared" ref="BJ133:BJ196" si="146">$BJ$3</f>
        <v>417.00150517020114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57.496498601220175</v>
      </c>
      <c r="BQ133" s="21">
        <f>EXP(-LN(2)/25)*BQ132+(1-EXP(-LN(2)/25))/(LN(2)/25)*Calculateur!BL133*Calculateur!BN133*VLOOKUP('Données projet'!$B$11,Paramètres!$A$1:$I$89,3,0)*0.475*44/12</f>
        <v>0</v>
      </c>
      <c r="BR133" s="21">
        <f>EXP(-LN(2)/2)*BR132+(1-EXP(-LN(2)/2))/(LN(2)/2)*BL133*BO133*VLOOKUP('Données projet'!$B$11,Paramètres!$A$1:$I$89,3,0)*0.475*44/12</f>
        <v>0</v>
      </c>
      <c r="BS133" s="22">
        <f t="shared" si="117"/>
        <v>57.496498601220175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267</v>
      </c>
      <c r="BZ133" s="13">
        <f>BY133*VLOOKUP('Données projet'!$B$12,Paramètres!$A$1:$I$89,3,0)*VLOOKUP('Données projet'!$B$12,Paramètres!$A$1:$I$89,5,0)</f>
        <v>241.58159999999998</v>
      </c>
      <c r="CA133" s="13">
        <f t="shared" ref="CA133:CA153" si="147">EXP(-1.0587+0.8836*LN(BZ133)+0.284)</f>
        <v>58.779689232021951</v>
      </c>
      <c r="CB133" s="20">
        <f t="shared" si="118"/>
        <v>523.12924541243819</v>
      </c>
      <c r="CC133" s="59">
        <f t="shared" si="119"/>
        <v>816.46257874577145</v>
      </c>
      <c r="CD133" s="59">
        <f ca="1">AVERAGE(OFFSET($CC$3,0,0,'Données projet'!$E$12+1,1))-AVERAGE(OFFSET($H$3,0,0,'Données projet'!$E$12+1,1))</f>
        <v>289.19622253646992</v>
      </c>
      <c r="CE133" s="59">
        <f t="shared" ref="CE133:CE196" si="148">$CE$3</f>
        <v>191.23827338431175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>
        <f>EXP(-LN(2)/35)*CK132+(1-EXP(-LN(2)/35))/(LN(2)/35)*CG133*CH133*VLOOKUP('Données projet'!$B$12,Paramètres!$A$1:$I$89,3,0)*0.475*44/12</f>
        <v>56.160518982197914</v>
      </c>
      <c r="CL133" s="21">
        <f>EXP(-LN(2)/25)*CL132+(1-EXP(-LN(2)/25))/(LN(2)/25)*Calculateur!CG133*Calculateur!CI133*VLOOKUP('Données projet'!$B$12,Paramètres!$A$1:$I$89,3,0)*0.475*44/12</f>
        <v>0</v>
      </c>
      <c r="CM133" s="21">
        <f>EXP(-LN(2)/2)*CM132+(1-EXP(-LN(2)/2))/(LN(2)/2)*CG133*CJ133*VLOOKUP('Données projet'!$B$12,Paramètres!$A$1:$I$89,3,0)*0.475*44/12</f>
        <v>0</v>
      </c>
      <c r="CN133" s="22">
        <f t="shared" si="120"/>
        <v>56.160518982197914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3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75.613200000000006</v>
      </c>
      <c r="D134" s="11">
        <f t="shared" si="140"/>
        <v>21.061093695567294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746.2577057201687</v>
      </c>
      <c r="H134" s="67">
        <f t="shared" si="110"/>
        <v>425.04106151977976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304.99999999999983</v>
      </c>
      <c r="O134" s="13">
        <f>N134*VLOOKUP('Données projet'!$B$9,Paramètres!$A$1:$I$89,3,0)*VLOOKUP('Données projet'!$B$9,Paramètres!$A$1:$I$89,5,0)</f>
        <v>275.96399999999983</v>
      </c>
      <c r="P134" s="13">
        <f t="shared" si="141"/>
        <v>66.113366665488854</v>
      </c>
      <c r="Q134" s="20">
        <f t="shared" si="108"/>
        <v>595.78474694239264</v>
      </c>
      <c r="R134" s="59">
        <f t="shared" si="109"/>
        <v>889.11808027572602</v>
      </c>
      <c r="S134" s="59">
        <f ca="1">AVERAGE(OFFSET($R$3,0,0,'Données projet'!$E$9+1,1))-AVERAGE(OFFSET($H$3,0,0,'Données projet'!$E$9+1,1))</f>
        <v>336.59194805061094</v>
      </c>
      <c r="T134" s="59">
        <f t="shared" si="142"/>
        <v>473.66884161123909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1.1324046335290836</v>
      </c>
      <c r="AA134" s="21">
        <f>EXP(-LN(2)/25)*AA133+(1-EXP(-LN(2)/25))/(LN(2)/25)*Calculateur!V134*Calculateur!X134*VLOOKUP('Données projet'!$B$9,Paramètres!$A$1:$I$89,3,0)*0.475*44/12</f>
        <v>0</v>
      </c>
      <c r="AB134" s="21">
        <f>EXP(-LN(2)/2)*AB133+(1-EXP(-LN(2)/2))/(LN(2)/2)*V134*Y134*VLOOKUP('Données projet'!$B$9,Paramètres!$A$1:$I$89,3,0)*0.475*44/12</f>
        <v>0</v>
      </c>
      <c r="AC134" s="22">
        <f t="shared" si="111"/>
        <v>1.1324046335290836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319</v>
      </c>
      <c r="AJ134" s="13">
        <f>AI134*VLOOKUP('Données projet'!$B$10,Paramètres!$A$1:$I$89,3,0)*VLOOKUP('Données projet'!$B$10,Paramètres!$A$1:$I$89,5,0)</f>
        <v>209.00879999999998</v>
      </c>
      <c r="AK134" s="13">
        <f t="shared" si="143"/>
        <v>51.718923953824202</v>
      </c>
      <c r="AL134" s="20">
        <f t="shared" si="112"/>
        <v>454.10078588624373</v>
      </c>
      <c r="AM134" s="59">
        <f t="shared" si="113"/>
        <v>747.43411921957704</v>
      </c>
      <c r="AN134" s="59">
        <f ca="1">AVERAGE(OFFSET($AM$3,0,0,'Données projet'!$E$10+1,1))-AVERAGE(OFFSET($H$3,0,0,'Données projet'!$E$10+1,1))</f>
        <v>244.66788784685366</v>
      </c>
      <c r="AO134" s="59">
        <f t="shared" si="144"/>
        <v>252.04429018409274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12.938390581806139</v>
      </c>
      <c r="AV134" s="21">
        <f>EXP(-LN(2)/25)*AV133+(1-EXP(-LN(2)/25))/(LN(2)/25)*Calculateur!AQ134*Calculateur!AS134*VLOOKUP('Données projet'!$B$10,Paramètres!$A$1:$I$89,3,0)*0.475*44/12</f>
        <v>0</v>
      </c>
      <c r="AW134" s="21">
        <f>EXP(-LN(2)/2)*AW133+(1-EXP(-LN(2)/2))/(LN(2)/2)*AQ134*AT134*VLOOKUP('Données projet'!$B$10,Paramètres!$A$1:$I$89,3,0)*0.475*44/12</f>
        <v>0</v>
      </c>
      <c r="AX134" s="21">
        <f t="shared" si="114"/>
        <v>12.938390581806139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243.99999999999989</v>
      </c>
      <c r="BE134" s="13">
        <f>BD134*VLOOKUP('Données projet'!$B$11,Paramètres!$A$1:$I$89,3,0)*VLOOKUP('Données projet'!$B$11,Paramètres!$A$1:$I$89,5,0)</f>
        <v>232.19039999999987</v>
      </c>
      <c r="BF134" s="13">
        <f t="shared" si="145"/>
        <v>56.756035639094556</v>
      </c>
      <c r="BG134" s="20">
        <f t="shared" si="115"/>
        <v>503.24837540475619</v>
      </c>
      <c r="BH134" s="59">
        <f t="shared" si="116"/>
        <v>796.58170873808945</v>
      </c>
      <c r="BI134" s="59">
        <f ca="1">AVERAGE(OFFSET($BH$3,0,0,'Données projet'!$E$11+1,1))-AVERAGE(OFFSET($H$3,0,0,'Données projet'!$E$11+1,1))</f>
        <v>373.51596132356536</v>
      </c>
      <c r="BJ134" s="59">
        <f t="shared" si="146"/>
        <v>417.00150517020114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56.369027333051577</v>
      </c>
      <c r="BQ134" s="21">
        <f>EXP(-LN(2)/25)*BQ133+(1-EXP(-LN(2)/25))/(LN(2)/25)*Calculateur!BL134*Calculateur!BN134*VLOOKUP('Données projet'!$B$11,Paramètres!$A$1:$I$89,3,0)*0.475*44/12</f>
        <v>0</v>
      </c>
      <c r="BR134" s="21">
        <f>EXP(-LN(2)/2)*BR133+(1-EXP(-LN(2)/2))/(LN(2)/2)*BL134*BO134*VLOOKUP('Données projet'!$B$11,Paramètres!$A$1:$I$89,3,0)*0.475*44/12</f>
        <v>0</v>
      </c>
      <c r="BS134" s="22">
        <f t="shared" si="117"/>
        <v>56.369027333051577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267</v>
      </c>
      <c r="BZ134" s="13">
        <f>BY134*VLOOKUP('Données projet'!$B$12,Paramètres!$A$1:$I$89,3,0)*VLOOKUP('Données projet'!$B$12,Paramètres!$A$1:$I$89,5,0)</f>
        <v>241.58159999999998</v>
      </c>
      <c r="CA134" s="13">
        <f t="shared" si="147"/>
        <v>58.779689232021951</v>
      </c>
      <c r="CB134" s="20">
        <f t="shared" si="118"/>
        <v>523.12924541243819</v>
      </c>
      <c r="CC134" s="59">
        <f t="shared" si="119"/>
        <v>816.46257874577145</v>
      </c>
      <c r="CD134" s="59">
        <f ca="1">AVERAGE(OFFSET($CC$3,0,0,'Données projet'!$E$12+1,1))-AVERAGE(OFFSET($H$3,0,0,'Données projet'!$E$12+1,1))</f>
        <v>289.19622253646992</v>
      </c>
      <c r="CE134" s="59">
        <f t="shared" si="148"/>
        <v>191.23827338431175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>
        <f>EXP(-LN(2)/35)*CK133+(1-EXP(-LN(2)/35))/(LN(2)/35)*CG134*CH134*VLOOKUP('Données projet'!$B$12,Paramètres!$A$1:$I$89,3,0)*0.475*44/12</f>
        <v>55.059245459491237</v>
      </c>
      <c r="CL134" s="21">
        <f>EXP(-LN(2)/25)*CL133+(1-EXP(-LN(2)/25))/(LN(2)/25)*Calculateur!CG134*Calculateur!CI134*VLOOKUP('Données projet'!$B$12,Paramètres!$A$1:$I$89,3,0)*0.475*44/12</f>
        <v>0</v>
      </c>
      <c r="CM134" s="21">
        <f>EXP(-LN(2)/2)*CM133+(1-EXP(-LN(2)/2))/(LN(2)/2)*CG134*CJ134*VLOOKUP('Données projet'!$B$12,Paramètres!$A$1:$I$89,3,0)*0.475*44/12</f>
        <v>0</v>
      </c>
      <c r="CN134" s="22">
        <f t="shared" si="120"/>
        <v>55.059245459491237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3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76.190400000000011</v>
      </c>
      <c r="D135" s="11">
        <f t="shared" si="140"/>
        <v>21.203088642228987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751.80938601018886</v>
      </c>
      <c r="H135" s="67">
        <f t="shared" si="110"/>
        <v>426.29365938521551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304.99999999999983</v>
      </c>
      <c r="O135" s="13">
        <f>N135*VLOOKUP('Données projet'!$B$9,Paramètres!$A$1:$I$89,3,0)*VLOOKUP('Données projet'!$B$9,Paramètres!$A$1:$I$89,5,0)</f>
        <v>275.96399999999983</v>
      </c>
      <c r="P135" s="13">
        <f t="shared" si="141"/>
        <v>66.113366665488854</v>
      </c>
      <c r="Q135" s="20">
        <f t="shared" si="108"/>
        <v>595.78474694239264</v>
      </c>
      <c r="R135" s="59">
        <f t="shared" si="109"/>
        <v>889.11808027572602</v>
      </c>
      <c r="S135" s="59">
        <f ca="1">AVERAGE(OFFSET($R$3,0,0,'Données projet'!$E$9+1,1))-AVERAGE(OFFSET($H$3,0,0,'Données projet'!$E$9+1,1))</f>
        <v>336.59194805061094</v>
      </c>
      <c r="T135" s="59">
        <f t="shared" si="142"/>
        <v>473.66884161123909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1.110198869364204</v>
      </c>
      <c r="AA135" s="21">
        <f>EXP(-LN(2)/25)*AA134+(1-EXP(-LN(2)/25))/(LN(2)/25)*Calculateur!V135*Calculateur!X135*VLOOKUP('Données projet'!$B$9,Paramètres!$A$1:$I$89,3,0)*0.475*44/12</f>
        <v>0</v>
      </c>
      <c r="AB135" s="21">
        <f>EXP(-LN(2)/2)*AB134+(1-EXP(-LN(2)/2))/(LN(2)/2)*V135*Y135*VLOOKUP('Données projet'!$B$9,Paramètres!$A$1:$I$89,3,0)*0.475*44/12</f>
        <v>0</v>
      </c>
      <c r="AC135" s="22">
        <f t="shared" si="111"/>
        <v>1.110198869364204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319</v>
      </c>
      <c r="AJ135" s="13">
        <f>AI135*VLOOKUP('Données projet'!$B$10,Paramètres!$A$1:$I$89,3,0)*VLOOKUP('Données projet'!$B$10,Paramètres!$A$1:$I$89,5,0)</f>
        <v>209.00879999999998</v>
      </c>
      <c r="AK135" s="13">
        <f t="shared" si="143"/>
        <v>51.718923953824202</v>
      </c>
      <c r="AL135" s="20">
        <f t="shared" si="112"/>
        <v>454.10078588624373</v>
      </c>
      <c r="AM135" s="59">
        <f t="shared" si="113"/>
        <v>747.43411921957704</v>
      </c>
      <c r="AN135" s="59">
        <f ca="1">AVERAGE(OFFSET($AM$3,0,0,'Données projet'!$E$10+1,1))-AVERAGE(OFFSET($H$3,0,0,'Données projet'!$E$10+1,1))</f>
        <v>244.66788784685366</v>
      </c>
      <c r="AO135" s="59">
        <f t="shared" si="144"/>
        <v>252.04429018409274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12.684676634135942</v>
      </c>
      <c r="AV135" s="21">
        <f>EXP(-LN(2)/25)*AV134+(1-EXP(-LN(2)/25))/(LN(2)/25)*Calculateur!AQ135*Calculateur!AS135*VLOOKUP('Données projet'!$B$10,Paramètres!$A$1:$I$89,3,0)*0.475*44/12</f>
        <v>0</v>
      </c>
      <c r="AW135" s="21">
        <f>EXP(-LN(2)/2)*AW134+(1-EXP(-LN(2)/2))/(LN(2)/2)*AQ135*AT135*VLOOKUP('Données projet'!$B$10,Paramètres!$A$1:$I$89,3,0)*0.475*44/12</f>
        <v>0</v>
      </c>
      <c r="AX135" s="21">
        <f t="shared" si="114"/>
        <v>12.684676634135942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243.99999999999989</v>
      </c>
      <c r="BE135" s="13">
        <f>BD135*VLOOKUP('Données projet'!$B$11,Paramètres!$A$1:$I$89,3,0)*VLOOKUP('Données projet'!$B$11,Paramètres!$A$1:$I$89,5,0)</f>
        <v>232.19039999999987</v>
      </c>
      <c r="BF135" s="13">
        <f t="shared" si="145"/>
        <v>56.756035639094556</v>
      </c>
      <c r="BG135" s="20">
        <f t="shared" si="115"/>
        <v>503.24837540475619</v>
      </c>
      <c r="BH135" s="59">
        <f t="shared" si="116"/>
        <v>796.58170873808945</v>
      </c>
      <c r="BI135" s="59">
        <f ca="1">AVERAGE(OFFSET($BH$3,0,0,'Données projet'!$E$11+1,1))-AVERAGE(OFFSET($H$3,0,0,'Données projet'!$E$11+1,1))</f>
        <v>373.51596132356536</v>
      </c>
      <c r="BJ135" s="59">
        <f t="shared" si="146"/>
        <v>417.00150517020114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55.263665088762195</v>
      </c>
      <c r="BQ135" s="21">
        <f>EXP(-LN(2)/25)*BQ134+(1-EXP(-LN(2)/25))/(LN(2)/25)*Calculateur!BL135*Calculateur!BN135*VLOOKUP('Données projet'!$B$11,Paramètres!$A$1:$I$89,3,0)*0.475*44/12</f>
        <v>0</v>
      </c>
      <c r="BR135" s="21">
        <f>EXP(-LN(2)/2)*BR134+(1-EXP(-LN(2)/2))/(LN(2)/2)*BL135*BO135*VLOOKUP('Données projet'!$B$11,Paramètres!$A$1:$I$89,3,0)*0.475*44/12</f>
        <v>0</v>
      </c>
      <c r="BS135" s="22">
        <f t="shared" si="117"/>
        <v>55.263665088762195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267</v>
      </c>
      <c r="BZ135" s="13">
        <f>BY135*VLOOKUP('Données projet'!$B$12,Paramètres!$A$1:$I$89,3,0)*VLOOKUP('Données projet'!$B$12,Paramètres!$A$1:$I$89,5,0)</f>
        <v>241.58159999999998</v>
      </c>
      <c r="CA135" s="13">
        <f t="shared" si="147"/>
        <v>58.779689232021951</v>
      </c>
      <c r="CB135" s="20">
        <f t="shared" si="118"/>
        <v>523.12924541243819</v>
      </c>
      <c r="CC135" s="59">
        <f t="shared" si="119"/>
        <v>816.46257874577145</v>
      </c>
      <c r="CD135" s="59">
        <f ca="1">AVERAGE(OFFSET($CC$3,0,0,'Données projet'!$E$12+1,1))-AVERAGE(OFFSET($H$3,0,0,'Données projet'!$E$12+1,1))</f>
        <v>289.19622253646992</v>
      </c>
      <c r="CE135" s="59">
        <f t="shared" si="148"/>
        <v>191.23827338431175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>
        <f>EXP(-LN(2)/35)*CK134+(1-EXP(-LN(2)/35))/(LN(2)/35)*CG135*CH135*VLOOKUP('Données projet'!$B$12,Paramètres!$A$1:$I$89,3,0)*0.475*44/12</f>
        <v>53.979567238854315</v>
      </c>
      <c r="CL135" s="21">
        <f>EXP(-LN(2)/25)*CL134+(1-EXP(-LN(2)/25))/(LN(2)/25)*Calculateur!CG135*Calculateur!CI135*VLOOKUP('Données projet'!$B$12,Paramètres!$A$1:$I$89,3,0)*0.475*44/12</f>
        <v>0</v>
      </c>
      <c r="CM135" s="21">
        <f>EXP(-LN(2)/2)*CM134+(1-EXP(-LN(2)/2))/(LN(2)/2)*CG135*CJ135*VLOOKUP('Données projet'!$B$12,Paramètres!$A$1:$I$89,3,0)*0.475*44/12</f>
        <v>0</v>
      </c>
      <c r="CN135" s="22">
        <f t="shared" si="120"/>
        <v>53.979567238854315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3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76.767600000000016</v>
      </c>
      <c r="D136" s="11">
        <f t="shared" si="140"/>
        <v>21.344958429090301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757.36010015438126</v>
      </c>
      <c r="H136" s="67">
        <f t="shared" si="110"/>
        <v>427.54603926399898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304.99999999999983</v>
      </c>
      <c r="O136" s="13">
        <f>N136*VLOOKUP('Données projet'!$B$9,Paramètres!$A$1:$I$89,3,0)*VLOOKUP('Données projet'!$B$9,Paramètres!$A$1:$I$89,5,0)</f>
        <v>275.96399999999983</v>
      </c>
      <c r="P136" s="13">
        <f t="shared" si="141"/>
        <v>66.113366665488854</v>
      </c>
      <c r="Q136" s="20">
        <f t="shared" si="108"/>
        <v>595.78474694239264</v>
      </c>
      <c r="R136" s="59">
        <f t="shared" si="109"/>
        <v>889.11808027572602</v>
      </c>
      <c r="S136" s="59">
        <f ca="1">AVERAGE(OFFSET($R$3,0,0,'Données projet'!$E$9+1,1))-AVERAGE(OFFSET($H$3,0,0,'Données projet'!$E$9+1,1))</f>
        <v>336.59194805061094</v>
      </c>
      <c r="T136" s="59">
        <f t="shared" si="142"/>
        <v>473.66884161123909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1.0884285466904189</v>
      </c>
      <c r="AA136" s="21">
        <f>EXP(-LN(2)/25)*AA135+(1-EXP(-LN(2)/25))/(LN(2)/25)*Calculateur!V136*Calculateur!X136*VLOOKUP('Données projet'!$B$9,Paramètres!$A$1:$I$89,3,0)*0.475*44/12</f>
        <v>0</v>
      </c>
      <c r="AB136" s="21">
        <f>EXP(-LN(2)/2)*AB135+(1-EXP(-LN(2)/2))/(LN(2)/2)*V136*Y136*VLOOKUP('Données projet'!$B$9,Paramètres!$A$1:$I$89,3,0)*0.475*44/12</f>
        <v>0</v>
      </c>
      <c r="AC136" s="22">
        <f t="shared" si="111"/>
        <v>1.0884285466904189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319</v>
      </c>
      <c r="AJ136" s="13">
        <f>AI136*VLOOKUP('Données projet'!$B$10,Paramètres!$A$1:$I$89,3,0)*VLOOKUP('Données projet'!$B$10,Paramètres!$A$1:$I$89,5,0)</f>
        <v>209.00879999999998</v>
      </c>
      <c r="AK136" s="13">
        <f t="shared" si="143"/>
        <v>51.718923953824202</v>
      </c>
      <c r="AL136" s="20">
        <f t="shared" si="112"/>
        <v>454.10078588624373</v>
      </c>
      <c r="AM136" s="59">
        <f t="shared" si="113"/>
        <v>747.43411921957704</v>
      </c>
      <c r="AN136" s="59">
        <f ca="1">AVERAGE(OFFSET($AM$3,0,0,'Données projet'!$E$10+1,1))-AVERAGE(OFFSET($H$3,0,0,'Données projet'!$E$10+1,1))</f>
        <v>244.66788784685366</v>
      </c>
      <c r="AO136" s="59">
        <f t="shared" si="144"/>
        <v>252.04429018409274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12.435937862229329</v>
      </c>
      <c r="AV136" s="21">
        <f>EXP(-LN(2)/25)*AV135+(1-EXP(-LN(2)/25))/(LN(2)/25)*Calculateur!AQ136*Calculateur!AS136*VLOOKUP('Données projet'!$B$10,Paramètres!$A$1:$I$89,3,0)*0.475*44/12</f>
        <v>0</v>
      </c>
      <c r="AW136" s="21">
        <f>EXP(-LN(2)/2)*AW135+(1-EXP(-LN(2)/2))/(LN(2)/2)*AQ136*AT136*VLOOKUP('Données projet'!$B$10,Paramètres!$A$1:$I$89,3,0)*0.475*44/12</f>
        <v>0</v>
      </c>
      <c r="AX136" s="21">
        <f t="shared" si="114"/>
        <v>12.435937862229329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243.99999999999989</v>
      </c>
      <c r="BE136" s="13">
        <f>BD136*VLOOKUP('Données projet'!$B$11,Paramètres!$A$1:$I$89,3,0)*VLOOKUP('Données projet'!$B$11,Paramètres!$A$1:$I$89,5,0)</f>
        <v>232.19039999999987</v>
      </c>
      <c r="BF136" s="13">
        <f t="shared" si="145"/>
        <v>56.756035639094556</v>
      </c>
      <c r="BG136" s="20">
        <f t="shared" si="115"/>
        <v>503.24837540475619</v>
      </c>
      <c r="BH136" s="59">
        <f t="shared" si="116"/>
        <v>796.58170873808945</v>
      </c>
      <c r="BI136" s="59">
        <f ca="1">AVERAGE(OFFSET($BH$3,0,0,'Données projet'!$E$11+1,1))-AVERAGE(OFFSET($H$3,0,0,'Données projet'!$E$11+1,1))</f>
        <v>373.51596132356536</v>
      </c>
      <c r="BJ136" s="59">
        <f t="shared" si="146"/>
        <v>417.00150517020114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54.179978323878935</v>
      </c>
      <c r="BQ136" s="21">
        <f>EXP(-LN(2)/25)*BQ135+(1-EXP(-LN(2)/25))/(LN(2)/25)*Calculateur!BL136*Calculateur!BN136*VLOOKUP('Données projet'!$B$11,Paramètres!$A$1:$I$89,3,0)*0.475*44/12</f>
        <v>0</v>
      </c>
      <c r="BR136" s="21">
        <f>EXP(-LN(2)/2)*BR135+(1-EXP(-LN(2)/2))/(LN(2)/2)*BL136*BO136*VLOOKUP('Données projet'!$B$11,Paramètres!$A$1:$I$89,3,0)*0.475*44/12</f>
        <v>0</v>
      </c>
      <c r="BS136" s="22">
        <f t="shared" si="117"/>
        <v>54.179978323878935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267</v>
      </c>
      <c r="BZ136" s="13">
        <f>BY136*VLOOKUP('Données projet'!$B$12,Paramètres!$A$1:$I$89,3,0)*VLOOKUP('Données projet'!$B$12,Paramètres!$A$1:$I$89,5,0)</f>
        <v>241.58159999999998</v>
      </c>
      <c r="CA136" s="13">
        <f t="shared" si="147"/>
        <v>58.779689232021951</v>
      </c>
      <c r="CB136" s="20">
        <f t="shared" si="118"/>
        <v>523.12924541243819</v>
      </c>
      <c r="CC136" s="59">
        <f t="shared" si="119"/>
        <v>816.46257874577145</v>
      </c>
      <c r="CD136" s="59">
        <f ca="1">AVERAGE(OFFSET($CC$3,0,0,'Données projet'!$E$12+1,1))-AVERAGE(OFFSET($H$3,0,0,'Données projet'!$E$12+1,1))</f>
        <v>289.19622253646992</v>
      </c>
      <c r="CE136" s="59">
        <f t="shared" si="148"/>
        <v>191.23827338431175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>
        <f>EXP(-LN(2)/35)*CK135+(1-EXP(-LN(2)/35))/(LN(2)/35)*CG136*CH136*VLOOKUP('Données projet'!$B$12,Paramètres!$A$1:$I$89,3,0)*0.475*44/12</f>
        <v>52.921060849585395</v>
      </c>
      <c r="CL136" s="21">
        <f>EXP(-LN(2)/25)*CL135+(1-EXP(-LN(2)/25))/(LN(2)/25)*Calculateur!CG136*Calculateur!CI136*VLOOKUP('Données projet'!$B$12,Paramètres!$A$1:$I$89,3,0)*0.475*44/12</f>
        <v>0</v>
      </c>
      <c r="CM136" s="21">
        <f>EXP(-LN(2)/2)*CM135+(1-EXP(-LN(2)/2))/(LN(2)/2)*CG136*CJ136*VLOOKUP('Données projet'!$B$12,Paramètres!$A$1:$I$89,3,0)*0.475*44/12</f>
        <v>0</v>
      </c>
      <c r="CN136" s="22">
        <f t="shared" si="120"/>
        <v>52.921060849585395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3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77.344800000000021</v>
      </c>
      <c r="D137" s="11">
        <f t="shared" si="140"/>
        <v>21.486704106300962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762.90985625916539</v>
      </c>
      <c r="H137" s="67">
        <f t="shared" si="110"/>
        <v>428.7982029851409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304.99999999999983</v>
      </c>
      <c r="O137" s="13">
        <f>N137*VLOOKUP('Données projet'!$B$9,Paramètres!$A$1:$I$89,3,0)*VLOOKUP('Données projet'!$B$9,Paramètres!$A$1:$I$89,5,0)</f>
        <v>275.96399999999983</v>
      </c>
      <c r="P137" s="13">
        <f t="shared" si="141"/>
        <v>66.113366665488854</v>
      </c>
      <c r="Q137" s="20">
        <f t="shared" si="108"/>
        <v>595.78474694239264</v>
      </c>
      <c r="R137" s="59">
        <f t="shared" si="109"/>
        <v>889.11808027572602</v>
      </c>
      <c r="S137" s="59">
        <f ca="1">AVERAGE(OFFSET($R$3,0,0,'Données projet'!$E$9+1,1))-AVERAGE(OFFSET($H$3,0,0,'Données projet'!$E$9+1,1))</f>
        <v>336.59194805061094</v>
      </c>
      <c r="T137" s="59">
        <f t="shared" si="142"/>
        <v>473.66884161123909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1.0670851267656809</v>
      </c>
      <c r="AA137" s="21">
        <f>EXP(-LN(2)/25)*AA136+(1-EXP(-LN(2)/25))/(LN(2)/25)*Calculateur!V137*Calculateur!X137*VLOOKUP('Données projet'!$B$9,Paramètres!$A$1:$I$89,3,0)*0.475*44/12</f>
        <v>0</v>
      </c>
      <c r="AB137" s="21">
        <f>EXP(-LN(2)/2)*AB136+(1-EXP(-LN(2)/2))/(LN(2)/2)*V137*Y137*VLOOKUP('Données projet'!$B$9,Paramètres!$A$1:$I$89,3,0)*0.475*44/12</f>
        <v>0</v>
      </c>
      <c r="AC137" s="22">
        <f t="shared" si="111"/>
        <v>1.0670851267656809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319</v>
      </c>
      <c r="AJ137" s="13">
        <f>AI137*VLOOKUP('Données projet'!$B$10,Paramètres!$A$1:$I$89,3,0)*VLOOKUP('Données projet'!$B$10,Paramètres!$A$1:$I$89,5,0)</f>
        <v>209.00879999999998</v>
      </c>
      <c r="AK137" s="13">
        <f t="shared" si="143"/>
        <v>51.718923953824202</v>
      </c>
      <c r="AL137" s="20">
        <f t="shared" si="112"/>
        <v>454.10078588624373</v>
      </c>
      <c r="AM137" s="59">
        <f t="shared" si="113"/>
        <v>747.43411921957704</v>
      </c>
      <c r="AN137" s="59">
        <f ca="1">AVERAGE(OFFSET($AM$3,0,0,'Données projet'!$E$10+1,1))-AVERAGE(OFFSET($H$3,0,0,'Données projet'!$E$10+1,1))</f>
        <v>244.66788784685366</v>
      </c>
      <c r="AO137" s="59">
        <f t="shared" si="144"/>
        <v>252.04429018409274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12.192076705924134</v>
      </c>
      <c r="AV137" s="21">
        <f>EXP(-LN(2)/25)*AV136+(1-EXP(-LN(2)/25))/(LN(2)/25)*Calculateur!AQ137*Calculateur!AS137*VLOOKUP('Données projet'!$B$10,Paramètres!$A$1:$I$89,3,0)*0.475*44/12</f>
        <v>0</v>
      </c>
      <c r="AW137" s="21">
        <f>EXP(-LN(2)/2)*AW136+(1-EXP(-LN(2)/2))/(LN(2)/2)*AQ137*AT137*VLOOKUP('Données projet'!$B$10,Paramètres!$A$1:$I$89,3,0)*0.475*44/12</f>
        <v>0</v>
      </c>
      <c r="AX137" s="21">
        <f t="shared" si="114"/>
        <v>12.192076705924134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243.99999999999989</v>
      </c>
      <c r="BE137" s="13">
        <f>BD137*VLOOKUP('Données projet'!$B$11,Paramètres!$A$1:$I$89,3,0)*VLOOKUP('Données projet'!$B$11,Paramètres!$A$1:$I$89,5,0)</f>
        <v>232.19039999999987</v>
      </c>
      <c r="BF137" s="13">
        <f t="shared" si="145"/>
        <v>56.756035639094556</v>
      </c>
      <c r="BG137" s="20">
        <f t="shared" si="115"/>
        <v>503.24837540475619</v>
      </c>
      <c r="BH137" s="59">
        <f t="shared" si="116"/>
        <v>796.58170873808945</v>
      </c>
      <c r="BI137" s="59">
        <f ca="1">AVERAGE(OFFSET($BH$3,0,0,'Données projet'!$E$11+1,1))-AVERAGE(OFFSET($H$3,0,0,'Données projet'!$E$11+1,1))</f>
        <v>373.51596132356536</v>
      </c>
      <c r="BJ137" s="59">
        <f t="shared" si="146"/>
        <v>417.00150517020114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53.11754199547137</v>
      </c>
      <c r="BQ137" s="21">
        <f>EXP(-LN(2)/25)*BQ136+(1-EXP(-LN(2)/25))/(LN(2)/25)*Calculateur!BL137*Calculateur!BN137*VLOOKUP('Données projet'!$B$11,Paramètres!$A$1:$I$89,3,0)*0.475*44/12</f>
        <v>0</v>
      </c>
      <c r="BR137" s="21">
        <f>EXP(-LN(2)/2)*BR136+(1-EXP(-LN(2)/2))/(LN(2)/2)*BL137*BO137*VLOOKUP('Données projet'!$B$11,Paramètres!$A$1:$I$89,3,0)*0.475*44/12</f>
        <v>0</v>
      </c>
      <c r="BS137" s="22">
        <f t="shared" si="117"/>
        <v>53.11754199547137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267</v>
      </c>
      <c r="BZ137" s="13">
        <f>BY137*VLOOKUP('Données projet'!$B$12,Paramètres!$A$1:$I$89,3,0)*VLOOKUP('Données projet'!$B$12,Paramètres!$A$1:$I$89,5,0)</f>
        <v>241.58159999999998</v>
      </c>
      <c r="CA137" s="13">
        <f t="shared" si="147"/>
        <v>58.779689232021951</v>
      </c>
      <c r="CB137" s="20">
        <f t="shared" si="118"/>
        <v>523.12924541243819</v>
      </c>
      <c r="CC137" s="59">
        <f t="shared" si="119"/>
        <v>816.46257874577145</v>
      </c>
      <c r="CD137" s="59">
        <f ca="1">AVERAGE(OFFSET($CC$3,0,0,'Données projet'!$E$12+1,1))-AVERAGE(OFFSET($H$3,0,0,'Données projet'!$E$12+1,1))</f>
        <v>289.19622253646992</v>
      </c>
      <c r="CE137" s="59">
        <f t="shared" si="148"/>
        <v>191.23827338431175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>
        <f>EXP(-LN(2)/35)*CK136+(1-EXP(-LN(2)/35))/(LN(2)/35)*CG137*CH137*VLOOKUP('Données projet'!$B$12,Paramètres!$A$1:$I$89,3,0)*0.475*44/12</f>
        <v>51.883311124984893</v>
      </c>
      <c r="CL137" s="21">
        <f>EXP(-LN(2)/25)*CL136+(1-EXP(-LN(2)/25))/(LN(2)/25)*Calculateur!CG137*Calculateur!CI137*VLOOKUP('Données projet'!$B$12,Paramètres!$A$1:$I$89,3,0)*0.475*44/12</f>
        <v>0</v>
      </c>
      <c r="CM137" s="21">
        <f>EXP(-LN(2)/2)*CM136+(1-EXP(-LN(2)/2))/(LN(2)/2)*CG137*CJ137*VLOOKUP('Données projet'!$B$12,Paramètres!$A$1:$I$89,3,0)*0.475*44/12</f>
        <v>0</v>
      </c>
      <c r="CN137" s="22">
        <f t="shared" si="120"/>
        <v>51.883311124984893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3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77.922000000000025</v>
      </c>
      <c r="D138" s="11">
        <f t="shared" si="140"/>
        <v>21.628326707431391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768.45866230297952</v>
      </c>
      <c r="H138" s="67">
        <f t="shared" si="110"/>
        <v>430.05015234877641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304.99999999999983</v>
      </c>
      <c r="O138" s="13">
        <f>N138*VLOOKUP('Données projet'!$B$9,Paramètres!$A$1:$I$89,3,0)*VLOOKUP('Données projet'!$B$9,Paramètres!$A$1:$I$89,5,0)</f>
        <v>275.96399999999983</v>
      </c>
      <c r="P138" s="13">
        <f t="shared" si="141"/>
        <v>66.113366665488854</v>
      </c>
      <c r="Q138" s="20">
        <f t="shared" si="108"/>
        <v>595.78474694239264</v>
      </c>
      <c r="R138" s="59">
        <f t="shared" si="109"/>
        <v>889.11808027572602</v>
      </c>
      <c r="S138" s="59">
        <f ca="1">AVERAGE(OFFSET($R$3,0,0,'Données projet'!$E$9+1,1))-AVERAGE(OFFSET($H$3,0,0,'Données projet'!$E$9+1,1))</f>
        <v>336.59194805061094</v>
      </c>
      <c r="T138" s="59">
        <f t="shared" si="142"/>
        <v>473.66884161123909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1.0461602382874664</v>
      </c>
      <c r="AA138" s="21">
        <f>EXP(-LN(2)/25)*AA137+(1-EXP(-LN(2)/25))/(LN(2)/25)*Calculateur!V138*Calculateur!X138*VLOOKUP('Données projet'!$B$9,Paramètres!$A$1:$I$89,3,0)*0.475*44/12</f>
        <v>0</v>
      </c>
      <c r="AB138" s="21">
        <f>EXP(-LN(2)/2)*AB137+(1-EXP(-LN(2)/2))/(LN(2)/2)*V138*Y138*VLOOKUP('Données projet'!$B$9,Paramètres!$A$1:$I$89,3,0)*0.475*44/12</f>
        <v>0</v>
      </c>
      <c r="AC138" s="22">
        <f t="shared" si="111"/>
        <v>1.0461602382874664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319</v>
      </c>
      <c r="AJ138" s="13">
        <f>AI138*VLOOKUP('Données projet'!$B$10,Paramètres!$A$1:$I$89,3,0)*VLOOKUP('Données projet'!$B$10,Paramètres!$A$1:$I$89,5,0)</f>
        <v>209.00879999999998</v>
      </c>
      <c r="AK138" s="13">
        <f t="shared" si="143"/>
        <v>51.718923953824202</v>
      </c>
      <c r="AL138" s="20">
        <f t="shared" si="112"/>
        <v>454.10078588624373</v>
      </c>
      <c r="AM138" s="59">
        <f t="shared" si="113"/>
        <v>747.43411921957704</v>
      </c>
      <c r="AN138" s="59">
        <f ca="1">AVERAGE(OFFSET($AM$3,0,0,'Données projet'!$E$10+1,1))-AVERAGE(OFFSET($H$3,0,0,'Données projet'!$E$10+1,1))</f>
        <v>244.66788784685366</v>
      </c>
      <c r="AO138" s="59">
        <f t="shared" si="144"/>
        <v>252.04429018409274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11.952997518153465</v>
      </c>
      <c r="AV138" s="21">
        <f>EXP(-LN(2)/25)*AV137+(1-EXP(-LN(2)/25))/(LN(2)/25)*Calculateur!AQ138*Calculateur!AS138*VLOOKUP('Données projet'!$B$10,Paramètres!$A$1:$I$89,3,0)*0.475*44/12</f>
        <v>0</v>
      </c>
      <c r="AW138" s="21">
        <f>EXP(-LN(2)/2)*AW137+(1-EXP(-LN(2)/2))/(LN(2)/2)*AQ138*AT138*VLOOKUP('Données projet'!$B$10,Paramètres!$A$1:$I$89,3,0)*0.475*44/12</f>
        <v>0</v>
      </c>
      <c r="AX138" s="21">
        <f t="shared" si="114"/>
        <v>11.952997518153465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243.99999999999989</v>
      </c>
      <c r="BE138" s="13">
        <f>BD138*VLOOKUP('Données projet'!$B$11,Paramètres!$A$1:$I$89,3,0)*VLOOKUP('Données projet'!$B$11,Paramètres!$A$1:$I$89,5,0)</f>
        <v>232.19039999999987</v>
      </c>
      <c r="BF138" s="13">
        <f t="shared" si="145"/>
        <v>56.756035639094556</v>
      </c>
      <c r="BG138" s="20">
        <f t="shared" si="115"/>
        <v>503.24837540475619</v>
      </c>
      <c r="BH138" s="59">
        <f t="shared" si="116"/>
        <v>796.58170873808945</v>
      </c>
      <c r="BI138" s="59">
        <f ca="1">AVERAGE(OFFSET($BH$3,0,0,'Données projet'!$E$11+1,1))-AVERAGE(OFFSET($H$3,0,0,'Données projet'!$E$11+1,1))</f>
        <v>373.51596132356536</v>
      </c>
      <c r="BJ138" s="59">
        <f t="shared" si="146"/>
        <v>417.00150517020114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52.075939395441708</v>
      </c>
      <c r="BQ138" s="21">
        <f>EXP(-LN(2)/25)*BQ137+(1-EXP(-LN(2)/25))/(LN(2)/25)*Calculateur!BL138*Calculateur!BN138*VLOOKUP('Données projet'!$B$11,Paramètres!$A$1:$I$89,3,0)*0.475*44/12</f>
        <v>0</v>
      </c>
      <c r="BR138" s="21">
        <f>EXP(-LN(2)/2)*BR137+(1-EXP(-LN(2)/2))/(LN(2)/2)*BL138*BO138*VLOOKUP('Données projet'!$B$11,Paramètres!$A$1:$I$89,3,0)*0.475*44/12</f>
        <v>0</v>
      </c>
      <c r="BS138" s="22">
        <f t="shared" si="117"/>
        <v>52.075939395441708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267</v>
      </c>
      <c r="BZ138" s="13">
        <f>BY138*VLOOKUP('Données projet'!$B$12,Paramètres!$A$1:$I$89,3,0)*VLOOKUP('Données projet'!$B$12,Paramètres!$A$1:$I$89,5,0)</f>
        <v>241.58159999999998</v>
      </c>
      <c r="CA138" s="13">
        <f t="shared" si="147"/>
        <v>58.779689232021951</v>
      </c>
      <c r="CB138" s="20">
        <f t="shared" si="118"/>
        <v>523.12924541243819</v>
      </c>
      <c r="CC138" s="59">
        <f t="shared" si="119"/>
        <v>816.46257874577145</v>
      </c>
      <c r="CD138" s="59">
        <f ca="1">AVERAGE(OFFSET($CC$3,0,0,'Données projet'!$E$12+1,1))-AVERAGE(OFFSET($H$3,0,0,'Données projet'!$E$12+1,1))</f>
        <v>289.19622253646992</v>
      </c>
      <c r="CE138" s="59">
        <f t="shared" si="148"/>
        <v>191.23827338431175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>
        <f>EXP(-LN(2)/35)*CK137+(1-EXP(-LN(2)/35))/(LN(2)/35)*CG138*CH138*VLOOKUP('Données projet'!$B$12,Paramètres!$A$1:$I$89,3,0)*0.475*44/12</f>
        <v>50.86591103951897</v>
      </c>
      <c r="CL138" s="21">
        <f>EXP(-LN(2)/25)*CL137+(1-EXP(-LN(2)/25))/(LN(2)/25)*Calculateur!CG138*Calculateur!CI138*VLOOKUP('Données projet'!$B$12,Paramètres!$A$1:$I$89,3,0)*0.475*44/12</f>
        <v>0</v>
      </c>
      <c r="CM138" s="21">
        <f>EXP(-LN(2)/2)*CM137+(1-EXP(-LN(2)/2))/(LN(2)/2)*CG138*CJ138*VLOOKUP('Données projet'!$B$12,Paramètres!$A$1:$I$89,3,0)*0.475*44/12</f>
        <v>0</v>
      </c>
      <c r="CN138" s="22">
        <f t="shared" si="120"/>
        <v>50.86591103951897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3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78.49920000000003</v>
      </c>
      <c r="D139" s="11">
        <f t="shared" si="140"/>
        <v>21.769827249855176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774.00652613923319</v>
      </c>
      <c r="H139" s="67">
        <f t="shared" si="110"/>
        <v>431.30188912683116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304.99999999999983</v>
      </c>
      <c r="O139" s="13">
        <f>N139*VLOOKUP('Données projet'!$B$9,Paramètres!$A$1:$I$89,3,0)*VLOOKUP('Données projet'!$B$9,Paramètres!$A$1:$I$89,5,0)</f>
        <v>275.96399999999983</v>
      </c>
      <c r="P139" s="13">
        <f t="shared" si="141"/>
        <v>66.113366665488854</v>
      </c>
      <c r="Q139" s="20">
        <f t="shared" si="108"/>
        <v>595.78474694239264</v>
      </c>
      <c r="R139" s="59">
        <f t="shared" si="109"/>
        <v>889.11808027572602</v>
      </c>
      <c r="S139" s="59">
        <f ca="1">AVERAGE(OFFSET($R$3,0,0,'Données projet'!$E$9+1,1))-AVERAGE(OFFSET($H$3,0,0,'Données projet'!$E$9+1,1))</f>
        <v>336.59194805061094</v>
      </c>
      <c r="T139" s="59">
        <f t="shared" si="142"/>
        <v>473.66884161123909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1.025645674109388</v>
      </c>
      <c r="AA139" s="21">
        <f>EXP(-LN(2)/25)*AA138+(1-EXP(-LN(2)/25))/(LN(2)/25)*Calculateur!V139*Calculateur!X139*VLOOKUP('Données projet'!$B$9,Paramètres!$A$1:$I$89,3,0)*0.475*44/12</f>
        <v>0</v>
      </c>
      <c r="AB139" s="21">
        <f>EXP(-LN(2)/2)*AB138+(1-EXP(-LN(2)/2))/(LN(2)/2)*V139*Y139*VLOOKUP('Données projet'!$B$9,Paramètres!$A$1:$I$89,3,0)*0.475*44/12</f>
        <v>0</v>
      </c>
      <c r="AC139" s="22">
        <f t="shared" si="111"/>
        <v>1.025645674109388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319</v>
      </c>
      <c r="AJ139" s="13">
        <f>AI139*VLOOKUP('Données projet'!$B$10,Paramètres!$A$1:$I$89,3,0)*VLOOKUP('Données projet'!$B$10,Paramètres!$A$1:$I$89,5,0)</f>
        <v>209.00879999999998</v>
      </c>
      <c r="AK139" s="13">
        <f t="shared" si="143"/>
        <v>51.718923953824202</v>
      </c>
      <c r="AL139" s="20">
        <f t="shared" si="112"/>
        <v>454.10078588624373</v>
      </c>
      <c r="AM139" s="59">
        <f t="shared" si="113"/>
        <v>747.43411921957704</v>
      </c>
      <c r="AN139" s="59">
        <f ca="1">AVERAGE(OFFSET($AM$3,0,0,'Données projet'!$E$10+1,1))-AVERAGE(OFFSET($H$3,0,0,'Données projet'!$E$10+1,1))</f>
        <v>244.66788784685366</v>
      </c>
      <c r="AO139" s="59">
        <f t="shared" si="144"/>
        <v>252.04429018409274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11.718606527431074</v>
      </c>
      <c r="AV139" s="21">
        <f>EXP(-LN(2)/25)*AV138+(1-EXP(-LN(2)/25))/(LN(2)/25)*Calculateur!AQ139*Calculateur!AS139*VLOOKUP('Données projet'!$B$10,Paramètres!$A$1:$I$89,3,0)*0.475*44/12</f>
        <v>0</v>
      </c>
      <c r="AW139" s="21">
        <f>EXP(-LN(2)/2)*AW138+(1-EXP(-LN(2)/2))/(LN(2)/2)*AQ139*AT139*VLOOKUP('Données projet'!$B$10,Paramètres!$A$1:$I$89,3,0)*0.475*44/12</f>
        <v>0</v>
      </c>
      <c r="AX139" s="21">
        <f t="shared" si="114"/>
        <v>11.718606527431074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243.99999999999989</v>
      </c>
      <c r="BE139" s="13">
        <f>BD139*VLOOKUP('Données projet'!$B$11,Paramètres!$A$1:$I$89,3,0)*VLOOKUP('Données projet'!$B$11,Paramètres!$A$1:$I$89,5,0)</f>
        <v>232.19039999999987</v>
      </c>
      <c r="BF139" s="13">
        <f t="shared" si="145"/>
        <v>56.756035639094556</v>
      </c>
      <c r="BG139" s="20">
        <f t="shared" si="115"/>
        <v>503.24837540475619</v>
      </c>
      <c r="BH139" s="59">
        <f t="shared" si="116"/>
        <v>796.58170873808945</v>
      </c>
      <c r="BI139" s="59">
        <f ca="1">AVERAGE(OFFSET($BH$3,0,0,'Données projet'!$E$11+1,1))-AVERAGE(OFFSET($H$3,0,0,'Données projet'!$E$11+1,1))</f>
        <v>373.51596132356536</v>
      </c>
      <c r="BJ139" s="59">
        <f t="shared" si="146"/>
        <v>417.00150517020114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51.054761987083772</v>
      </c>
      <c r="BQ139" s="21">
        <f>EXP(-LN(2)/25)*BQ138+(1-EXP(-LN(2)/25))/(LN(2)/25)*Calculateur!BL139*Calculateur!BN139*VLOOKUP('Données projet'!$B$11,Paramètres!$A$1:$I$89,3,0)*0.475*44/12</f>
        <v>0</v>
      </c>
      <c r="BR139" s="21">
        <f>EXP(-LN(2)/2)*BR138+(1-EXP(-LN(2)/2))/(LN(2)/2)*BL139*BO139*VLOOKUP('Données projet'!$B$11,Paramètres!$A$1:$I$89,3,0)*0.475*44/12</f>
        <v>0</v>
      </c>
      <c r="BS139" s="22">
        <f t="shared" si="117"/>
        <v>51.054761987083772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267</v>
      </c>
      <c r="BZ139" s="13">
        <f>BY139*VLOOKUP('Données projet'!$B$12,Paramètres!$A$1:$I$89,3,0)*VLOOKUP('Données projet'!$B$12,Paramètres!$A$1:$I$89,5,0)</f>
        <v>241.58159999999998</v>
      </c>
      <c r="CA139" s="13">
        <f t="shared" si="147"/>
        <v>58.779689232021951</v>
      </c>
      <c r="CB139" s="20">
        <f t="shared" si="118"/>
        <v>523.12924541243819</v>
      </c>
      <c r="CC139" s="59">
        <f t="shared" si="119"/>
        <v>816.46257874577145</v>
      </c>
      <c r="CD139" s="59">
        <f ca="1">AVERAGE(OFFSET($CC$3,0,0,'Données projet'!$E$12+1,1))-AVERAGE(OFFSET($H$3,0,0,'Données projet'!$E$12+1,1))</f>
        <v>289.19622253646992</v>
      </c>
      <c r="CE139" s="59">
        <f t="shared" si="148"/>
        <v>191.23827338431175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>
        <f>EXP(-LN(2)/35)*CK138+(1-EXP(-LN(2)/35))/(LN(2)/35)*CG139*CH139*VLOOKUP('Données projet'!$B$12,Paramètres!$A$1:$I$89,3,0)*0.475*44/12</f>
        <v>49.86846154917626</v>
      </c>
      <c r="CL139" s="21">
        <f>EXP(-LN(2)/25)*CL138+(1-EXP(-LN(2)/25))/(LN(2)/25)*Calculateur!CG139*Calculateur!CI139*VLOOKUP('Données projet'!$B$12,Paramètres!$A$1:$I$89,3,0)*0.475*44/12</f>
        <v>0</v>
      </c>
      <c r="CM139" s="21">
        <f>EXP(-LN(2)/2)*CM138+(1-EXP(-LN(2)/2))/(LN(2)/2)*CG139*CJ139*VLOOKUP('Données projet'!$B$12,Paramètres!$A$1:$I$89,3,0)*0.475*44/12</f>
        <v>0</v>
      </c>
      <c r="CN139" s="22">
        <f t="shared" si="120"/>
        <v>49.86846154917626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3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79.076400000000035</v>
      </c>
      <c r="D140" s="11">
        <f t="shared" si="140"/>
        <v>21.91120673512015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779.55345549917331</v>
      </c>
      <c r="H140" s="67">
        <f t="shared" si="110"/>
        <v>432.55341506366767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304.99999999999983</v>
      </c>
      <c r="O140" s="13">
        <f>N140*VLOOKUP('Données projet'!$B$9,Paramètres!$A$1:$I$89,3,0)*VLOOKUP('Données projet'!$B$9,Paramètres!$A$1:$I$89,5,0)</f>
        <v>275.96399999999983</v>
      </c>
      <c r="P140" s="13">
        <f t="shared" si="141"/>
        <v>66.113366665488854</v>
      </c>
      <c r="Q140" s="20">
        <f t="shared" si="108"/>
        <v>595.78474694239264</v>
      </c>
      <c r="R140" s="59">
        <f t="shared" si="109"/>
        <v>889.11808027572602</v>
      </c>
      <c r="S140" s="59">
        <f ca="1">AVERAGE(OFFSET($R$3,0,0,'Données projet'!$E$9+1,1))-AVERAGE(OFFSET($H$3,0,0,'Données projet'!$E$9+1,1))</f>
        <v>336.59194805061094</v>
      </c>
      <c r="T140" s="59">
        <f t="shared" si="142"/>
        <v>473.66884161123909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1.0055333880221931</v>
      </c>
      <c r="AA140" s="21">
        <f>EXP(-LN(2)/25)*AA139+(1-EXP(-LN(2)/25))/(LN(2)/25)*Calculateur!V140*Calculateur!X140*VLOOKUP('Données projet'!$B$9,Paramètres!$A$1:$I$89,3,0)*0.475*44/12</f>
        <v>0</v>
      </c>
      <c r="AB140" s="21">
        <f>EXP(-LN(2)/2)*AB139+(1-EXP(-LN(2)/2))/(LN(2)/2)*V140*Y140*VLOOKUP('Données projet'!$B$9,Paramètres!$A$1:$I$89,3,0)*0.475*44/12</f>
        <v>0</v>
      </c>
      <c r="AC140" s="22">
        <f t="shared" si="111"/>
        <v>1.0055333880221931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319</v>
      </c>
      <c r="AJ140" s="13">
        <f>AI140*VLOOKUP('Données projet'!$B$10,Paramètres!$A$1:$I$89,3,0)*VLOOKUP('Données projet'!$B$10,Paramètres!$A$1:$I$89,5,0)</f>
        <v>209.00879999999998</v>
      </c>
      <c r="AK140" s="13">
        <f t="shared" si="143"/>
        <v>51.718923953824202</v>
      </c>
      <c r="AL140" s="20">
        <f t="shared" si="112"/>
        <v>454.10078588624373</v>
      </c>
      <c r="AM140" s="59">
        <f t="shared" si="113"/>
        <v>747.43411921957704</v>
      </c>
      <c r="AN140" s="59">
        <f ca="1">AVERAGE(OFFSET($AM$3,0,0,'Données projet'!$E$10+1,1))-AVERAGE(OFFSET($H$3,0,0,'Données projet'!$E$10+1,1))</f>
        <v>244.66788784685366</v>
      </c>
      <c r="AO140" s="59">
        <f t="shared" si="144"/>
        <v>252.04429018409274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11.488811801072361</v>
      </c>
      <c r="AV140" s="21">
        <f>EXP(-LN(2)/25)*AV139+(1-EXP(-LN(2)/25))/(LN(2)/25)*Calculateur!AQ140*Calculateur!AS140*VLOOKUP('Données projet'!$B$10,Paramètres!$A$1:$I$89,3,0)*0.475*44/12</f>
        <v>0</v>
      </c>
      <c r="AW140" s="21">
        <f>EXP(-LN(2)/2)*AW139+(1-EXP(-LN(2)/2))/(LN(2)/2)*AQ140*AT140*VLOOKUP('Données projet'!$B$10,Paramètres!$A$1:$I$89,3,0)*0.475*44/12</f>
        <v>0</v>
      </c>
      <c r="AX140" s="21">
        <f t="shared" si="114"/>
        <v>11.488811801072361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243.99999999999989</v>
      </c>
      <c r="BE140" s="13">
        <f>BD140*VLOOKUP('Données projet'!$B$11,Paramètres!$A$1:$I$89,3,0)*VLOOKUP('Données projet'!$B$11,Paramètres!$A$1:$I$89,5,0)</f>
        <v>232.19039999999987</v>
      </c>
      <c r="BF140" s="13">
        <f t="shared" si="145"/>
        <v>56.756035639094556</v>
      </c>
      <c r="BG140" s="20">
        <f t="shared" si="115"/>
        <v>503.24837540475619</v>
      </c>
      <c r="BH140" s="59">
        <f t="shared" si="116"/>
        <v>796.58170873808945</v>
      </c>
      <c r="BI140" s="59">
        <f ca="1">AVERAGE(OFFSET($BH$3,0,0,'Données projet'!$E$11+1,1))-AVERAGE(OFFSET($H$3,0,0,'Données projet'!$E$11+1,1))</f>
        <v>373.51596132356536</v>
      </c>
      <c r="BJ140" s="59">
        <f t="shared" si="146"/>
        <v>417.00150517020114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50.053609244847017</v>
      </c>
      <c r="BQ140" s="21">
        <f>EXP(-LN(2)/25)*BQ139+(1-EXP(-LN(2)/25))/(LN(2)/25)*Calculateur!BL140*Calculateur!BN140*VLOOKUP('Données projet'!$B$11,Paramètres!$A$1:$I$89,3,0)*0.475*44/12</f>
        <v>0</v>
      </c>
      <c r="BR140" s="21">
        <f>EXP(-LN(2)/2)*BR139+(1-EXP(-LN(2)/2))/(LN(2)/2)*BL140*BO140*VLOOKUP('Données projet'!$B$11,Paramètres!$A$1:$I$89,3,0)*0.475*44/12</f>
        <v>0</v>
      </c>
      <c r="BS140" s="22">
        <f t="shared" si="117"/>
        <v>50.053609244847017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267</v>
      </c>
      <c r="BZ140" s="13">
        <f>BY140*VLOOKUP('Données projet'!$B$12,Paramètres!$A$1:$I$89,3,0)*VLOOKUP('Données projet'!$B$12,Paramètres!$A$1:$I$89,5,0)</f>
        <v>241.58159999999998</v>
      </c>
      <c r="CA140" s="13">
        <f t="shared" si="147"/>
        <v>58.779689232021951</v>
      </c>
      <c r="CB140" s="20">
        <f t="shared" si="118"/>
        <v>523.12924541243819</v>
      </c>
      <c r="CC140" s="59">
        <f t="shared" si="119"/>
        <v>816.46257874577145</v>
      </c>
      <c r="CD140" s="59">
        <f ca="1">AVERAGE(OFFSET($CC$3,0,0,'Données projet'!$E$12+1,1))-AVERAGE(OFFSET($H$3,0,0,'Données projet'!$E$12+1,1))</f>
        <v>289.19622253646992</v>
      </c>
      <c r="CE140" s="59">
        <f t="shared" si="148"/>
        <v>191.23827338431175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>
        <f>EXP(-LN(2)/35)*CK139+(1-EXP(-LN(2)/35))/(LN(2)/35)*CG140*CH140*VLOOKUP('Données projet'!$B$12,Paramètres!$A$1:$I$89,3,0)*0.475*44/12</f>
        <v>48.890571434955056</v>
      </c>
      <c r="CL140" s="21">
        <f>EXP(-LN(2)/25)*CL139+(1-EXP(-LN(2)/25))/(LN(2)/25)*Calculateur!CG140*Calculateur!CI140*VLOOKUP('Données projet'!$B$12,Paramètres!$A$1:$I$89,3,0)*0.475*44/12</f>
        <v>0</v>
      </c>
      <c r="CM140" s="21">
        <f>EXP(-LN(2)/2)*CM139+(1-EXP(-LN(2)/2))/(LN(2)/2)*CG140*CJ140*VLOOKUP('Données projet'!$B$12,Paramètres!$A$1:$I$89,3,0)*0.475*44/12</f>
        <v>0</v>
      </c>
      <c r="CN140" s="22">
        <f t="shared" si="120"/>
        <v>48.890571434955056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3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79.65360000000004</v>
      </c>
      <c r="D141" s="11">
        <f t="shared" si="140"/>
        <v>22.052466149308245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785.0994579946605</v>
      </c>
      <c r="H141" s="67">
        <f t="shared" si="110"/>
        <v>433.80473187671191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304.99999999999983</v>
      </c>
      <c r="O141" s="13">
        <f>N141*VLOOKUP('Données projet'!$B$9,Paramètres!$A$1:$I$89,3,0)*VLOOKUP('Données projet'!$B$9,Paramètres!$A$1:$I$89,5,0)</f>
        <v>275.96399999999983</v>
      </c>
      <c r="P141" s="13">
        <f t="shared" si="141"/>
        <v>66.113366665488854</v>
      </c>
      <c r="Q141" s="20">
        <f t="shared" si="108"/>
        <v>595.78474694239264</v>
      </c>
      <c r="R141" s="59">
        <f t="shared" si="109"/>
        <v>889.11808027572602</v>
      </c>
      <c r="S141" s="59">
        <f ca="1">AVERAGE(OFFSET($R$3,0,0,'Données projet'!$E$9+1,1))-AVERAGE(OFFSET($H$3,0,0,'Données projet'!$E$9+1,1))</f>
        <v>336.59194805061094</v>
      </c>
      <c r="T141" s="59">
        <f t="shared" si="142"/>
        <v>473.66884161123909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0.98581549159788473</v>
      </c>
      <c r="AA141" s="21">
        <f>EXP(-LN(2)/25)*AA140+(1-EXP(-LN(2)/25))/(LN(2)/25)*Calculateur!V141*Calculateur!X141*VLOOKUP('Données projet'!$B$9,Paramètres!$A$1:$I$89,3,0)*0.475*44/12</f>
        <v>0</v>
      </c>
      <c r="AB141" s="21">
        <f>EXP(-LN(2)/2)*AB140+(1-EXP(-LN(2)/2))/(LN(2)/2)*V141*Y141*VLOOKUP('Données projet'!$B$9,Paramètres!$A$1:$I$89,3,0)*0.475*44/12</f>
        <v>0</v>
      </c>
      <c r="AC141" s="22">
        <f t="shared" si="111"/>
        <v>0.98581549159788473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319</v>
      </c>
      <c r="AJ141" s="13">
        <f>AI141*VLOOKUP('Données projet'!$B$10,Paramètres!$A$1:$I$89,3,0)*VLOOKUP('Données projet'!$B$10,Paramètres!$A$1:$I$89,5,0)</f>
        <v>209.00879999999998</v>
      </c>
      <c r="AK141" s="13">
        <f t="shared" si="143"/>
        <v>51.718923953824202</v>
      </c>
      <c r="AL141" s="20">
        <f t="shared" si="112"/>
        <v>454.10078588624373</v>
      </c>
      <c r="AM141" s="59">
        <f t="shared" si="113"/>
        <v>747.43411921957704</v>
      </c>
      <c r="AN141" s="59">
        <f ca="1">AVERAGE(OFFSET($AM$3,0,0,'Données projet'!$E$10+1,1))-AVERAGE(OFFSET($H$3,0,0,'Données projet'!$E$10+1,1))</f>
        <v>244.66788784685366</v>
      </c>
      <c r="AO141" s="59">
        <f t="shared" si="144"/>
        <v>252.04429018409274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11.263523209136599</v>
      </c>
      <c r="AV141" s="21">
        <f>EXP(-LN(2)/25)*AV140+(1-EXP(-LN(2)/25))/(LN(2)/25)*Calculateur!AQ141*Calculateur!AS141*VLOOKUP('Données projet'!$B$10,Paramètres!$A$1:$I$89,3,0)*0.475*44/12</f>
        <v>0</v>
      </c>
      <c r="AW141" s="21">
        <f>EXP(-LN(2)/2)*AW140+(1-EXP(-LN(2)/2))/(LN(2)/2)*AQ141*AT141*VLOOKUP('Données projet'!$B$10,Paramètres!$A$1:$I$89,3,0)*0.475*44/12</f>
        <v>0</v>
      </c>
      <c r="AX141" s="21">
        <f t="shared" si="114"/>
        <v>11.263523209136599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243.99999999999989</v>
      </c>
      <c r="BE141" s="13">
        <f>BD141*VLOOKUP('Données projet'!$B$11,Paramètres!$A$1:$I$89,3,0)*VLOOKUP('Données projet'!$B$11,Paramètres!$A$1:$I$89,5,0)</f>
        <v>232.19039999999987</v>
      </c>
      <c r="BF141" s="13">
        <f t="shared" si="145"/>
        <v>56.756035639094556</v>
      </c>
      <c r="BG141" s="20">
        <f t="shared" si="115"/>
        <v>503.24837540475619</v>
      </c>
      <c r="BH141" s="59">
        <f t="shared" si="116"/>
        <v>796.58170873808945</v>
      </c>
      <c r="BI141" s="59">
        <f ca="1">AVERAGE(OFFSET($BH$3,0,0,'Données projet'!$E$11+1,1))-AVERAGE(OFFSET($H$3,0,0,'Données projet'!$E$11+1,1))</f>
        <v>373.51596132356536</v>
      </c>
      <c r="BJ141" s="59">
        <f t="shared" si="146"/>
        <v>417.00150517020114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49.072088497242653</v>
      </c>
      <c r="BQ141" s="21">
        <f>EXP(-LN(2)/25)*BQ140+(1-EXP(-LN(2)/25))/(LN(2)/25)*Calculateur!BL141*Calculateur!BN141*VLOOKUP('Données projet'!$B$11,Paramètres!$A$1:$I$89,3,0)*0.475*44/12</f>
        <v>0</v>
      </c>
      <c r="BR141" s="21">
        <f>EXP(-LN(2)/2)*BR140+(1-EXP(-LN(2)/2))/(LN(2)/2)*BL141*BO141*VLOOKUP('Données projet'!$B$11,Paramètres!$A$1:$I$89,3,0)*0.475*44/12</f>
        <v>0</v>
      </c>
      <c r="BS141" s="22">
        <f t="shared" si="117"/>
        <v>49.072088497242653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267</v>
      </c>
      <c r="BZ141" s="13">
        <f>BY141*VLOOKUP('Données projet'!$B$12,Paramètres!$A$1:$I$89,3,0)*VLOOKUP('Données projet'!$B$12,Paramètres!$A$1:$I$89,5,0)</f>
        <v>241.58159999999998</v>
      </c>
      <c r="CA141" s="13">
        <f t="shared" si="147"/>
        <v>58.779689232021951</v>
      </c>
      <c r="CB141" s="20">
        <f t="shared" si="118"/>
        <v>523.12924541243819</v>
      </c>
      <c r="CC141" s="59">
        <f t="shared" si="119"/>
        <v>816.46257874577145</v>
      </c>
      <c r="CD141" s="59">
        <f ca="1">AVERAGE(OFFSET($CC$3,0,0,'Données projet'!$E$12+1,1))-AVERAGE(OFFSET($H$3,0,0,'Données projet'!$E$12+1,1))</f>
        <v>289.19622253646992</v>
      </c>
      <c r="CE141" s="59">
        <f t="shared" si="148"/>
        <v>191.23827338431175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>
        <f>EXP(-LN(2)/35)*CK140+(1-EXP(-LN(2)/35))/(LN(2)/35)*CG141*CH141*VLOOKUP('Données projet'!$B$12,Paramètres!$A$1:$I$89,3,0)*0.475*44/12</f>
        <v>47.931857149419656</v>
      </c>
      <c r="CL141" s="21">
        <f>EXP(-LN(2)/25)*CL140+(1-EXP(-LN(2)/25))/(LN(2)/25)*Calculateur!CG141*Calculateur!CI141*VLOOKUP('Données projet'!$B$12,Paramètres!$A$1:$I$89,3,0)*0.475*44/12</f>
        <v>0</v>
      </c>
      <c r="CM141" s="21">
        <f>EXP(-LN(2)/2)*CM140+(1-EXP(-LN(2)/2))/(LN(2)/2)*CG141*CJ141*VLOOKUP('Données projet'!$B$12,Paramètres!$A$1:$I$89,3,0)*0.475*44/12</f>
        <v>0</v>
      </c>
      <c r="CN141" s="22">
        <f t="shared" si="120"/>
        <v>47.931857149419656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3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80.230800000000045</v>
      </c>
      <c r="D142" s="11">
        <f t="shared" si="140"/>
        <v>22.193606463384558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790.64454112086366</v>
      </c>
      <c r="H142" s="67">
        <f t="shared" si="110"/>
        <v>435.0558412570615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304.99999999999983</v>
      </c>
      <c r="O142" s="13">
        <f>N142*VLOOKUP('Données projet'!$B$9,Paramètres!$A$1:$I$89,3,0)*VLOOKUP('Données projet'!$B$9,Paramètres!$A$1:$I$89,5,0)</f>
        <v>275.96399999999983</v>
      </c>
      <c r="P142" s="13">
        <f t="shared" si="141"/>
        <v>66.113366665488854</v>
      </c>
      <c r="Q142" s="20">
        <f t="shared" si="108"/>
        <v>595.78474694239264</v>
      </c>
      <c r="R142" s="59">
        <f t="shared" si="109"/>
        <v>889.11808027572602</v>
      </c>
      <c r="S142" s="59">
        <f ca="1">AVERAGE(OFFSET($R$3,0,0,'Données projet'!$E$9+1,1))-AVERAGE(OFFSET($H$3,0,0,'Données projet'!$E$9+1,1))</f>
        <v>336.59194805061094</v>
      </c>
      <c r="T142" s="59">
        <f t="shared" si="142"/>
        <v>473.66884161123909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0.96648425109572778</v>
      </c>
      <c r="AA142" s="21">
        <f>EXP(-LN(2)/25)*AA141+(1-EXP(-LN(2)/25))/(LN(2)/25)*Calculateur!V142*Calculateur!X142*VLOOKUP('Données projet'!$B$9,Paramètres!$A$1:$I$89,3,0)*0.475*44/12</f>
        <v>0</v>
      </c>
      <c r="AB142" s="21">
        <f>EXP(-LN(2)/2)*AB141+(1-EXP(-LN(2)/2))/(LN(2)/2)*V142*Y142*VLOOKUP('Données projet'!$B$9,Paramètres!$A$1:$I$89,3,0)*0.475*44/12</f>
        <v>0</v>
      </c>
      <c r="AC142" s="22">
        <f t="shared" si="111"/>
        <v>0.96648425109572778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319</v>
      </c>
      <c r="AJ142" s="13">
        <f>AI142*VLOOKUP('Données projet'!$B$10,Paramètres!$A$1:$I$89,3,0)*VLOOKUP('Données projet'!$B$10,Paramètres!$A$1:$I$89,5,0)</f>
        <v>209.00879999999998</v>
      </c>
      <c r="AK142" s="13">
        <f t="shared" si="143"/>
        <v>51.718923953824202</v>
      </c>
      <c r="AL142" s="20">
        <f t="shared" si="112"/>
        <v>454.10078588624373</v>
      </c>
      <c r="AM142" s="59">
        <f t="shared" si="113"/>
        <v>747.43411921957704</v>
      </c>
      <c r="AN142" s="59">
        <f ca="1">AVERAGE(OFFSET($AM$3,0,0,'Données projet'!$E$10+1,1))-AVERAGE(OFFSET($H$3,0,0,'Données projet'!$E$10+1,1))</f>
        <v>244.66788784685366</v>
      </c>
      <c r="AO142" s="59">
        <f t="shared" si="144"/>
        <v>252.04429018409274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11.042652389076224</v>
      </c>
      <c r="AV142" s="21">
        <f>EXP(-LN(2)/25)*AV141+(1-EXP(-LN(2)/25))/(LN(2)/25)*Calculateur!AQ142*Calculateur!AS142*VLOOKUP('Données projet'!$B$10,Paramètres!$A$1:$I$89,3,0)*0.475*44/12</f>
        <v>0</v>
      </c>
      <c r="AW142" s="21">
        <f>EXP(-LN(2)/2)*AW141+(1-EXP(-LN(2)/2))/(LN(2)/2)*AQ142*AT142*VLOOKUP('Données projet'!$B$10,Paramètres!$A$1:$I$89,3,0)*0.475*44/12</f>
        <v>0</v>
      </c>
      <c r="AX142" s="21">
        <f t="shared" si="114"/>
        <v>11.042652389076224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243.99999999999989</v>
      </c>
      <c r="BE142" s="13">
        <f>BD142*VLOOKUP('Données projet'!$B$11,Paramètres!$A$1:$I$89,3,0)*VLOOKUP('Données projet'!$B$11,Paramètres!$A$1:$I$89,5,0)</f>
        <v>232.19039999999987</v>
      </c>
      <c r="BF142" s="13">
        <f t="shared" si="145"/>
        <v>56.756035639094556</v>
      </c>
      <c r="BG142" s="20">
        <f t="shared" si="115"/>
        <v>503.24837540475619</v>
      </c>
      <c r="BH142" s="59">
        <f t="shared" si="116"/>
        <v>796.58170873808945</v>
      </c>
      <c r="BI142" s="59">
        <f ca="1">AVERAGE(OFFSET($BH$3,0,0,'Données projet'!$E$11+1,1))-AVERAGE(OFFSET($H$3,0,0,'Données projet'!$E$11+1,1))</f>
        <v>373.51596132356536</v>
      </c>
      <c r="BJ142" s="59">
        <f t="shared" si="146"/>
        <v>417.00150517020114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48.109814772830262</v>
      </c>
      <c r="BQ142" s="21">
        <f>EXP(-LN(2)/25)*BQ141+(1-EXP(-LN(2)/25))/(LN(2)/25)*Calculateur!BL142*Calculateur!BN142*VLOOKUP('Données projet'!$B$11,Paramètres!$A$1:$I$89,3,0)*0.475*44/12</f>
        <v>0</v>
      </c>
      <c r="BR142" s="21">
        <f>EXP(-LN(2)/2)*BR141+(1-EXP(-LN(2)/2))/(LN(2)/2)*BL142*BO142*VLOOKUP('Données projet'!$B$11,Paramètres!$A$1:$I$89,3,0)*0.475*44/12</f>
        <v>0</v>
      </c>
      <c r="BS142" s="22">
        <f t="shared" si="117"/>
        <v>48.109814772830262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267</v>
      </c>
      <c r="BZ142" s="13">
        <f>BY142*VLOOKUP('Données projet'!$B$12,Paramètres!$A$1:$I$89,3,0)*VLOOKUP('Données projet'!$B$12,Paramètres!$A$1:$I$89,5,0)</f>
        <v>241.58159999999998</v>
      </c>
      <c r="CA142" s="13">
        <f t="shared" si="147"/>
        <v>58.779689232021951</v>
      </c>
      <c r="CB142" s="20">
        <f t="shared" si="118"/>
        <v>523.12924541243819</v>
      </c>
      <c r="CC142" s="59">
        <f t="shared" si="119"/>
        <v>816.46257874577145</v>
      </c>
      <c r="CD142" s="59">
        <f ca="1">AVERAGE(OFFSET($CC$3,0,0,'Données projet'!$E$12+1,1))-AVERAGE(OFFSET($H$3,0,0,'Données projet'!$E$12+1,1))</f>
        <v>289.19622253646992</v>
      </c>
      <c r="CE142" s="59">
        <f t="shared" si="148"/>
        <v>191.23827338431175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>
        <f>EXP(-LN(2)/35)*CK141+(1-EXP(-LN(2)/35))/(LN(2)/35)*CG142*CH142*VLOOKUP('Données projet'!$B$12,Paramètres!$A$1:$I$89,3,0)*0.475*44/12</f>
        <v>46.991942666265629</v>
      </c>
      <c r="CL142" s="21">
        <f>EXP(-LN(2)/25)*CL141+(1-EXP(-LN(2)/25))/(LN(2)/25)*Calculateur!CG142*Calculateur!CI142*VLOOKUP('Données projet'!$B$12,Paramètres!$A$1:$I$89,3,0)*0.475*44/12</f>
        <v>0</v>
      </c>
      <c r="CM142" s="21">
        <f>EXP(-LN(2)/2)*CM141+(1-EXP(-LN(2)/2))/(LN(2)/2)*CG142*CJ142*VLOOKUP('Données projet'!$B$12,Paramètres!$A$1:$I$89,3,0)*0.475*44/12</f>
        <v>0</v>
      </c>
      <c r="CN142" s="22">
        <f t="shared" si="120"/>
        <v>46.991942666265629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3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80.80800000000005</v>
      </c>
      <c r="D143" s="11">
        <f t="shared" si="140"/>
        <v>22.334628633536216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796.18871225887642</v>
      </c>
      <c r="H143" s="67">
        <f t="shared" si="110"/>
        <v>436.3067448700757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304.99999999999983</v>
      </c>
      <c r="O143" s="13">
        <f>N143*VLOOKUP('Données projet'!$B$9,Paramètres!$A$1:$I$89,3,0)*VLOOKUP('Données projet'!$B$9,Paramètres!$A$1:$I$89,5,0)</f>
        <v>275.96399999999983</v>
      </c>
      <c r="P143" s="13">
        <f t="shared" si="141"/>
        <v>66.113366665488854</v>
      </c>
      <c r="Q143" s="20">
        <f t="shared" si="108"/>
        <v>595.78474694239264</v>
      </c>
      <c r="R143" s="59">
        <f t="shared" si="109"/>
        <v>889.11808027572602</v>
      </c>
      <c r="S143" s="59">
        <f ca="1">AVERAGE(OFFSET($R$3,0,0,'Données projet'!$E$9+1,1))-AVERAGE(OFFSET($H$3,0,0,'Données projet'!$E$9+1,1))</f>
        <v>336.59194805061094</v>
      </c>
      <c r="T143" s="59">
        <f t="shared" si="142"/>
        <v>473.66884161123909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0.94753208442892567</v>
      </c>
      <c r="AA143" s="21">
        <f>EXP(-LN(2)/25)*AA142+(1-EXP(-LN(2)/25))/(LN(2)/25)*Calculateur!V143*Calculateur!X143*VLOOKUP('Données projet'!$B$9,Paramètres!$A$1:$I$89,3,0)*0.475*44/12</f>
        <v>0</v>
      </c>
      <c r="AB143" s="21">
        <f>EXP(-LN(2)/2)*AB142+(1-EXP(-LN(2)/2))/(LN(2)/2)*V143*Y143*VLOOKUP('Données projet'!$B$9,Paramètres!$A$1:$I$89,3,0)*0.475*44/12</f>
        <v>0</v>
      </c>
      <c r="AC143" s="22">
        <f t="shared" si="111"/>
        <v>0.94753208442892567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319</v>
      </c>
      <c r="AJ143" s="13">
        <f>AI143*VLOOKUP('Données projet'!$B$10,Paramètres!$A$1:$I$89,3,0)*VLOOKUP('Données projet'!$B$10,Paramètres!$A$1:$I$89,5,0)</f>
        <v>209.00879999999998</v>
      </c>
      <c r="AK143" s="13">
        <f t="shared" si="143"/>
        <v>51.718923953824202</v>
      </c>
      <c r="AL143" s="20">
        <f t="shared" si="112"/>
        <v>454.10078588624373</v>
      </c>
      <c r="AM143" s="59">
        <f t="shared" si="113"/>
        <v>747.43411921957704</v>
      </c>
      <c r="AN143" s="59">
        <f ca="1">AVERAGE(OFFSET($AM$3,0,0,'Données projet'!$E$10+1,1))-AVERAGE(OFFSET($H$3,0,0,'Données projet'!$E$10+1,1))</f>
        <v>244.66788784685366</v>
      </c>
      <c r="AO143" s="59">
        <f t="shared" si="144"/>
        <v>252.04429018409274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10.826112711079336</v>
      </c>
      <c r="AV143" s="21">
        <f>EXP(-LN(2)/25)*AV142+(1-EXP(-LN(2)/25))/(LN(2)/25)*Calculateur!AQ143*Calculateur!AS143*VLOOKUP('Données projet'!$B$10,Paramètres!$A$1:$I$89,3,0)*0.475*44/12</f>
        <v>0</v>
      </c>
      <c r="AW143" s="21">
        <f>EXP(-LN(2)/2)*AW142+(1-EXP(-LN(2)/2))/(LN(2)/2)*AQ143*AT143*VLOOKUP('Données projet'!$B$10,Paramètres!$A$1:$I$89,3,0)*0.475*44/12</f>
        <v>0</v>
      </c>
      <c r="AX143" s="21">
        <f t="shared" si="114"/>
        <v>10.826112711079336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243.99999999999989</v>
      </c>
      <c r="BE143" s="13">
        <f>BD143*VLOOKUP('Données projet'!$B$11,Paramètres!$A$1:$I$89,3,0)*VLOOKUP('Données projet'!$B$11,Paramètres!$A$1:$I$89,5,0)</f>
        <v>232.19039999999987</v>
      </c>
      <c r="BF143" s="13">
        <f t="shared" si="145"/>
        <v>56.756035639094556</v>
      </c>
      <c r="BG143" s="20">
        <f t="shared" si="115"/>
        <v>503.24837540475619</v>
      </c>
      <c r="BH143" s="59">
        <f t="shared" si="116"/>
        <v>796.58170873808945</v>
      </c>
      <c r="BI143" s="59">
        <f ca="1">AVERAGE(OFFSET($BH$3,0,0,'Données projet'!$E$11+1,1))-AVERAGE(OFFSET($H$3,0,0,'Données projet'!$E$11+1,1))</f>
        <v>373.51596132356536</v>
      </c>
      <c r="BJ143" s="59">
        <f t="shared" si="146"/>
        <v>417.00150517020114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47.166410649224581</v>
      </c>
      <c r="BQ143" s="21">
        <f>EXP(-LN(2)/25)*BQ142+(1-EXP(-LN(2)/25))/(LN(2)/25)*Calculateur!BL143*Calculateur!BN143*VLOOKUP('Données projet'!$B$11,Paramètres!$A$1:$I$89,3,0)*0.475*44/12</f>
        <v>0</v>
      </c>
      <c r="BR143" s="21">
        <f>EXP(-LN(2)/2)*BR142+(1-EXP(-LN(2)/2))/(LN(2)/2)*BL143*BO143*VLOOKUP('Données projet'!$B$11,Paramètres!$A$1:$I$89,3,0)*0.475*44/12</f>
        <v>0</v>
      </c>
      <c r="BS143" s="22">
        <f t="shared" si="117"/>
        <v>47.166410649224581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267</v>
      </c>
      <c r="BZ143" s="13">
        <f>BY143*VLOOKUP('Données projet'!$B$12,Paramètres!$A$1:$I$89,3,0)*VLOOKUP('Données projet'!$B$12,Paramètres!$A$1:$I$89,5,0)</f>
        <v>241.58159999999998</v>
      </c>
      <c r="CA143" s="13">
        <f t="shared" si="147"/>
        <v>58.779689232021951</v>
      </c>
      <c r="CB143" s="20">
        <f t="shared" si="118"/>
        <v>523.12924541243819</v>
      </c>
      <c r="CC143" s="59">
        <f t="shared" si="119"/>
        <v>816.46257874577145</v>
      </c>
      <c r="CD143" s="59">
        <f ca="1">AVERAGE(OFFSET($CC$3,0,0,'Données projet'!$E$12+1,1))-AVERAGE(OFFSET($H$3,0,0,'Données projet'!$E$12+1,1))</f>
        <v>289.19622253646992</v>
      </c>
      <c r="CE143" s="59">
        <f t="shared" si="148"/>
        <v>191.23827338431175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>
        <f>EXP(-LN(2)/35)*CK142+(1-EXP(-LN(2)/35))/(LN(2)/35)*CG143*CH143*VLOOKUP('Données projet'!$B$12,Paramètres!$A$1:$I$89,3,0)*0.475*44/12</f>
        <v>46.070459332835021</v>
      </c>
      <c r="CL143" s="21">
        <f>EXP(-LN(2)/25)*CL142+(1-EXP(-LN(2)/25))/(LN(2)/25)*Calculateur!CG143*Calculateur!CI143*VLOOKUP('Données projet'!$B$12,Paramètres!$A$1:$I$89,3,0)*0.475*44/12</f>
        <v>0</v>
      </c>
      <c r="CM143" s="21">
        <f>EXP(-LN(2)/2)*CM142+(1-EXP(-LN(2)/2))/(LN(2)/2)*CG143*CJ143*VLOOKUP('Données projet'!$B$12,Paramètres!$A$1:$I$89,3,0)*0.475*44/12</f>
        <v>0</v>
      </c>
      <c r="CN143" s="22">
        <f t="shared" si="120"/>
        <v>46.070459332835021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3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81.385200000000054</v>
      </c>
      <c r="D144" s="11">
        <f t="shared" si="140"/>
        <v>22.475533601501144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801.7319786782549</v>
      </c>
      <c r="H144" s="67">
        <f t="shared" si="110"/>
        <v>437.55744435594795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304.99999999999983</v>
      </c>
      <c r="O144" s="13">
        <f>N144*VLOOKUP('Données projet'!$B$9,Paramètres!$A$1:$I$89,3,0)*VLOOKUP('Données projet'!$B$9,Paramètres!$A$1:$I$89,5,0)</f>
        <v>275.96399999999983</v>
      </c>
      <c r="P144" s="13">
        <f t="shared" si="141"/>
        <v>66.113366665488854</v>
      </c>
      <c r="Q144" s="20">
        <f t="shared" si="108"/>
        <v>595.78474694239264</v>
      </c>
      <c r="R144" s="59">
        <f t="shared" si="109"/>
        <v>889.11808027572602</v>
      </c>
      <c r="S144" s="59">
        <f ca="1">AVERAGE(OFFSET($R$3,0,0,'Données projet'!$E$9+1,1))-AVERAGE(OFFSET($H$3,0,0,'Données projet'!$E$9+1,1))</f>
        <v>336.59194805061094</v>
      </c>
      <c r="T144" s="59">
        <f t="shared" si="142"/>
        <v>473.66884161123909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0.92895155819077935</v>
      </c>
      <c r="AA144" s="21">
        <f>EXP(-LN(2)/25)*AA143+(1-EXP(-LN(2)/25))/(LN(2)/25)*Calculateur!V144*Calculateur!X144*VLOOKUP('Données projet'!$B$9,Paramètres!$A$1:$I$89,3,0)*0.475*44/12</f>
        <v>0</v>
      </c>
      <c r="AB144" s="21">
        <f>EXP(-LN(2)/2)*AB143+(1-EXP(-LN(2)/2))/(LN(2)/2)*V144*Y144*VLOOKUP('Données projet'!$B$9,Paramètres!$A$1:$I$89,3,0)*0.475*44/12</f>
        <v>0</v>
      </c>
      <c r="AC144" s="22">
        <f t="shared" si="111"/>
        <v>0.92895155819077935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319</v>
      </c>
      <c r="AJ144" s="13">
        <f>AI144*VLOOKUP('Données projet'!$B$10,Paramètres!$A$1:$I$89,3,0)*VLOOKUP('Données projet'!$B$10,Paramètres!$A$1:$I$89,5,0)</f>
        <v>209.00879999999998</v>
      </c>
      <c r="AK144" s="13">
        <f t="shared" si="143"/>
        <v>51.718923953824202</v>
      </c>
      <c r="AL144" s="20">
        <f t="shared" si="112"/>
        <v>454.10078588624373</v>
      </c>
      <c r="AM144" s="59">
        <f t="shared" si="113"/>
        <v>747.43411921957704</v>
      </c>
      <c r="AN144" s="59">
        <f ca="1">AVERAGE(OFFSET($AM$3,0,0,'Données projet'!$E$10+1,1))-AVERAGE(OFFSET($H$3,0,0,'Données projet'!$E$10+1,1))</f>
        <v>244.66788784685366</v>
      </c>
      <c r="AO144" s="59">
        <f t="shared" si="144"/>
        <v>252.04429018409274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10.613819244091804</v>
      </c>
      <c r="AV144" s="21">
        <f>EXP(-LN(2)/25)*AV143+(1-EXP(-LN(2)/25))/(LN(2)/25)*Calculateur!AQ144*Calculateur!AS144*VLOOKUP('Données projet'!$B$10,Paramètres!$A$1:$I$89,3,0)*0.475*44/12</f>
        <v>0</v>
      </c>
      <c r="AW144" s="21">
        <f>EXP(-LN(2)/2)*AW143+(1-EXP(-LN(2)/2))/(LN(2)/2)*AQ144*AT144*VLOOKUP('Données projet'!$B$10,Paramètres!$A$1:$I$89,3,0)*0.475*44/12</f>
        <v>0</v>
      </c>
      <c r="AX144" s="21">
        <f t="shared" si="114"/>
        <v>10.613819244091804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243.99999999999989</v>
      </c>
      <c r="BE144" s="13">
        <f>BD144*VLOOKUP('Données projet'!$B$11,Paramètres!$A$1:$I$89,3,0)*VLOOKUP('Données projet'!$B$11,Paramètres!$A$1:$I$89,5,0)</f>
        <v>232.19039999999987</v>
      </c>
      <c r="BF144" s="13">
        <f t="shared" si="145"/>
        <v>56.756035639094556</v>
      </c>
      <c r="BG144" s="20">
        <f t="shared" si="115"/>
        <v>503.24837540475619</v>
      </c>
      <c r="BH144" s="59">
        <f t="shared" si="116"/>
        <v>796.58170873808945</v>
      </c>
      <c r="BI144" s="59">
        <f ca="1">AVERAGE(OFFSET($BH$3,0,0,'Données projet'!$E$11+1,1))-AVERAGE(OFFSET($H$3,0,0,'Données projet'!$E$11+1,1))</f>
        <v>373.51596132356536</v>
      </c>
      <c r="BJ144" s="59">
        <f t="shared" si="146"/>
        <v>417.00150517020114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46.24150610506311</v>
      </c>
      <c r="BQ144" s="21">
        <f>EXP(-LN(2)/25)*BQ143+(1-EXP(-LN(2)/25))/(LN(2)/25)*Calculateur!BL144*Calculateur!BN144*VLOOKUP('Données projet'!$B$11,Paramètres!$A$1:$I$89,3,0)*0.475*44/12</f>
        <v>0</v>
      </c>
      <c r="BR144" s="21">
        <f>EXP(-LN(2)/2)*BR143+(1-EXP(-LN(2)/2))/(LN(2)/2)*BL144*BO144*VLOOKUP('Données projet'!$B$11,Paramètres!$A$1:$I$89,3,0)*0.475*44/12</f>
        <v>0</v>
      </c>
      <c r="BS144" s="22">
        <f t="shared" si="117"/>
        <v>46.24150610506311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267</v>
      </c>
      <c r="BZ144" s="13">
        <f>BY144*VLOOKUP('Données projet'!$B$12,Paramètres!$A$1:$I$89,3,0)*VLOOKUP('Données projet'!$B$12,Paramètres!$A$1:$I$89,5,0)</f>
        <v>241.58159999999998</v>
      </c>
      <c r="CA144" s="13">
        <f t="shared" si="147"/>
        <v>58.779689232021951</v>
      </c>
      <c r="CB144" s="20">
        <f t="shared" si="118"/>
        <v>523.12924541243819</v>
      </c>
      <c r="CC144" s="59">
        <f t="shared" si="119"/>
        <v>816.46257874577145</v>
      </c>
      <c r="CD144" s="59">
        <f ca="1">AVERAGE(OFFSET($CC$3,0,0,'Données projet'!$E$12+1,1))-AVERAGE(OFFSET($H$3,0,0,'Données projet'!$E$12+1,1))</f>
        <v>289.19622253646992</v>
      </c>
      <c r="CE144" s="59">
        <f t="shared" si="148"/>
        <v>191.23827338431175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>
        <f>EXP(-LN(2)/35)*CK143+(1-EXP(-LN(2)/35))/(LN(2)/35)*CG144*CH144*VLOOKUP('Données projet'!$B$12,Paramètres!$A$1:$I$89,3,0)*0.475*44/12</f>
        <v>45.167045725523657</v>
      </c>
      <c r="CL144" s="21">
        <f>EXP(-LN(2)/25)*CL143+(1-EXP(-LN(2)/25))/(LN(2)/25)*Calculateur!CG144*Calculateur!CI144*VLOOKUP('Données projet'!$B$12,Paramètres!$A$1:$I$89,3,0)*0.475*44/12</f>
        <v>0</v>
      </c>
      <c r="CM144" s="21">
        <f>EXP(-LN(2)/2)*CM143+(1-EXP(-LN(2)/2))/(LN(2)/2)*CG144*CJ144*VLOOKUP('Données projet'!$B$12,Paramètres!$A$1:$I$89,3,0)*0.475*44/12</f>
        <v>0</v>
      </c>
      <c r="CN144" s="22">
        <f t="shared" si="120"/>
        <v>45.167045725523657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3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81.962400000000059</v>
      </c>
      <c r="D145" s="11">
        <f t="shared" si="140"/>
        <v>22.616322294887336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807.27434753948171</v>
      </c>
      <c r="H145" s="67">
        <f t="shared" si="110"/>
        <v>438.80794133026222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304.99999999999983</v>
      </c>
      <c r="O145" s="13">
        <f>N145*VLOOKUP('Données projet'!$B$9,Paramètres!$A$1:$I$89,3,0)*VLOOKUP('Données projet'!$B$9,Paramètres!$A$1:$I$89,5,0)</f>
        <v>275.96399999999983</v>
      </c>
      <c r="P145" s="13">
        <f t="shared" si="141"/>
        <v>66.113366665488854</v>
      </c>
      <c r="Q145" s="20">
        <f t="shared" si="108"/>
        <v>595.78474694239264</v>
      </c>
      <c r="R145" s="59">
        <f t="shared" si="109"/>
        <v>889.11808027572602</v>
      </c>
      <c r="S145" s="59">
        <f ca="1">AVERAGE(OFFSET($R$3,0,0,'Données projet'!$E$9+1,1))-AVERAGE(OFFSET($H$3,0,0,'Données projet'!$E$9+1,1))</f>
        <v>336.59194805061094</v>
      </c>
      <c r="T145" s="59">
        <f t="shared" si="142"/>
        <v>473.66884161123909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0.91073538473916116</v>
      </c>
      <c r="AA145" s="21">
        <f>EXP(-LN(2)/25)*AA144+(1-EXP(-LN(2)/25))/(LN(2)/25)*Calculateur!V145*Calculateur!X145*VLOOKUP('Données projet'!$B$9,Paramètres!$A$1:$I$89,3,0)*0.475*44/12</f>
        <v>0</v>
      </c>
      <c r="AB145" s="21">
        <f>EXP(-LN(2)/2)*AB144+(1-EXP(-LN(2)/2))/(LN(2)/2)*V145*Y145*VLOOKUP('Données projet'!$B$9,Paramètres!$A$1:$I$89,3,0)*0.475*44/12</f>
        <v>0</v>
      </c>
      <c r="AC145" s="22">
        <f t="shared" si="111"/>
        <v>0.91073538473916116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319</v>
      </c>
      <c r="AJ145" s="13">
        <f>AI145*VLOOKUP('Données projet'!$B$10,Paramètres!$A$1:$I$89,3,0)*VLOOKUP('Données projet'!$B$10,Paramètres!$A$1:$I$89,5,0)</f>
        <v>209.00879999999998</v>
      </c>
      <c r="AK145" s="13">
        <f t="shared" si="143"/>
        <v>51.718923953824202</v>
      </c>
      <c r="AL145" s="20">
        <f t="shared" si="112"/>
        <v>454.10078588624373</v>
      </c>
      <c r="AM145" s="59">
        <f t="shared" si="113"/>
        <v>747.43411921957704</v>
      </c>
      <c r="AN145" s="59">
        <f ca="1">AVERAGE(OFFSET($AM$3,0,0,'Données projet'!$E$10+1,1))-AVERAGE(OFFSET($H$3,0,0,'Données projet'!$E$10+1,1))</f>
        <v>244.66788784685366</v>
      </c>
      <c r="AO145" s="59">
        <f t="shared" si="144"/>
        <v>252.04429018409274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10.405688722505669</v>
      </c>
      <c r="AV145" s="21">
        <f>EXP(-LN(2)/25)*AV144+(1-EXP(-LN(2)/25))/(LN(2)/25)*Calculateur!AQ145*Calculateur!AS145*VLOOKUP('Données projet'!$B$10,Paramètres!$A$1:$I$89,3,0)*0.475*44/12</f>
        <v>0</v>
      </c>
      <c r="AW145" s="21">
        <f>EXP(-LN(2)/2)*AW144+(1-EXP(-LN(2)/2))/(LN(2)/2)*AQ145*AT145*VLOOKUP('Données projet'!$B$10,Paramètres!$A$1:$I$89,3,0)*0.475*44/12</f>
        <v>0</v>
      </c>
      <c r="AX145" s="21">
        <f t="shared" si="114"/>
        <v>10.405688722505669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243.99999999999989</v>
      </c>
      <c r="BE145" s="13">
        <f>BD145*VLOOKUP('Données projet'!$B$11,Paramètres!$A$1:$I$89,3,0)*VLOOKUP('Données projet'!$B$11,Paramètres!$A$1:$I$89,5,0)</f>
        <v>232.19039999999987</v>
      </c>
      <c r="BF145" s="13">
        <f t="shared" si="145"/>
        <v>56.756035639094556</v>
      </c>
      <c r="BG145" s="20">
        <f t="shared" si="115"/>
        <v>503.24837540475619</v>
      </c>
      <c r="BH145" s="59">
        <f t="shared" si="116"/>
        <v>796.58170873808945</v>
      </c>
      <c r="BI145" s="59">
        <f ca="1">AVERAGE(OFFSET($BH$3,0,0,'Données projet'!$E$11+1,1))-AVERAGE(OFFSET($H$3,0,0,'Données projet'!$E$11+1,1))</f>
        <v>373.51596132356536</v>
      </c>
      <c r="BJ145" s="59">
        <f t="shared" si="146"/>
        <v>417.00150517020114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45.334738374876579</v>
      </c>
      <c r="BQ145" s="21">
        <f>EXP(-LN(2)/25)*BQ144+(1-EXP(-LN(2)/25))/(LN(2)/25)*Calculateur!BL145*Calculateur!BN145*VLOOKUP('Données projet'!$B$11,Paramètres!$A$1:$I$89,3,0)*0.475*44/12</f>
        <v>0</v>
      </c>
      <c r="BR145" s="21">
        <f>EXP(-LN(2)/2)*BR144+(1-EXP(-LN(2)/2))/(LN(2)/2)*BL145*BO145*VLOOKUP('Données projet'!$B$11,Paramètres!$A$1:$I$89,3,0)*0.475*44/12</f>
        <v>0</v>
      </c>
      <c r="BS145" s="22">
        <f t="shared" si="117"/>
        <v>45.334738374876579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267</v>
      </c>
      <c r="BZ145" s="13">
        <f>BY145*VLOOKUP('Données projet'!$B$12,Paramètres!$A$1:$I$89,3,0)*VLOOKUP('Données projet'!$B$12,Paramètres!$A$1:$I$89,5,0)</f>
        <v>241.58159999999998</v>
      </c>
      <c r="CA145" s="13">
        <f t="shared" si="147"/>
        <v>58.779689232021951</v>
      </c>
      <c r="CB145" s="20">
        <f t="shared" si="118"/>
        <v>523.12924541243819</v>
      </c>
      <c r="CC145" s="59">
        <f t="shared" si="119"/>
        <v>816.46257874577145</v>
      </c>
      <c r="CD145" s="59">
        <f ca="1">AVERAGE(OFFSET($CC$3,0,0,'Données projet'!$E$12+1,1))-AVERAGE(OFFSET($H$3,0,0,'Données projet'!$E$12+1,1))</f>
        <v>289.19622253646992</v>
      </c>
      <c r="CE145" s="59">
        <f t="shared" si="148"/>
        <v>191.23827338431175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>
        <f>EXP(-LN(2)/35)*CK144+(1-EXP(-LN(2)/35))/(LN(2)/35)*CG145*CH145*VLOOKUP('Données projet'!$B$12,Paramètres!$A$1:$I$89,3,0)*0.475*44/12</f>
        <v>44.281347508023778</v>
      </c>
      <c r="CL145" s="21">
        <f>EXP(-LN(2)/25)*CL144+(1-EXP(-LN(2)/25))/(LN(2)/25)*Calculateur!CG145*Calculateur!CI145*VLOOKUP('Données projet'!$B$12,Paramètres!$A$1:$I$89,3,0)*0.475*44/12</f>
        <v>0</v>
      </c>
      <c r="CM145" s="21">
        <f>EXP(-LN(2)/2)*CM144+(1-EXP(-LN(2)/2))/(LN(2)/2)*CG145*CJ145*VLOOKUP('Données projet'!$B$12,Paramètres!$A$1:$I$89,3,0)*0.475*44/12</f>
        <v>0</v>
      </c>
      <c r="CN145" s="22">
        <f t="shared" si="120"/>
        <v>44.281347508023778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3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82.539600000000064</v>
      </c>
      <c r="D146" s="11">
        <f t="shared" si="140"/>
        <v>22.756995627482869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812.81582589635946</v>
      </c>
      <c r="H146" s="67">
        <f t="shared" si="110"/>
        <v>440.05823738453279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304.99999999999983</v>
      </c>
      <c r="O146" s="13">
        <f>N146*VLOOKUP('Données projet'!$B$9,Paramètres!$A$1:$I$89,3,0)*VLOOKUP('Données projet'!$B$9,Paramètres!$A$1:$I$89,5,0)</f>
        <v>275.96399999999983</v>
      </c>
      <c r="P146" s="13">
        <f t="shared" si="141"/>
        <v>66.113366665488854</v>
      </c>
      <c r="Q146" s="20">
        <f t="shared" si="108"/>
        <v>595.78474694239264</v>
      </c>
      <c r="R146" s="59">
        <f t="shared" si="109"/>
        <v>889.11808027572602</v>
      </c>
      <c r="S146" s="59">
        <f ca="1">AVERAGE(OFFSET($R$3,0,0,'Données projet'!$E$9+1,1))-AVERAGE(OFFSET($H$3,0,0,'Données projet'!$E$9+1,1))</f>
        <v>336.59194805061094</v>
      </c>
      <c r="T146" s="59">
        <f t="shared" si="142"/>
        <v>473.66884161123909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0.89287641933816042</v>
      </c>
      <c r="AA146" s="21">
        <f>EXP(-LN(2)/25)*AA145+(1-EXP(-LN(2)/25))/(LN(2)/25)*Calculateur!V146*Calculateur!X146*VLOOKUP('Données projet'!$B$9,Paramètres!$A$1:$I$89,3,0)*0.475*44/12</f>
        <v>0</v>
      </c>
      <c r="AB146" s="21">
        <f>EXP(-LN(2)/2)*AB145+(1-EXP(-LN(2)/2))/(LN(2)/2)*V146*Y146*VLOOKUP('Données projet'!$B$9,Paramètres!$A$1:$I$89,3,0)*0.475*44/12</f>
        <v>0</v>
      </c>
      <c r="AC146" s="22">
        <f t="shared" si="111"/>
        <v>0.89287641933816042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319</v>
      </c>
      <c r="AJ146" s="13">
        <f>AI146*VLOOKUP('Données projet'!$B$10,Paramètres!$A$1:$I$89,3,0)*VLOOKUP('Données projet'!$B$10,Paramètres!$A$1:$I$89,5,0)</f>
        <v>209.00879999999998</v>
      </c>
      <c r="AK146" s="13">
        <f t="shared" si="143"/>
        <v>51.718923953824202</v>
      </c>
      <c r="AL146" s="20">
        <f t="shared" si="112"/>
        <v>454.10078588624373</v>
      </c>
      <c r="AM146" s="59">
        <f t="shared" si="113"/>
        <v>747.43411921957704</v>
      </c>
      <c r="AN146" s="59">
        <f ca="1">AVERAGE(OFFSET($AM$3,0,0,'Données projet'!$E$10+1,1))-AVERAGE(OFFSET($H$3,0,0,'Données projet'!$E$10+1,1))</f>
        <v>244.66788784685366</v>
      </c>
      <c r="AO146" s="59">
        <f t="shared" si="144"/>
        <v>252.04429018409274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10.201639513500755</v>
      </c>
      <c r="AV146" s="21">
        <f>EXP(-LN(2)/25)*AV145+(1-EXP(-LN(2)/25))/(LN(2)/25)*Calculateur!AQ146*Calculateur!AS146*VLOOKUP('Données projet'!$B$10,Paramètres!$A$1:$I$89,3,0)*0.475*44/12</f>
        <v>0</v>
      </c>
      <c r="AW146" s="21">
        <f>EXP(-LN(2)/2)*AW145+(1-EXP(-LN(2)/2))/(LN(2)/2)*AQ146*AT146*VLOOKUP('Données projet'!$B$10,Paramètres!$A$1:$I$89,3,0)*0.475*44/12</f>
        <v>0</v>
      </c>
      <c r="AX146" s="21">
        <f t="shared" si="114"/>
        <v>10.201639513500755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243.99999999999989</v>
      </c>
      <c r="BE146" s="13">
        <f>BD146*VLOOKUP('Données projet'!$B$11,Paramètres!$A$1:$I$89,3,0)*VLOOKUP('Données projet'!$B$11,Paramètres!$A$1:$I$89,5,0)</f>
        <v>232.19039999999987</v>
      </c>
      <c r="BF146" s="13">
        <f t="shared" si="145"/>
        <v>56.756035639094556</v>
      </c>
      <c r="BG146" s="20">
        <f t="shared" si="115"/>
        <v>503.24837540475619</v>
      </c>
      <c r="BH146" s="59">
        <f t="shared" si="116"/>
        <v>796.58170873808945</v>
      </c>
      <c r="BI146" s="59">
        <f ca="1">AVERAGE(OFFSET($BH$3,0,0,'Données projet'!$E$11+1,1))-AVERAGE(OFFSET($H$3,0,0,'Données projet'!$E$11+1,1))</f>
        <v>373.51596132356536</v>
      </c>
      <c r="BJ146" s="59">
        <f t="shared" si="146"/>
        <v>417.00150517020114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44.445751806805305</v>
      </c>
      <c r="BQ146" s="21">
        <f>EXP(-LN(2)/25)*BQ145+(1-EXP(-LN(2)/25))/(LN(2)/25)*Calculateur!BL146*Calculateur!BN146*VLOOKUP('Données projet'!$B$11,Paramètres!$A$1:$I$89,3,0)*0.475*44/12</f>
        <v>0</v>
      </c>
      <c r="BR146" s="21">
        <f>EXP(-LN(2)/2)*BR145+(1-EXP(-LN(2)/2))/(LN(2)/2)*BL146*BO146*VLOOKUP('Données projet'!$B$11,Paramètres!$A$1:$I$89,3,0)*0.475*44/12</f>
        <v>0</v>
      </c>
      <c r="BS146" s="22">
        <f t="shared" si="117"/>
        <v>44.445751806805305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267</v>
      </c>
      <c r="BZ146" s="13">
        <f>BY146*VLOOKUP('Données projet'!$B$12,Paramètres!$A$1:$I$89,3,0)*VLOOKUP('Données projet'!$B$12,Paramètres!$A$1:$I$89,5,0)</f>
        <v>241.58159999999998</v>
      </c>
      <c r="CA146" s="13">
        <f t="shared" si="147"/>
        <v>58.779689232021951</v>
      </c>
      <c r="CB146" s="20">
        <f t="shared" si="118"/>
        <v>523.12924541243819</v>
      </c>
      <c r="CC146" s="59">
        <f t="shared" si="119"/>
        <v>816.46257874577145</v>
      </c>
      <c r="CD146" s="59">
        <f ca="1">AVERAGE(OFFSET($CC$3,0,0,'Données projet'!$E$12+1,1))-AVERAGE(OFFSET($H$3,0,0,'Données projet'!$E$12+1,1))</f>
        <v>289.19622253646992</v>
      </c>
      <c r="CE146" s="59">
        <f t="shared" si="148"/>
        <v>191.23827338431175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>
        <f>EXP(-LN(2)/35)*CK145+(1-EXP(-LN(2)/35))/(LN(2)/35)*CG146*CH146*VLOOKUP('Données projet'!$B$12,Paramètres!$A$1:$I$89,3,0)*0.475*44/12</f>
        <v>43.413017292346495</v>
      </c>
      <c r="CL146" s="21">
        <f>EXP(-LN(2)/25)*CL145+(1-EXP(-LN(2)/25))/(LN(2)/25)*Calculateur!CG146*Calculateur!CI146*VLOOKUP('Données projet'!$B$12,Paramètres!$A$1:$I$89,3,0)*0.475*44/12</f>
        <v>0</v>
      </c>
      <c r="CM146" s="21">
        <f>EXP(-LN(2)/2)*CM145+(1-EXP(-LN(2)/2))/(LN(2)/2)*CG146*CJ146*VLOOKUP('Données projet'!$B$12,Paramètres!$A$1:$I$89,3,0)*0.475*44/12</f>
        <v>0</v>
      </c>
      <c r="CN146" s="22">
        <f t="shared" si="120"/>
        <v>43.413017292346495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3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83.116800000000069</v>
      </c>
      <c r="D147" s="11">
        <f t="shared" si="140"/>
        <v>22.897554499556854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818.3564206983342</v>
      </c>
      <c r="H147" s="67">
        <f t="shared" si="110"/>
        <v>441.30833408672834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304.99999999999983</v>
      </c>
      <c r="O147" s="13">
        <f>N147*VLOOKUP('Données projet'!$B$9,Paramètres!$A$1:$I$89,3,0)*VLOOKUP('Données projet'!$B$9,Paramètres!$A$1:$I$89,5,0)</f>
        <v>275.96399999999983</v>
      </c>
      <c r="P147" s="13">
        <f t="shared" si="141"/>
        <v>66.113366665488854</v>
      </c>
      <c r="Q147" s="20">
        <f t="shared" si="108"/>
        <v>595.78474694239264</v>
      </c>
      <c r="R147" s="59">
        <f t="shared" si="109"/>
        <v>889.11808027572602</v>
      </c>
      <c r="S147" s="59">
        <f ca="1">AVERAGE(OFFSET($R$3,0,0,'Données projet'!$E$9+1,1))-AVERAGE(OFFSET($H$3,0,0,'Données projet'!$E$9+1,1))</f>
        <v>336.59194805061094</v>
      </c>
      <c r="T147" s="59">
        <f t="shared" si="142"/>
        <v>473.66884161123909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0.87536765735578004</v>
      </c>
      <c r="AA147" s="21">
        <f>EXP(-LN(2)/25)*AA146+(1-EXP(-LN(2)/25))/(LN(2)/25)*Calculateur!V147*Calculateur!X147*VLOOKUP('Données projet'!$B$9,Paramètres!$A$1:$I$89,3,0)*0.475*44/12</f>
        <v>0</v>
      </c>
      <c r="AB147" s="21">
        <f>EXP(-LN(2)/2)*AB146+(1-EXP(-LN(2)/2))/(LN(2)/2)*V147*Y147*VLOOKUP('Données projet'!$B$9,Paramètres!$A$1:$I$89,3,0)*0.475*44/12</f>
        <v>0</v>
      </c>
      <c r="AC147" s="22">
        <f t="shared" si="111"/>
        <v>0.87536765735578004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319</v>
      </c>
      <c r="AJ147" s="13">
        <f>AI147*VLOOKUP('Données projet'!$B$10,Paramètres!$A$1:$I$89,3,0)*VLOOKUP('Données projet'!$B$10,Paramètres!$A$1:$I$89,5,0)</f>
        <v>209.00879999999998</v>
      </c>
      <c r="AK147" s="13">
        <f t="shared" si="143"/>
        <v>51.718923953824202</v>
      </c>
      <c r="AL147" s="20">
        <f t="shared" si="112"/>
        <v>454.10078588624373</v>
      </c>
      <c r="AM147" s="59">
        <f t="shared" si="113"/>
        <v>747.43411921957704</v>
      </c>
      <c r="AN147" s="59">
        <f ca="1">AVERAGE(OFFSET($AM$3,0,0,'Données projet'!$E$10+1,1))-AVERAGE(OFFSET($H$3,0,0,'Données projet'!$E$10+1,1))</f>
        <v>244.66788784685366</v>
      </c>
      <c r="AO147" s="59">
        <f t="shared" si="144"/>
        <v>252.04429018409274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10.001591585026699</v>
      </c>
      <c r="AV147" s="21">
        <f>EXP(-LN(2)/25)*AV146+(1-EXP(-LN(2)/25))/(LN(2)/25)*Calculateur!AQ147*Calculateur!AS147*VLOOKUP('Données projet'!$B$10,Paramètres!$A$1:$I$89,3,0)*0.475*44/12</f>
        <v>0</v>
      </c>
      <c r="AW147" s="21">
        <f>EXP(-LN(2)/2)*AW146+(1-EXP(-LN(2)/2))/(LN(2)/2)*AQ147*AT147*VLOOKUP('Données projet'!$B$10,Paramètres!$A$1:$I$89,3,0)*0.475*44/12</f>
        <v>0</v>
      </c>
      <c r="AX147" s="21">
        <f t="shared" si="114"/>
        <v>10.001591585026699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243.99999999999989</v>
      </c>
      <c r="BE147" s="13">
        <f>BD147*VLOOKUP('Données projet'!$B$11,Paramètres!$A$1:$I$89,3,0)*VLOOKUP('Données projet'!$B$11,Paramètres!$A$1:$I$89,5,0)</f>
        <v>232.19039999999987</v>
      </c>
      <c r="BF147" s="13">
        <f t="shared" si="145"/>
        <v>56.756035639094556</v>
      </c>
      <c r="BG147" s="20">
        <f t="shared" si="115"/>
        <v>503.24837540475619</v>
      </c>
      <c r="BH147" s="59">
        <f t="shared" si="116"/>
        <v>796.58170873808945</v>
      </c>
      <c r="BI147" s="59">
        <f ca="1">AVERAGE(OFFSET($BH$3,0,0,'Données projet'!$E$11+1,1))-AVERAGE(OFFSET($H$3,0,0,'Données projet'!$E$11+1,1))</f>
        <v>373.51596132356536</v>
      </c>
      <c r="BJ147" s="59">
        <f t="shared" si="146"/>
        <v>417.00150517020114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43.574197723105641</v>
      </c>
      <c r="BQ147" s="21">
        <f>EXP(-LN(2)/25)*BQ146+(1-EXP(-LN(2)/25))/(LN(2)/25)*Calculateur!BL147*Calculateur!BN147*VLOOKUP('Données projet'!$B$11,Paramètres!$A$1:$I$89,3,0)*0.475*44/12</f>
        <v>0</v>
      </c>
      <c r="BR147" s="21">
        <f>EXP(-LN(2)/2)*BR146+(1-EXP(-LN(2)/2))/(LN(2)/2)*BL147*BO147*VLOOKUP('Données projet'!$B$11,Paramètres!$A$1:$I$89,3,0)*0.475*44/12</f>
        <v>0</v>
      </c>
      <c r="BS147" s="22">
        <f t="shared" si="117"/>
        <v>43.574197723105641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267</v>
      </c>
      <c r="BZ147" s="13">
        <f>BY147*VLOOKUP('Données projet'!$B$12,Paramètres!$A$1:$I$89,3,0)*VLOOKUP('Données projet'!$B$12,Paramètres!$A$1:$I$89,5,0)</f>
        <v>241.58159999999998</v>
      </c>
      <c r="CA147" s="13">
        <f t="shared" si="147"/>
        <v>58.779689232021951</v>
      </c>
      <c r="CB147" s="20">
        <f t="shared" si="118"/>
        <v>523.12924541243819</v>
      </c>
      <c r="CC147" s="59">
        <f t="shared" si="119"/>
        <v>816.46257874577145</v>
      </c>
      <c r="CD147" s="59">
        <f ca="1">AVERAGE(OFFSET($CC$3,0,0,'Données projet'!$E$12+1,1))-AVERAGE(OFFSET($H$3,0,0,'Données projet'!$E$12+1,1))</f>
        <v>289.19622253646992</v>
      </c>
      <c r="CE147" s="59">
        <f t="shared" si="148"/>
        <v>191.23827338431175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>
        <f>EXP(-LN(2)/35)*CK146+(1-EXP(-LN(2)/35))/(LN(2)/35)*CG147*CH147*VLOOKUP('Données projet'!$B$12,Paramètres!$A$1:$I$89,3,0)*0.475*44/12</f>
        <v>42.561714502569515</v>
      </c>
      <c r="CL147" s="21">
        <f>EXP(-LN(2)/25)*CL146+(1-EXP(-LN(2)/25))/(LN(2)/25)*Calculateur!CG147*Calculateur!CI147*VLOOKUP('Données projet'!$B$12,Paramètres!$A$1:$I$89,3,0)*0.475*44/12</f>
        <v>0</v>
      </c>
      <c r="CM147" s="21">
        <f>EXP(-LN(2)/2)*CM146+(1-EXP(-LN(2)/2))/(LN(2)/2)*CG147*CJ147*VLOOKUP('Données projet'!$B$12,Paramètres!$A$1:$I$89,3,0)*0.475*44/12</f>
        <v>0</v>
      </c>
      <c r="CN147" s="22">
        <f t="shared" si="120"/>
        <v>42.561714502569515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3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83.694000000000074</v>
      </c>
      <c r="D148" s="11">
        <f t="shared" si="140"/>
        <v>23.037999798152072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823.89613879275339</v>
      </c>
      <c r="H148" s="67">
        <f t="shared" si="110"/>
        <v>442.55823298178166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304.99999999999983</v>
      </c>
      <c r="O148" s="13">
        <f>N148*VLOOKUP('Données projet'!$B$9,Paramètres!$A$1:$I$89,3,0)*VLOOKUP('Données projet'!$B$9,Paramètres!$A$1:$I$89,5,0)</f>
        <v>275.96399999999983</v>
      </c>
      <c r="P148" s="13">
        <f t="shared" si="141"/>
        <v>66.113366665488854</v>
      </c>
      <c r="Q148" s="20">
        <f t="shared" si="108"/>
        <v>595.78474694239264</v>
      </c>
      <c r="R148" s="59">
        <f t="shared" si="109"/>
        <v>889.11808027572602</v>
      </c>
      <c r="S148" s="59">
        <f ca="1">AVERAGE(OFFSET($R$3,0,0,'Données projet'!$E$9+1,1))-AVERAGE(OFFSET($H$3,0,0,'Données projet'!$E$9+1,1))</f>
        <v>336.59194805061094</v>
      </c>
      <c r="T148" s="59">
        <f t="shared" si="142"/>
        <v>473.66884161123909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0.85820223151658381</v>
      </c>
      <c r="AA148" s="21">
        <f>EXP(-LN(2)/25)*AA147+(1-EXP(-LN(2)/25))/(LN(2)/25)*Calculateur!V148*Calculateur!X148*VLOOKUP('Données projet'!$B$9,Paramètres!$A$1:$I$89,3,0)*0.475*44/12</f>
        <v>0</v>
      </c>
      <c r="AB148" s="21">
        <f>EXP(-LN(2)/2)*AB147+(1-EXP(-LN(2)/2))/(LN(2)/2)*V148*Y148*VLOOKUP('Données projet'!$B$9,Paramètres!$A$1:$I$89,3,0)*0.475*44/12</f>
        <v>0</v>
      </c>
      <c r="AC148" s="22">
        <f t="shared" si="111"/>
        <v>0.85820223151658381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319</v>
      </c>
      <c r="AJ148" s="13">
        <f>AI148*VLOOKUP('Données projet'!$B$10,Paramètres!$A$1:$I$89,3,0)*VLOOKUP('Données projet'!$B$10,Paramètres!$A$1:$I$89,5,0)</f>
        <v>209.00879999999998</v>
      </c>
      <c r="AK148" s="13">
        <f t="shared" si="143"/>
        <v>51.718923953824202</v>
      </c>
      <c r="AL148" s="20">
        <f t="shared" si="112"/>
        <v>454.10078588624373</v>
      </c>
      <c r="AM148" s="59">
        <f t="shared" si="113"/>
        <v>747.43411921957704</v>
      </c>
      <c r="AN148" s="59">
        <f ca="1">AVERAGE(OFFSET($AM$3,0,0,'Données projet'!$E$10+1,1))-AVERAGE(OFFSET($H$3,0,0,'Données projet'!$E$10+1,1))</f>
        <v>244.66788784685366</v>
      </c>
      <c r="AO148" s="59">
        <f t="shared" si="144"/>
        <v>252.04429018409274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9.8054664744128299</v>
      </c>
      <c r="AV148" s="21">
        <f>EXP(-LN(2)/25)*AV147+(1-EXP(-LN(2)/25))/(LN(2)/25)*Calculateur!AQ148*Calculateur!AS148*VLOOKUP('Données projet'!$B$10,Paramètres!$A$1:$I$89,3,0)*0.475*44/12</f>
        <v>0</v>
      </c>
      <c r="AW148" s="21">
        <f>EXP(-LN(2)/2)*AW147+(1-EXP(-LN(2)/2))/(LN(2)/2)*AQ148*AT148*VLOOKUP('Données projet'!$B$10,Paramètres!$A$1:$I$89,3,0)*0.475*44/12</f>
        <v>0</v>
      </c>
      <c r="AX148" s="21">
        <f t="shared" si="114"/>
        <v>9.8054664744128299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243.99999999999989</v>
      </c>
      <c r="BE148" s="13">
        <f>BD148*VLOOKUP('Données projet'!$B$11,Paramètres!$A$1:$I$89,3,0)*VLOOKUP('Données projet'!$B$11,Paramètres!$A$1:$I$89,5,0)</f>
        <v>232.19039999999987</v>
      </c>
      <c r="BF148" s="13">
        <f t="shared" si="145"/>
        <v>56.756035639094556</v>
      </c>
      <c r="BG148" s="20">
        <f t="shared" si="115"/>
        <v>503.24837540475619</v>
      </c>
      <c r="BH148" s="59">
        <f t="shared" si="116"/>
        <v>796.58170873808945</v>
      </c>
      <c r="BI148" s="59">
        <f ca="1">AVERAGE(OFFSET($BH$3,0,0,'Données projet'!$E$11+1,1))-AVERAGE(OFFSET($H$3,0,0,'Données projet'!$E$11+1,1))</f>
        <v>373.51596132356536</v>
      </c>
      <c r="BJ148" s="59">
        <f t="shared" si="146"/>
        <v>417.00150517020114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42.71973428339183</v>
      </c>
      <c r="BQ148" s="21">
        <f>EXP(-LN(2)/25)*BQ147+(1-EXP(-LN(2)/25))/(LN(2)/25)*Calculateur!BL148*Calculateur!BN148*VLOOKUP('Données projet'!$B$11,Paramètres!$A$1:$I$89,3,0)*0.475*44/12</f>
        <v>0</v>
      </c>
      <c r="BR148" s="21">
        <f>EXP(-LN(2)/2)*BR147+(1-EXP(-LN(2)/2))/(LN(2)/2)*BL148*BO148*VLOOKUP('Données projet'!$B$11,Paramètres!$A$1:$I$89,3,0)*0.475*44/12</f>
        <v>0</v>
      </c>
      <c r="BS148" s="22">
        <f t="shared" si="117"/>
        <v>42.71973428339183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267</v>
      </c>
      <c r="BZ148" s="13">
        <f>BY148*VLOOKUP('Données projet'!$B$12,Paramètres!$A$1:$I$89,3,0)*VLOOKUP('Données projet'!$B$12,Paramètres!$A$1:$I$89,5,0)</f>
        <v>241.58159999999998</v>
      </c>
      <c r="CA148" s="13">
        <f t="shared" si="147"/>
        <v>58.779689232021951</v>
      </c>
      <c r="CB148" s="20">
        <f t="shared" si="118"/>
        <v>523.12924541243819</v>
      </c>
      <c r="CC148" s="59">
        <f t="shared" si="119"/>
        <v>816.46257874577145</v>
      </c>
      <c r="CD148" s="59">
        <f ca="1">AVERAGE(OFFSET($CC$3,0,0,'Données projet'!$E$12+1,1))-AVERAGE(OFFSET($H$3,0,0,'Données projet'!$E$12+1,1))</f>
        <v>289.19622253646992</v>
      </c>
      <c r="CE148" s="59">
        <f t="shared" si="148"/>
        <v>191.23827338431175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>
        <f>EXP(-LN(2)/35)*CK147+(1-EXP(-LN(2)/35))/(LN(2)/35)*CG148*CH148*VLOOKUP('Données projet'!$B$12,Paramètres!$A$1:$I$89,3,0)*0.475*44/12</f>
        <v>41.727105241256631</v>
      </c>
      <c r="CL148" s="21">
        <f>EXP(-LN(2)/25)*CL147+(1-EXP(-LN(2)/25))/(LN(2)/25)*Calculateur!CG148*Calculateur!CI148*VLOOKUP('Données projet'!$B$12,Paramètres!$A$1:$I$89,3,0)*0.475*44/12</f>
        <v>0</v>
      </c>
      <c r="CM148" s="21">
        <f>EXP(-LN(2)/2)*CM147+(1-EXP(-LN(2)/2))/(LN(2)/2)*CG148*CJ148*VLOOKUP('Données projet'!$B$12,Paramètres!$A$1:$I$89,3,0)*0.475*44/12</f>
        <v>0</v>
      </c>
      <c r="CN148" s="22">
        <f t="shared" si="120"/>
        <v>41.727105241256631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3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84.271200000000078</v>
      </c>
      <c r="D149" s="11">
        <f t="shared" si="140"/>
        <v>23.178332397368969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829.43498692705941</v>
      </c>
      <c r="H149" s="67">
        <f t="shared" si="110"/>
        <v>443.80793559208445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304.99999999999983</v>
      </c>
      <c r="O149" s="13">
        <f>N149*VLOOKUP('Données projet'!$B$9,Paramètres!$A$1:$I$89,3,0)*VLOOKUP('Données projet'!$B$9,Paramètres!$A$1:$I$89,5,0)</f>
        <v>275.96399999999983</v>
      </c>
      <c r="P149" s="13">
        <f t="shared" si="141"/>
        <v>66.113366665488854</v>
      </c>
      <c r="Q149" s="20">
        <f t="shared" si="108"/>
        <v>595.78474694239264</v>
      </c>
      <c r="R149" s="59">
        <f t="shared" si="109"/>
        <v>889.11808027572602</v>
      </c>
      <c r="S149" s="59">
        <f ca="1">AVERAGE(OFFSET($R$3,0,0,'Données projet'!$E$9+1,1))-AVERAGE(OFFSET($H$3,0,0,'Données projet'!$E$9+1,1))</f>
        <v>336.59194805061094</v>
      </c>
      <c r="T149" s="59">
        <f t="shared" si="142"/>
        <v>473.66884161123909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0.84137340920821824</v>
      </c>
      <c r="AA149" s="21">
        <f>EXP(-LN(2)/25)*AA148+(1-EXP(-LN(2)/25))/(LN(2)/25)*Calculateur!V149*Calculateur!X149*VLOOKUP('Données projet'!$B$9,Paramètres!$A$1:$I$89,3,0)*0.475*44/12</f>
        <v>0</v>
      </c>
      <c r="AB149" s="21">
        <f>EXP(-LN(2)/2)*AB148+(1-EXP(-LN(2)/2))/(LN(2)/2)*V149*Y149*VLOOKUP('Données projet'!$B$9,Paramètres!$A$1:$I$89,3,0)*0.475*44/12</f>
        <v>0</v>
      </c>
      <c r="AC149" s="22">
        <f t="shared" si="111"/>
        <v>0.84137340920821824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319</v>
      </c>
      <c r="AJ149" s="13">
        <f>AI149*VLOOKUP('Données projet'!$B$10,Paramètres!$A$1:$I$89,3,0)*VLOOKUP('Données projet'!$B$10,Paramètres!$A$1:$I$89,5,0)</f>
        <v>209.00879999999998</v>
      </c>
      <c r="AK149" s="13">
        <f t="shared" si="143"/>
        <v>51.718923953824202</v>
      </c>
      <c r="AL149" s="20">
        <f t="shared" si="112"/>
        <v>454.10078588624373</v>
      </c>
      <c r="AM149" s="59">
        <f t="shared" si="113"/>
        <v>747.43411921957704</v>
      </c>
      <c r="AN149" s="59">
        <f ca="1">AVERAGE(OFFSET($AM$3,0,0,'Données projet'!$E$10+1,1))-AVERAGE(OFFSET($H$3,0,0,'Données projet'!$E$10+1,1))</f>
        <v>244.66788784685366</v>
      </c>
      <c r="AO149" s="59">
        <f t="shared" si="144"/>
        <v>252.04429018409274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9.6131872575935944</v>
      </c>
      <c r="AV149" s="21">
        <f>EXP(-LN(2)/25)*AV148+(1-EXP(-LN(2)/25))/(LN(2)/25)*Calculateur!AQ149*Calculateur!AS149*VLOOKUP('Données projet'!$B$10,Paramètres!$A$1:$I$89,3,0)*0.475*44/12</f>
        <v>0</v>
      </c>
      <c r="AW149" s="21">
        <f>EXP(-LN(2)/2)*AW148+(1-EXP(-LN(2)/2))/(LN(2)/2)*AQ149*AT149*VLOOKUP('Données projet'!$B$10,Paramètres!$A$1:$I$89,3,0)*0.475*44/12</f>
        <v>0</v>
      </c>
      <c r="AX149" s="21">
        <f t="shared" si="114"/>
        <v>9.6131872575935944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243.99999999999989</v>
      </c>
      <c r="BE149" s="13">
        <f>BD149*VLOOKUP('Données projet'!$B$11,Paramètres!$A$1:$I$89,3,0)*VLOOKUP('Données projet'!$B$11,Paramètres!$A$1:$I$89,5,0)</f>
        <v>232.19039999999987</v>
      </c>
      <c r="BF149" s="13">
        <f t="shared" si="145"/>
        <v>56.756035639094556</v>
      </c>
      <c r="BG149" s="20">
        <f t="shared" si="115"/>
        <v>503.24837540475619</v>
      </c>
      <c r="BH149" s="59">
        <f t="shared" si="116"/>
        <v>796.58170873808945</v>
      </c>
      <c r="BI149" s="59">
        <f ca="1">AVERAGE(OFFSET($BH$3,0,0,'Données projet'!$E$11+1,1))-AVERAGE(OFFSET($H$3,0,0,'Données projet'!$E$11+1,1))</f>
        <v>373.51596132356536</v>
      </c>
      <c r="BJ149" s="59">
        <f t="shared" si="146"/>
        <v>417.00150517020114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41.882026350559563</v>
      </c>
      <c r="BQ149" s="21">
        <f>EXP(-LN(2)/25)*BQ148+(1-EXP(-LN(2)/25))/(LN(2)/25)*Calculateur!BL149*Calculateur!BN149*VLOOKUP('Données projet'!$B$11,Paramètres!$A$1:$I$89,3,0)*0.475*44/12</f>
        <v>0</v>
      </c>
      <c r="BR149" s="21">
        <f>EXP(-LN(2)/2)*BR148+(1-EXP(-LN(2)/2))/(LN(2)/2)*BL149*BO149*VLOOKUP('Données projet'!$B$11,Paramètres!$A$1:$I$89,3,0)*0.475*44/12</f>
        <v>0</v>
      </c>
      <c r="BS149" s="22">
        <f t="shared" si="117"/>
        <v>41.882026350559563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267</v>
      </c>
      <c r="BZ149" s="13">
        <f>BY149*VLOOKUP('Données projet'!$B$12,Paramètres!$A$1:$I$89,3,0)*VLOOKUP('Données projet'!$B$12,Paramètres!$A$1:$I$89,5,0)</f>
        <v>241.58159999999998</v>
      </c>
      <c r="CA149" s="13">
        <f t="shared" si="147"/>
        <v>58.779689232021951</v>
      </c>
      <c r="CB149" s="20">
        <f t="shared" si="118"/>
        <v>523.12924541243819</v>
      </c>
      <c r="CC149" s="59">
        <f t="shared" si="119"/>
        <v>816.46257874577145</v>
      </c>
      <c r="CD149" s="59">
        <f ca="1">AVERAGE(OFFSET($CC$3,0,0,'Données projet'!$E$12+1,1))-AVERAGE(OFFSET($H$3,0,0,'Données projet'!$E$12+1,1))</f>
        <v>289.19622253646992</v>
      </c>
      <c r="CE149" s="59">
        <f t="shared" si="148"/>
        <v>191.23827338431175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>
        <f>EXP(-LN(2)/35)*CK148+(1-EXP(-LN(2)/35))/(LN(2)/35)*CG149*CH149*VLOOKUP('Données projet'!$B$12,Paramètres!$A$1:$I$89,3,0)*0.475*44/12</f>
        <v>40.908862158496703</v>
      </c>
      <c r="CL149" s="21">
        <f>EXP(-LN(2)/25)*CL148+(1-EXP(-LN(2)/25))/(LN(2)/25)*Calculateur!CG149*Calculateur!CI149*VLOOKUP('Données projet'!$B$12,Paramètres!$A$1:$I$89,3,0)*0.475*44/12</f>
        <v>0</v>
      </c>
      <c r="CM149" s="21">
        <f>EXP(-LN(2)/2)*CM148+(1-EXP(-LN(2)/2))/(LN(2)/2)*CG149*CJ149*VLOOKUP('Données projet'!$B$12,Paramètres!$A$1:$I$89,3,0)*0.475*44/12</f>
        <v>0</v>
      </c>
      <c r="CN149" s="22">
        <f t="shared" si="120"/>
        <v>40.908862158496703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3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84.848400000000083</v>
      </c>
      <c r="D150" s="11">
        <f t="shared" si="140"/>
        <v>23.318553158641912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834.97297175092081</v>
      </c>
      <c r="H150" s="67">
        <f t="shared" si="110"/>
        <v>445.05744341796816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304.99999999999983</v>
      </c>
      <c r="O150" s="13">
        <f>N150*VLOOKUP('Données projet'!$B$9,Paramètres!$A$1:$I$89,3,0)*VLOOKUP('Données projet'!$B$9,Paramètres!$A$1:$I$89,5,0)</f>
        <v>275.96399999999983</v>
      </c>
      <c r="P150" s="13">
        <f t="shared" si="141"/>
        <v>66.113366665488854</v>
      </c>
      <c r="Q150" s="20">
        <f t="shared" si="108"/>
        <v>595.78474694239264</v>
      </c>
      <c r="R150" s="59">
        <f t="shared" si="109"/>
        <v>889.11808027572602</v>
      </c>
      <c r="S150" s="59">
        <f ca="1">AVERAGE(OFFSET($R$3,0,0,'Données projet'!$E$9+1,1))-AVERAGE(OFFSET($H$3,0,0,'Données projet'!$E$9+1,1))</f>
        <v>336.59194805061094</v>
      </c>
      <c r="T150" s="59">
        <f t="shared" si="142"/>
        <v>473.66884161123909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0.82487458984075168</v>
      </c>
      <c r="AA150" s="21">
        <f>EXP(-LN(2)/25)*AA149+(1-EXP(-LN(2)/25))/(LN(2)/25)*Calculateur!V150*Calculateur!X150*VLOOKUP('Données projet'!$B$9,Paramètres!$A$1:$I$89,3,0)*0.475*44/12</f>
        <v>0</v>
      </c>
      <c r="AB150" s="21">
        <f>EXP(-LN(2)/2)*AB149+(1-EXP(-LN(2)/2))/(LN(2)/2)*V150*Y150*VLOOKUP('Données projet'!$B$9,Paramètres!$A$1:$I$89,3,0)*0.475*44/12</f>
        <v>0</v>
      </c>
      <c r="AC150" s="22">
        <f t="shared" si="111"/>
        <v>0.82487458984075168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319</v>
      </c>
      <c r="AJ150" s="13">
        <f>AI150*VLOOKUP('Données projet'!$B$10,Paramètres!$A$1:$I$89,3,0)*VLOOKUP('Données projet'!$B$10,Paramètres!$A$1:$I$89,5,0)</f>
        <v>209.00879999999998</v>
      </c>
      <c r="AK150" s="13">
        <f t="shared" si="143"/>
        <v>51.718923953824202</v>
      </c>
      <c r="AL150" s="20">
        <f t="shared" si="112"/>
        <v>454.10078588624373</v>
      </c>
      <c r="AM150" s="59">
        <f t="shared" si="113"/>
        <v>747.43411921957704</v>
      </c>
      <c r="AN150" s="59">
        <f ca="1">AVERAGE(OFFSET($AM$3,0,0,'Données projet'!$E$10+1,1))-AVERAGE(OFFSET($H$3,0,0,'Données projet'!$E$10+1,1))</f>
        <v>244.66788784685366</v>
      </c>
      <c r="AO150" s="59">
        <f t="shared" si="144"/>
        <v>252.04429018409274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9.4246785189374425</v>
      </c>
      <c r="AV150" s="21">
        <f>EXP(-LN(2)/25)*AV149+(1-EXP(-LN(2)/25))/(LN(2)/25)*Calculateur!AQ150*Calculateur!AS150*VLOOKUP('Données projet'!$B$10,Paramètres!$A$1:$I$89,3,0)*0.475*44/12</f>
        <v>0</v>
      </c>
      <c r="AW150" s="21">
        <f>EXP(-LN(2)/2)*AW149+(1-EXP(-LN(2)/2))/(LN(2)/2)*AQ150*AT150*VLOOKUP('Données projet'!$B$10,Paramètres!$A$1:$I$89,3,0)*0.475*44/12</f>
        <v>0</v>
      </c>
      <c r="AX150" s="21">
        <f t="shared" si="114"/>
        <v>9.4246785189374425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243.99999999999989</v>
      </c>
      <c r="BE150" s="13">
        <f>BD150*VLOOKUP('Données projet'!$B$11,Paramètres!$A$1:$I$89,3,0)*VLOOKUP('Données projet'!$B$11,Paramètres!$A$1:$I$89,5,0)</f>
        <v>232.19039999999987</v>
      </c>
      <c r="BF150" s="13">
        <f t="shared" si="145"/>
        <v>56.756035639094556</v>
      </c>
      <c r="BG150" s="20">
        <f t="shared" si="115"/>
        <v>503.24837540475619</v>
      </c>
      <c r="BH150" s="59">
        <f t="shared" si="116"/>
        <v>796.58170873808945</v>
      </c>
      <c r="BI150" s="59">
        <f ca="1">AVERAGE(OFFSET($BH$3,0,0,'Données projet'!$E$11+1,1))-AVERAGE(OFFSET($H$3,0,0,'Données projet'!$E$11+1,1))</f>
        <v>373.51596132356536</v>
      </c>
      <c r="BJ150" s="59">
        <f t="shared" si="146"/>
        <v>417.00150517020114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41.060745359338753</v>
      </c>
      <c r="BQ150" s="21">
        <f>EXP(-LN(2)/25)*BQ149+(1-EXP(-LN(2)/25))/(LN(2)/25)*Calculateur!BL150*Calculateur!BN150*VLOOKUP('Données projet'!$B$11,Paramètres!$A$1:$I$89,3,0)*0.475*44/12</f>
        <v>0</v>
      </c>
      <c r="BR150" s="21">
        <f>EXP(-LN(2)/2)*BR149+(1-EXP(-LN(2)/2))/(LN(2)/2)*BL150*BO150*VLOOKUP('Données projet'!$B$11,Paramètres!$A$1:$I$89,3,0)*0.475*44/12</f>
        <v>0</v>
      </c>
      <c r="BS150" s="22">
        <f t="shared" si="117"/>
        <v>41.060745359338753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267</v>
      </c>
      <c r="BZ150" s="13">
        <f>BY150*VLOOKUP('Données projet'!$B$12,Paramètres!$A$1:$I$89,3,0)*VLOOKUP('Données projet'!$B$12,Paramètres!$A$1:$I$89,5,0)</f>
        <v>241.58159999999998</v>
      </c>
      <c r="CA150" s="13">
        <f t="shared" si="147"/>
        <v>58.779689232021951</v>
      </c>
      <c r="CB150" s="20">
        <f t="shared" si="118"/>
        <v>523.12924541243819</v>
      </c>
      <c r="CC150" s="59">
        <f t="shared" si="119"/>
        <v>816.46257874577145</v>
      </c>
      <c r="CD150" s="59">
        <f ca="1">AVERAGE(OFFSET($CC$3,0,0,'Données projet'!$E$12+1,1))-AVERAGE(OFFSET($H$3,0,0,'Données projet'!$E$12+1,1))</f>
        <v>289.19622253646992</v>
      </c>
      <c r="CE150" s="59">
        <f t="shared" si="148"/>
        <v>191.23827338431175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>
        <f>EXP(-LN(2)/35)*CK149+(1-EXP(-LN(2)/35))/(LN(2)/35)*CG150*CH150*VLOOKUP('Données projet'!$B$12,Paramètres!$A$1:$I$89,3,0)*0.475*44/12</f>
        <v>40.106664323510699</v>
      </c>
      <c r="CL150" s="21">
        <f>EXP(-LN(2)/25)*CL149+(1-EXP(-LN(2)/25))/(LN(2)/25)*Calculateur!CG150*Calculateur!CI150*VLOOKUP('Données projet'!$B$12,Paramètres!$A$1:$I$89,3,0)*0.475*44/12</f>
        <v>0</v>
      </c>
      <c r="CM150" s="21">
        <f>EXP(-LN(2)/2)*CM149+(1-EXP(-LN(2)/2))/(LN(2)/2)*CG150*CJ150*VLOOKUP('Données projet'!$B$12,Paramètres!$A$1:$I$89,3,0)*0.475*44/12</f>
        <v>0</v>
      </c>
      <c r="CN150" s="22">
        <f t="shared" si="120"/>
        <v>40.106664323510699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3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85.425600000000088</v>
      </c>
      <c r="D151" s="11">
        <f t="shared" si="140"/>
        <v>23.458662931007584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840.51009981830487</v>
      </c>
      <c r="H151" s="67">
        <f t="shared" si="110"/>
        <v>446.3067579381717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304.99999999999983</v>
      </c>
      <c r="O151" s="13">
        <f>N151*VLOOKUP('Données projet'!$B$9,Paramètres!$A$1:$I$89,3,0)*VLOOKUP('Données projet'!$B$9,Paramètres!$A$1:$I$89,5,0)</f>
        <v>275.96399999999983</v>
      </c>
      <c r="P151" s="13">
        <f t="shared" si="141"/>
        <v>66.113366665488854</v>
      </c>
      <c r="Q151" s="20">
        <f t="shared" si="108"/>
        <v>595.78474694239264</v>
      </c>
      <c r="R151" s="59">
        <f t="shared" si="109"/>
        <v>889.11808027572602</v>
      </c>
      <c r="S151" s="59">
        <f ca="1">AVERAGE(OFFSET($R$3,0,0,'Données projet'!$E$9+1,1))-AVERAGE(OFFSET($H$3,0,0,'Données projet'!$E$9+1,1))</f>
        <v>336.59194805061094</v>
      </c>
      <c r="T151" s="59">
        <f t="shared" si="142"/>
        <v>473.66884161123909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0.80869930225779496</v>
      </c>
      <c r="AA151" s="21">
        <f>EXP(-LN(2)/25)*AA150+(1-EXP(-LN(2)/25))/(LN(2)/25)*Calculateur!V151*Calculateur!X151*VLOOKUP('Données projet'!$B$9,Paramètres!$A$1:$I$89,3,0)*0.475*44/12</f>
        <v>0</v>
      </c>
      <c r="AB151" s="21">
        <f>EXP(-LN(2)/2)*AB150+(1-EXP(-LN(2)/2))/(LN(2)/2)*V151*Y151*VLOOKUP('Données projet'!$B$9,Paramètres!$A$1:$I$89,3,0)*0.475*44/12</f>
        <v>0</v>
      </c>
      <c r="AC151" s="22">
        <f t="shared" si="111"/>
        <v>0.80869930225779496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319</v>
      </c>
      <c r="AJ151" s="13">
        <f>AI151*VLOOKUP('Données projet'!$B$10,Paramètres!$A$1:$I$89,3,0)*VLOOKUP('Données projet'!$B$10,Paramètres!$A$1:$I$89,5,0)</f>
        <v>209.00879999999998</v>
      </c>
      <c r="AK151" s="13">
        <f t="shared" si="143"/>
        <v>51.718923953824202</v>
      </c>
      <c r="AL151" s="20">
        <f t="shared" si="112"/>
        <v>454.10078588624373</v>
      </c>
      <c r="AM151" s="59">
        <f t="shared" si="113"/>
        <v>747.43411921957704</v>
      </c>
      <c r="AN151" s="59">
        <f ca="1">AVERAGE(OFFSET($AM$3,0,0,'Données projet'!$E$10+1,1))-AVERAGE(OFFSET($H$3,0,0,'Données projet'!$E$10+1,1))</f>
        <v>244.66788784685366</v>
      </c>
      <c r="AO151" s="59">
        <f t="shared" si="144"/>
        <v>252.04429018409274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9.2398663216673604</v>
      </c>
      <c r="AV151" s="21">
        <f>EXP(-LN(2)/25)*AV150+(1-EXP(-LN(2)/25))/(LN(2)/25)*Calculateur!AQ151*Calculateur!AS151*VLOOKUP('Données projet'!$B$10,Paramètres!$A$1:$I$89,3,0)*0.475*44/12</f>
        <v>0</v>
      </c>
      <c r="AW151" s="21">
        <f>EXP(-LN(2)/2)*AW150+(1-EXP(-LN(2)/2))/(LN(2)/2)*AQ151*AT151*VLOOKUP('Données projet'!$B$10,Paramètres!$A$1:$I$89,3,0)*0.475*44/12</f>
        <v>0</v>
      </c>
      <c r="AX151" s="21">
        <f t="shared" si="114"/>
        <v>9.2398663216673604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243.99999999999989</v>
      </c>
      <c r="BE151" s="13">
        <f>BD151*VLOOKUP('Données projet'!$B$11,Paramètres!$A$1:$I$89,3,0)*VLOOKUP('Données projet'!$B$11,Paramètres!$A$1:$I$89,5,0)</f>
        <v>232.19039999999987</v>
      </c>
      <c r="BF151" s="13">
        <f t="shared" si="145"/>
        <v>56.756035639094556</v>
      </c>
      <c r="BG151" s="20">
        <f t="shared" si="115"/>
        <v>503.24837540475619</v>
      </c>
      <c r="BH151" s="59">
        <f t="shared" si="116"/>
        <v>796.58170873808945</v>
      </c>
      <c r="BI151" s="59">
        <f ca="1">AVERAGE(OFFSET($BH$3,0,0,'Données projet'!$E$11+1,1))-AVERAGE(OFFSET($H$3,0,0,'Données projet'!$E$11+1,1))</f>
        <v>373.51596132356536</v>
      </c>
      <c r="BJ151" s="59">
        <f t="shared" si="146"/>
        <v>417.00150517020114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40.255569187423845</v>
      </c>
      <c r="BQ151" s="21">
        <f>EXP(-LN(2)/25)*BQ150+(1-EXP(-LN(2)/25))/(LN(2)/25)*Calculateur!BL151*Calculateur!BN151*VLOOKUP('Données projet'!$B$11,Paramètres!$A$1:$I$89,3,0)*0.475*44/12</f>
        <v>0</v>
      </c>
      <c r="BR151" s="21">
        <f>EXP(-LN(2)/2)*BR150+(1-EXP(-LN(2)/2))/(LN(2)/2)*BL151*BO151*VLOOKUP('Données projet'!$B$11,Paramètres!$A$1:$I$89,3,0)*0.475*44/12</f>
        <v>0</v>
      </c>
      <c r="BS151" s="22">
        <f t="shared" si="117"/>
        <v>40.255569187423845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267</v>
      </c>
      <c r="BZ151" s="13">
        <f>BY151*VLOOKUP('Données projet'!$B$12,Paramètres!$A$1:$I$89,3,0)*VLOOKUP('Données projet'!$B$12,Paramètres!$A$1:$I$89,5,0)</f>
        <v>241.58159999999998</v>
      </c>
      <c r="CA151" s="13">
        <f t="shared" si="147"/>
        <v>58.779689232021951</v>
      </c>
      <c r="CB151" s="20">
        <f t="shared" si="118"/>
        <v>523.12924541243819</v>
      </c>
      <c r="CC151" s="59">
        <f t="shared" si="119"/>
        <v>816.46257874577145</v>
      </c>
      <c r="CD151" s="59">
        <f ca="1">AVERAGE(OFFSET($CC$3,0,0,'Données projet'!$E$12+1,1))-AVERAGE(OFFSET($H$3,0,0,'Données projet'!$E$12+1,1))</f>
        <v>289.19622253646992</v>
      </c>
      <c r="CE151" s="59">
        <f t="shared" si="148"/>
        <v>191.23827338431175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>
        <f>EXP(-LN(2)/35)*CK150+(1-EXP(-LN(2)/35))/(LN(2)/35)*CG151*CH151*VLOOKUP('Données projet'!$B$12,Paramètres!$A$1:$I$89,3,0)*0.475*44/12</f>
        <v>39.320197098776404</v>
      </c>
      <c r="CL151" s="21">
        <f>EXP(-LN(2)/25)*CL150+(1-EXP(-LN(2)/25))/(LN(2)/25)*Calculateur!CG151*Calculateur!CI151*VLOOKUP('Données projet'!$B$12,Paramètres!$A$1:$I$89,3,0)*0.475*44/12</f>
        <v>0</v>
      </c>
      <c r="CM151" s="21">
        <f>EXP(-LN(2)/2)*CM150+(1-EXP(-LN(2)/2))/(LN(2)/2)*CG151*CJ151*VLOOKUP('Données projet'!$B$12,Paramètres!$A$1:$I$89,3,0)*0.475*44/12</f>
        <v>0</v>
      </c>
      <c r="CN151" s="22">
        <f t="shared" si="120"/>
        <v>39.320197098776404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3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86.002800000000093</v>
      </c>
      <c r="D152" s="11">
        <f t="shared" si="140"/>
        <v>23.598662551365958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846.04637758949241</v>
      </c>
      <c r="H152" s="67">
        <f t="shared" si="110"/>
        <v>447.5558806102959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304.99999999999983</v>
      </c>
      <c r="O152" s="13">
        <f>N152*VLOOKUP('Données projet'!$B$9,Paramètres!$A$1:$I$89,3,0)*VLOOKUP('Données projet'!$B$9,Paramètres!$A$1:$I$89,5,0)</f>
        <v>275.96399999999983</v>
      </c>
      <c r="P152" s="13">
        <f t="shared" si="141"/>
        <v>66.113366665488854</v>
      </c>
      <c r="Q152" s="20">
        <f t="shared" si="108"/>
        <v>595.78474694239264</v>
      </c>
      <c r="R152" s="59">
        <f t="shared" si="109"/>
        <v>889.11808027572602</v>
      </c>
      <c r="S152" s="59">
        <f ca="1">AVERAGE(OFFSET($R$3,0,0,'Données projet'!$E$9+1,1))-AVERAGE(OFFSET($H$3,0,0,'Données projet'!$E$9+1,1))</f>
        <v>336.59194805061094</v>
      </c>
      <c r="T152" s="59">
        <f t="shared" si="142"/>
        <v>473.66884161123909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0.79284120219838883</v>
      </c>
      <c r="AA152" s="21">
        <f>EXP(-LN(2)/25)*AA151+(1-EXP(-LN(2)/25))/(LN(2)/25)*Calculateur!V152*Calculateur!X152*VLOOKUP('Données projet'!$B$9,Paramètres!$A$1:$I$89,3,0)*0.475*44/12</f>
        <v>0</v>
      </c>
      <c r="AB152" s="21">
        <f>EXP(-LN(2)/2)*AB151+(1-EXP(-LN(2)/2))/(LN(2)/2)*V152*Y152*VLOOKUP('Données projet'!$B$9,Paramètres!$A$1:$I$89,3,0)*0.475*44/12</f>
        <v>0</v>
      </c>
      <c r="AC152" s="22">
        <f t="shared" si="111"/>
        <v>0.79284120219838883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319</v>
      </c>
      <c r="AJ152" s="13">
        <f>AI152*VLOOKUP('Données projet'!$B$10,Paramètres!$A$1:$I$89,3,0)*VLOOKUP('Données projet'!$B$10,Paramètres!$A$1:$I$89,5,0)</f>
        <v>209.00879999999998</v>
      </c>
      <c r="AK152" s="13">
        <f t="shared" si="143"/>
        <v>51.718923953824202</v>
      </c>
      <c r="AL152" s="20">
        <f t="shared" si="112"/>
        <v>454.10078588624373</v>
      </c>
      <c r="AM152" s="59">
        <f t="shared" si="113"/>
        <v>747.43411921957704</v>
      </c>
      <c r="AN152" s="59">
        <f ca="1">AVERAGE(OFFSET($AM$3,0,0,'Données projet'!$E$10+1,1))-AVERAGE(OFFSET($H$3,0,0,'Données projet'!$E$10+1,1))</f>
        <v>244.66788784685366</v>
      </c>
      <c r="AO152" s="59">
        <f t="shared" si="144"/>
        <v>252.04429018409274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9.0586781788614346</v>
      </c>
      <c r="AV152" s="21">
        <f>EXP(-LN(2)/25)*AV151+(1-EXP(-LN(2)/25))/(LN(2)/25)*Calculateur!AQ152*Calculateur!AS152*VLOOKUP('Données projet'!$B$10,Paramètres!$A$1:$I$89,3,0)*0.475*44/12</f>
        <v>0</v>
      </c>
      <c r="AW152" s="21">
        <f>EXP(-LN(2)/2)*AW151+(1-EXP(-LN(2)/2))/(LN(2)/2)*AQ152*AT152*VLOOKUP('Données projet'!$B$10,Paramètres!$A$1:$I$89,3,0)*0.475*44/12</f>
        <v>0</v>
      </c>
      <c r="AX152" s="21">
        <f t="shared" si="114"/>
        <v>9.0586781788614346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243.99999999999989</v>
      </c>
      <c r="BE152" s="13">
        <f>BD152*VLOOKUP('Données projet'!$B$11,Paramètres!$A$1:$I$89,3,0)*VLOOKUP('Données projet'!$B$11,Paramètres!$A$1:$I$89,5,0)</f>
        <v>232.19039999999987</v>
      </c>
      <c r="BF152" s="13">
        <f t="shared" si="145"/>
        <v>56.756035639094556</v>
      </c>
      <c r="BG152" s="20">
        <f t="shared" si="115"/>
        <v>503.24837540475619</v>
      </c>
      <c r="BH152" s="59">
        <f t="shared" si="116"/>
        <v>796.58170873808945</v>
      </c>
      <c r="BI152" s="59">
        <f ca="1">AVERAGE(OFFSET($BH$3,0,0,'Données projet'!$E$11+1,1))-AVERAGE(OFFSET($H$3,0,0,'Données projet'!$E$11+1,1))</f>
        <v>373.51596132356536</v>
      </c>
      <c r="BJ152" s="59">
        <f t="shared" si="146"/>
        <v>417.00150517020114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39.466182029131211</v>
      </c>
      <c r="BQ152" s="21">
        <f>EXP(-LN(2)/25)*BQ151+(1-EXP(-LN(2)/25))/(LN(2)/25)*Calculateur!BL152*Calculateur!BN152*VLOOKUP('Données projet'!$B$11,Paramètres!$A$1:$I$89,3,0)*0.475*44/12</f>
        <v>0</v>
      </c>
      <c r="BR152" s="21">
        <f>EXP(-LN(2)/2)*BR151+(1-EXP(-LN(2)/2))/(LN(2)/2)*BL152*BO152*VLOOKUP('Données projet'!$B$11,Paramètres!$A$1:$I$89,3,0)*0.475*44/12</f>
        <v>0</v>
      </c>
      <c r="BS152" s="22">
        <f t="shared" si="117"/>
        <v>39.466182029131211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267</v>
      </c>
      <c r="BZ152" s="13">
        <f>BY152*VLOOKUP('Données projet'!$B$12,Paramètres!$A$1:$I$89,3,0)*VLOOKUP('Données projet'!$B$12,Paramètres!$A$1:$I$89,5,0)</f>
        <v>241.58159999999998</v>
      </c>
      <c r="CA152" s="13">
        <f t="shared" si="147"/>
        <v>58.779689232021951</v>
      </c>
      <c r="CB152" s="20">
        <f t="shared" si="118"/>
        <v>523.12924541243819</v>
      </c>
      <c r="CC152" s="59">
        <f t="shared" si="119"/>
        <v>816.46257874577145</v>
      </c>
      <c r="CD152" s="59">
        <f ca="1">AVERAGE(OFFSET($CC$3,0,0,'Données projet'!$E$12+1,1))-AVERAGE(OFFSET($H$3,0,0,'Données projet'!$E$12+1,1))</f>
        <v>289.19622253646992</v>
      </c>
      <c r="CE152" s="59">
        <f t="shared" si="148"/>
        <v>191.23827338431175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>
        <f>EXP(-LN(2)/35)*CK151+(1-EXP(-LN(2)/35))/(LN(2)/35)*CG152*CH152*VLOOKUP('Données projet'!$B$12,Paramètres!$A$1:$I$89,3,0)*0.475*44/12</f>
        <v>38.549152016621512</v>
      </c>
      <c r="CL152" s="21">
        <f>EXP(-LN(2)/25)*CL151+(1-EXP(-LN(2)/25))/(LN(2)/25)*Calculateur!CG152*Calculateur!CI152*VLOOKUP('Données projet'!$B$12,Paramètres!$A$1:$I$89,3,0)*0.475*44/12</f>
        <v>0</v>
      </c>
      <c r="CM152" s="21">
        <f>EXP(-LN(2)/2)*CM151+(1-EXP(-LN(2)/2))/(LN(2)/2)*CG152*CJ152*VLOOKUP('Données projet'!$B$12,Paramètres!$A$1:$I$89,3,0)*0.475*44/12</f>
        <v>0</v>
      </c>
      <c r="CN152" s="22">
        <f t="shared" si="120"/>
        <v>38.549152016621512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3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86.580000000000098</v>
      </c>
      <c r="D153" s="11">
        <f t="shared" si="140"/>
        <v>23.738552844733999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851.58181143303511</v>
      </c>
      <c r="H153" s="67">
        <f t="shared" si="110"/>
        <v>448.80481287124525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304.99999999999983</v>
      </c>
      <c r="O153" s="13">
        <f>N153*VLOOKUP('Données projet'!$B$9,Paramètres!$A$1:$I$89,3,0)*VLOOKUP('Données projet'!$B$9,Paramètres!$A$1:$I$89,5,0)</f>
        <v>275.96399999999983</v>
      </c>
      <c r="P153" s="13">
        <f t="shared" si="141"/>
        <v>66.113366665488854</v>
      </c>
      <c r="Q153" s="20">
        <f t="shared" si="108"/>
        <v>595.78474694239264</v>
      </c>
      <c r="R153" s="59">
        <f t="shared" si="109"/>
        <v>889.11808027572602</v>
      </c>
      <c r="S153" s="59">
        <f ca="1">AVERAGE(OFFSET($R$3,0,0,'Données projet'!$E$9+1,1))-AVERAGE(OFFSET($H$3,0,0,'Données projet'!$E$9+1,1))</f>
        <v>336.59194805061094</v>
      </c>
      <c r="T153" s="59">
        <f t="shared" si="142"/>
        <v>473.66884161123909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0.77729406980866167</v>
      </c>
      <c r="AA153" s="21">
        <f>EXP(-LN(2)/25)*AA152+(1-EXP(-LN(2)/25))/(LN(2)/25)*Calculateur!V153*Calculateur!X153*VLOOKUP('Données projet'!$B$9,Paramètres!$A$1:$I$89,3,0)*0.475*44/12</f>
        <v>0</v>
      </c>
      <c r="AB153" s="21">
        <f>EXP(-LN(2)/2)*AB152+(1-EXP(-LN(2)/2))/(LN(2)/2)*V153*Y153*VLOOKUP('Données projet'!$B$9,Paramètres!$A$1:$I$89,3,0)*0.475*44/12</f>
        <v>0</v>
      </c>
      <c r="AC153" s="22">
        <f t="shared" si="111"/>
        <v>0.77729406980866167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319</v>
      </c>
      <c r="AJ153" s="13">
        <f>AI153*VLOOKUP('Données projet'!$B$10,Paramètres!$A$1:$I$89,3,0)*VLOOKUP('Données projet'!$B$10,Paramètres!$A$1:$I$89,5,0)</f>
        <v>209.00879999999998</v>
      </c>
      <c r="AK153" s="13">
        <f t="shared" si="143"/>
        <v>51.718923953824202</v>
      </c>
      <c r="AL153" s="20">
        <f t="shared" si="112"/>
        <v>454.10078588624373</v>
      </c>
      <c r="AM153" s="59">
        <f t="shared" si="113"/>
        <v>747.43411921957704</v>
      </c>
      <c r="AN153" s="59">
        <f ca="1">AVERAGE(OFFSET($AM$3,0,0,'Données projet'!$E$10+1,1))-AVERAGE(OFFSET($H$3,0,0,'Données projet'!$E$10+1,1))</f>
        <v>244.66788784685366</v>
      </c>
      <c r="AO153" s="59">
        <f t="shared" si="144"/>
        <v>252.04429018409274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8.8810430250220787</v>
      </c>
      <c r="AV153" s="21">
        <f>EXP(-LN(2)/25)*AV152+(1-EXP(-LN(2)/25))/(LN(2)/25)*Calculateur!AQ153*Calculateur!AS153*VLOOKUP('Données projet'!$B$10,Paramètres!$A$1:$I$89,3,0)*0.475*44/12</f>
        <v>0</v>
      </c>
      <c r="AW153" s="21">
        <f>EXP(-LN(2)/2)*AW152+(1-EXP(-LN(2)/2))/(LN(2)/2)*AQ153*AT153*VLOOKUP('Données projet'!$B$10,Paramètres!$A$1:$I$89,3,0)*0.475*44/12</f>
        <v>0</v>
      </c>
      <c r="AX153" s="21">
        <f t="shared" si="114"/>
        <v>8.8810430250220787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243.99999999999989</v>
      </c>
      <c r="BE153" s="13">
        <f>BD153*VLOOKUP('Données projet'!$B$11,Paramètres!$A$1:$I$89,3,0)*VLOOKUP('Données projet'!$B$11,Paramètres!$A$1:$I$89,5,0)</f>
        <v>232.19039999999987</v>
      </c>
      <c r="BF153" s="13">
        <f t="shared" si="145"/>
        <v>56.756035639094556</v>
      </c>
      <c r="BG153" s="20">
        <f t="shared" si="115"/>
        <v>503.24837540475619</v>
      </c>
      <c r="BH153" s="59">
        <f t="shared" si="116"/>
        <v>796.58170873808945</v>
      </c>
      <c r="BI153" s="59">
        <f ca="1">AVERAGE(OFFSET($BH$3,0,0,'Données projet'!$E$11+1,1))-AVERAGE(OFFSET($H$3,0,0,'Données projet'!$E$11+1,1))</f>
        <v>373.51596132356536</v>
      </c>
      <c r="BJ153" s="59">
        <f t="shared" si="146"/>
        <v>417.00150517020114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38.692274271534075</v>
      </c>
      <c r="BQ153" s="21">
        <f>EXP(-LN(2)/25)*BQ152+(1-EXP(-LN(2)/25))/(LN(2)/25)*Calculateur!BL153*Calculateur!BN153*VLOOKUP('Données projet'!$B$11,Paramètres!$A$1:$I$89,3,0)*0.475*44/12</f>
        <v>0</v>
      </c>
      <c r="BR153" s="21">
        <f>EXP(-LN(2)/2)*BR152+(1-EXP(-LN(2)/2))/(LN(2)/2)*BL153*BO153*VLOOKUP('Données projet'!$B$11,Paramètres!$A$1:$I$89,3,0)*0.475*44/12</f>
        <v>0</v>
      </c>
      <c r="BS153" s="22">
        <f t="shared" si="117"/>
        <v>38.692274271534075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267</v>
      </c>
      <c r="BZ153" s="13">
        <f>BY153*VLOOKUP('Données projet'!$B$12,Paramètres!$A$1:$I$89,3,0)*VLOOKUP('Données projet'!$B$12,Paramètres!$A$1:$I$89,5,0)</f>
        <v>241.58159999999998</v>
      </c>
      <c r="CA153" s="13">
        <f t="shared" si="147"/>
        <v>58.779689232021951</v>
      </c>
      <c r="CB153" s="20">
        <f t="shared" si="118"/>
        <v>523.12924541243819</v>
      </c>
      <c r="CC153" s="59">
        <f t="shared" si="119"/>
        <v>816.46257874577145</v>
      </c>
      <c r="CD153" s="59">
        <f ca="1">AVERAGE(OFFSET($CC$3,0,0,'Données projet'!$E$12+1,1))-AVERAGE(OFFSET($H$3,0,0,'Données projet'!$E$12+1,1))</f>
        <v>289.19622253646992</v>
      </c>
      <c r="CE153" s="59">
        <f t="shared" si="148"/>
        <v>191.23827338431175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>
        <f>EXP(-LN(2)/35)*CK152+(1-EXP(-LN(2)/35))/(LN(2)/35)*CG153*CH153*VLOOKUP('Données projet'!$B$12,Paramètres!$A$1:$I$89,3,0)*0.475*44/12</f>
        <v>37.793226658236613</v>
      </c>
      <c r="CL153" s="21">
        <f>EXP(-LN(2)/25)*CL152+(1-EXP(-LN(2)/25))/(LN(2)/25)*Calculateur!CG153*Calculateur!CI153*VLOOKUP('Données projet'!$B$12,Paramètres!$A$1:$I$89,3,0)*0.475*44/12</f>
        <v>0</v>
      </c>
      <c r="CM153" s="21">
        <f>EXP(-LN(2)/2)*CM152+(1-EXP(-LN(2)/2))/(LN(2)/2)*CG153*CJ153*VLOOKUP('Données projet'!$B$12,Paramètres!$A$1:$I$89,3,0)*0.475*44/12</f>
        <v>0</v>
      </c>
      <c r="CN153" s="22">
        <f t="shared" si="120"/>
        <v>37.793226658236613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3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87.157200000000103</v>
      </c>
      <c r="D154" s="11">
        <f t="shared" si="140"/>
        <v>23.878334624492524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857.1164076276624</v>
      </c>
      <c r="H154" s="67">
        <f t="shared" si="110"/>
        <v>450.05355613765801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304.99999999999983</v>
      </c>
      <c r="O154" s="13">
        <f>N154*VLOOKUP('Données projet'!$B$9,Paramètres!$A$1:$I$89,3,0)*VLOOKUP('Données projet'!$B$9,Paramètres!$A$1:$I$89,5,0)</f>
        <v>275.96399999999983</v>
      </c>
      <c r="P154" s="13">
        <f t="shared" si="141"/>
        <v>66.113366665488854</v>
      </c>
      <c r="Q154" s="20">
        <f t="shared" ref="Q154:Q203" si="162">(O154+P154)*0.475*44/12</f>
        <v>595.78474694239264</v>
      </c>
      <c r="R154" s="59">
        <f t="shared" si="109"/>
        <v>889.11808027572602</v>
      </c>
      <c r="S154" s="59">
        <f ca="1">AVERAGE(OFFSET($R$3,0,0,'Données projet'!$E$9+1,1))-AVERAGE(OFFSET($H$3,0,0,'Données projet'!$E$9+1,1))</f>
        <v>336.59194805061094</v>
      </c>
      <c r="T154" s="59">
        <f t="shared" si="142"/>
        <v>473.66884161123909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0.76205180720228261</v>
      </c>
      <c r="AA154" s="21">
        <f>EXP(-LN(2)/25)*AA153+(1-EXP(-LN(2)/25))/(LN(2)/25)*Calculateur!V154*Calculateur!X154*VLOOKUP('Données projet'!$B$9,Paramètres!$A$1:$I$89,3,0)*0.475*44/12</f>
        <v>0</v>
      </c>
      <c r="AB154" s="21">
        <f>EXP(-LN(2)/2)*AB153+(1-EXP(-LN(2)/2))/(LN(2)/2)*V154*Y154*VLOOKUP('Données projet'!$B$9,Paramètres!$A$1:$I$89,3,0)*0.475*44/12</f>
        <v>0</v>
      </c>
      <c r="AC154" s="22">
        <f t="shared" ref="AC154:AC203" si="163">SUM(Z154:AB154)</f>
        <v>0.76205180720228261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319</v>
      </c>
      <c r="AJ154" s="13">
        <f>AI154*VLOOKUP('Données projet'!$B$10,Paramètres!$A$1:$I$89,3,0)*VLOOKUP('Données projet'!$B$10,Paramètres!$A$1:$I$89,5,0)</f>
        <v>209.00879999999998</v>
      </c>
      <c r="AK154" s="13">
        <f t="shared" ref="AK154:AK203" si="164">EXP(-1.0587+0.8836*LN(AJ154)+0.284)</f>
        <v>51.718923953824202</v>
      </c>
      <c r="AL154" s="20">
        <f t="shared" ref="AL154:AL203" si="165">(AJ154+AK154)*0.475*44/12</f>
        <v>454.10078588624373</v>
      </c>
      <c r="AM154" s="59">
        <f t="shared" si="113"/>
        <v>747.43411921957704</v>
      </c>
      <c r="AN154" s="59">
        <f ca="1">AVERAGE(OFFSET($AM$3,0,0,'Données projet'!$E$10+1,1))-AVERAGE(OFFSET($H$3,0,0,'Données projet'!$E$10+1,1))</f>
        <v>244.66788784685366</v>
      </c>
      <c r="AO154" s="59">
        <f t="shared" si="144"/>
        <v>252.04429018409274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8.706891188202766</v>
      </c>
      <c r="AV154" s="21">
        <f>EXP(-LN(2)/25)*AV153+(1-EXP(-LN(2)/25))/(LN(2)/25)*Calculateur!AQ154*Calculateur!AS154*VLOOKUP('Données projet'!$B$10,Paramètres!$A$1:$I$89,3,0)*0.475*44/12</f>
        <v>0</v>
      </c>
      <c r="AW154" s="21">
        <f>EXP(-LN(2)/2)*AW153+(1-EXP(-LN(2)/2))/(LN(2)/2)*AQ154*AT154*VLOOKUP('Données projet'!$B$10,Paramètres!$A$1:$I$89,3,0)*0.475*44/12</f>
        <v>0</v>
      </c>
      <c r="AX154" s="21">
        <f t="shared" ref="AX154:AX203" si="166">SUM(AU154:AW154)</f>
        <v>8.706891188202766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243.99999999999989</v>
      </c>
      <c r="BE154" s="13">
        <f>BD154*VLOOKUP('Données projet'!$B$11,Paramètres!$A$1:$I$89,3,0)*VLOOKUP('Données projet'!$B$11,Paramètres!$A$1:$I$89,5,0)</f>
        <v>232.19039999999987</v>
      </c>
      <c r="BF154" s="13">
        <f t="shared" ref="BF154:BF203" si="167">EXP(-1.0587+0.8836*LN(BE154)+0.284)</f>
        <v>56.756035639094556</v>
      </c>
      <c r="BG154" s="20">
        <f t="shared" ref="BG154:BG203" si="168">(BE154+BF154)*0.475*44/12</f>
        <v>503.24837540475619</v>
      </c>
      <c r="BH154" s="59">
        <f t="shared" si="116"/>
        <v>796.58170873808945</v>
      </c>
      <c r="BI154" s="59">
        <f ca="1">AVERAGE(OFFSET($BH$3,0,0,'Données projet'!$E$11+1,1))-AVERAGE(OFFSET($H$3,0,0,'Données projet'!$E$11+1,1))</f>
        <v>373.51596132356536</v>
      </c>
      <c r="BJ154" s="59">
        <f t="shared" si="146"/>
        <v>417.00150517020114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37.933542373026292</v>
      </c>
      <c r="BQ154" s="21">
        <f>EXP(-LN(2)/25)*BQ153+(1-EXP(-LN(2)/25))/(LN(2)/25)*Calculateur!BL154*Calculateur!BN154*VLOOKUP('Données projet'!$B$11,Paramètres!$A$1:$I$89,3,0)*0.475*44/12</f>
        <v>0</v>
      </c>
      <c r="BR154" s="21">
        <f>EXP(-LN(2)/2)*BR153+(1-EXP(-LN(2)/2))/(LN(2)/2)*BL154*BO154*VLOOKUP('Données projet'!$B$11,Paramètres!$A$1:$I$89,3,0)*0.475*44/12</f>
        <v>0</v>
      </c>
      <c r="BS154" s="22">
        <f t="shared" ref="BS154:BS203" si="169">SUM(BP154:BR154)</f>
        <v>37.933542373026292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267</v>
      </c>
      <c r="BZ154" s="13">
        <f>BY154*VLOOKUP('Données projet'!$B$12,Paramètres!$A$1:$I$89,3,0)*VLOOKUP('Données projet'!$B$12,Paramètres!$A$1:$I$89,5,0)</f>
        <v>241.58159999999998</v>
      </c>
      <c r="CA154" s="13">
        <f t="shared" ref="CA154:CA203" si="170">EXP(-1.0587+0.8836*LN(BZ154)+0.284)</f>
        <v>58.779689232021951</v>
      </c>
      <c r="CB154" s="20">
        <f t="shared" ref="CB154:CB203" si="171">(BZ154+CA154)*0.475*44/12</f>
        <v>523.12924541243819</v>
      </c>
      <c r="CC154" s="59">
        <f t="shared" si="119"/>
        <v>816.46257874577145</v>
      </c>
      <c r="CD154" s="59">
        <f ca="1">AVERAGE(OFFSET($CC$3,0,0,'Données projet'!$E$12+1,1))-AVERAGE(OFFSET($H$3,0,0,'Données projet'!$E$12+1,1))</f>
        <v>289.19622253646992</v>
      </c>
      <c r="CE154" s="59">
        <f t="shared" si="148"/>
        <v>191.23827338431175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>
        <f>EXP(-LN(2)/35)*CK153+(1-EXP(-LN(2)/35))/(LN(2)/35)*CG154*CH154*VLOOKUP('Données projet'!$B$12,Paramètres!$A$1:$I$89,3,0)*0.475*44/12</f>
        <v>37.052124535060699</v>
      </c>
      <c r="CL154" s="21">
        <f>EXP(-LN(2)/25)*CL153+(1-EXP(-LN(2)/25))/(LN(2)/25)*Calculateur!CG154*Calculateur!CI154*VLOOKUP('Données projet'!$B$12,Paramètres!$A$1:$I$89,3,0)*0.475*44/12</f>
        <v>0</v>
      </c>
      <c r="CM154" s="21">
        <f>EXP(-LN(2)/2)*CM153+(1-EXP(-LN(2)/2))/(LN(2)/2)*CG154*CJ154*VLOOKUP('Données projet'!$B$12,Paramètres!$A$1:$I$89,3,0)*0.475*44/12</f>
        <v>0</v>
      </c>
      <c r="CN154" s="22">
        <f t="shared" ref="CN154:CN203" si="172">SUM(CK154:CM154)</f>
        <v>37.052124535060699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3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87.734400000000107</v>
      </c>
      <c r="D155" s="11">
        <f t="shared" si="140"/>
        <v>24.0180086926262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862.6501723641328</v>
      </c>
      <c r="H155" s="67">
        <f t="shared" si="110"/>
        <v>451.30211180632415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304.99999999999983</v>
      </c>
      <c r="O155" s="13">
        <f>N155*VLOOKUP('Données projet'!$B$9,Paramètres!$A$1:$I$89,3,0)*VLOOKUP('Données projet'!$B$9,Paramètres!$A$1:$I$89,5,0)</f>
        <v>275.96399999999983</v>
      </c>
      <c r="P155" s="13">
        <f t="shared" si="141"/>
        <v>66.113366665488854</v>
      </c>
      <c r="Q155" s="20">
        <f t="shared" si="162"/>
        <v>595.78474694239264</v>
      </c>
      <c r="R155" s="59">
        <f t="shared" si="109"/>
        <v>889.11808027572602</v>
      </c>
      <c r="S155" s="59">
        <f ca="1">AVERAGE(OFFSET($R$3,0,0,'Données projet'!$E$9+1,1))-AVERAGE(OFFSET($H$3,0,0,'Données projet'!$E$9+1,1))</f>
        <v>336.59194805061094</v>
      </c>
      <c r="T155" s="59">
        <f t="shared" si="142"/>
        <v>473.66884161123909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0.74710843606875244</v>
      </c>
      <c r="AA155" s="21">
        <f>EXP(-LN(2)/25)*AA154+(1-EXP(-LN(2)/25))/(LN(2)/25)*Calculateur!V155*Calculateur!X155*VLOOKUP('Données projet'!$B$9,Paramètres!$A$1:$I$89,3,0)*0.475*44/12</f>
        <v>0</v>
      </c>
      <c r="AB155" s="21">
        <f>EXP(-LN(2)/2)*AB154+(1-EXP(-LN(2)/2))/(LN(2)/2)*V155*Y155*VLOOKUP('Données projet'!$B$9,Paramètres!$A$1:$I$89,3,0)*0.475*44/12</f>
        <v>0</v>
      </c>
      <c r="AC155" s="22">
        <f t="shared" si="163"/>
        <v>0.74710843606875244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319</v>
      </c>
      <c r="AJ155" s="13">
        <f>AI155*VLOOKUP('Données projet'!$B$10,Paramètres!$A$1:$I$89,3,0)*VLOOKUP('Données projet'!$B$10,Paramètres!$A$1:$I$89,5,0)</f>
        <v>209.00879999999998</v>
      </c>
      <c r="AK155" s="13">
        <f t="shared" si="164"/>
        <v>51.718923953824202</v>
      </c>
      <c r="AL155" s="20">
        <f t="shared" si="165"/>
        <v>454.10078588624373</v>
      </c>
      <c r="AM155" s="59">
        <f t="shared" si="113"/>
        <v>747.43411921957704</v>
      </c>
      <c r="AN155" s="59">
        <f ca="1">AVERAGE(OFFSET($AM$3,0,0,'Données projet'!$E$10+1,1))-AVERAGE(OFFSET($H$3,0,0,'Données projet'!$E$10+1,1))</f>
        <v>244.66788784685366</v>
      </c>
      <c r="AO155" s="59">
        <f t="shared" si="144"/>
        <v>252.04429018409274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8.5361543626813479</v>
      </c>
      <c r="AV155" s="21">
        <f>EXP(-LN(2)/25)*AV154+(1-EXP(-LN(2)/25))/(LN(2)/25)*Calculateur!AQ155*Calculateur!AS155*VLOOKUP('Données projet'!$B$10,Paramètres!$A$1:$I$89,3,0)*0.475*44/12</f>
        <v>0</v>
      </c>
      <c r="AW155" s="21">
        <f>EXP(-LN(2)/2)*AW154+(1-EXP(-LN(2)/2))/(LN(2)/2)*AQ155*AT155*VLOOKUP('Données projet'!$B$10,Paramètres!$A$1:$I$89,3,0)*0.475*44/12</f>
        <v>0</v>
      </c>
      <c r="AX155" s="21">
        <f t="shared" si="166"/>
        <v>8.5361543626813479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243.99999999999989</v>
      </c>
      <c r="BE155" s="13">
        <f>BD155*VLOOKUP('Données projet'!$B$11,Paramètres!$A$1:$I$89,3,0)*VLOOKUP('Données projet'!$B$11,Paramètres!$A$1:$I$89,5,0)</f>
        <v>232.19039999999987</v>
      </c>
      <c r="BF155" s="13">
        <f t="shared" si="167"/>
        <v>56.756035639094556</v>
      </c>
      <c r="BG155" s="20">
        <f t="shared" si="168"/>
        <v>503.24837540475619</v>
      </c>
      <c r="BH155" s="59">
        <f t="shared" si="116"/>
        <v>796.58170873808945</v>
      </c>
      <c r="BI155" s="59">
        <f ca="1">AVERAGE(OFFSET($BH$3,0,0,'Données projet'!$E$11+1,1))-AVERAGE(OFFSET($H$3,0,0,'Données projet'!$E$11+1,1))</f>
        <v>373.51596132356536</v>
      </c>
      <c r="BJ155" s="59">
        <f t="shared" si="146"/>
        <v>417.00150517020114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37.189688744267485</v>
      </c>
      <c r="BQ155" s="21">
        <f>EXP(-LN(2)/25)*BQ154+(1-EXP(-LN(2)/25))/(LN(2)/25)*Calculateur!BL155*Calculateur!BN155*VLOOKUP('Données projet'!$B$11,Paramètres!$A$1:$I$89,3,0)*0.475*44/12</f>
        <v>0</v>
      </c>
      <c r="BR155" s="21">
        <f>EXP(-LN(2)/2)*BR154+(1-EXP(-LN(2)/2))/(LN(2)/2)*BL155*BO155*VLOOKUP('Données projet'!$B$11,Paramètres!$A$1:$I$89,3,0)*0.475*44/12</f>
        <v>0</v>
      </c>
      <c r="BS155" s="22">
        <f t="shared" si="169"/>
        <v>37.189688744267485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267</v>
      </c>
      <c r="BZ155" s="13">
        <f>BY155*VLOOKUP('Données projet'!$B$12,Paramètres!$A$1:$I$89,3,0)*VLOOKUP('Données projet'!$B$12,Paramètres!$A$1:$I$89,5,0)</f>
        <v>241.58159999999998</v>
      </c>
      <c r="CA155" s="13">
        <f t="shared" si="170"/>
        <v>58.779689232021951</v>
      </c>
      <c r="CB155" s="20">
        <f t="shared" si="171"/>
        <v>523.12924541243819</v>
      </c>
      <c r="CC155" s="59">
        <f t="shared" si="119"/>
        <v>816.46257874577145</v>
      </c>
      <c r="CD155" s="59">
        <f ca="1">AVERAGE(OFFSET($CC$3,0,0,'Données projet'!$E$12+1,1))-AVERAGE(OFFSET($H$3,0,0,'Données projet'!$E$12+1,1))</f>
        <v>289.19622253646992</v>
      </c>
      <c r="CE155" s="59">
        <f t="shared" si="148"/>
        <v>191.23827338431175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>
        <f>EXP(-LN(2)/35)*CK154+(1-EXP(-LN(2)/35))/(LN(2)/35)*CG155*CH155*VLOOKUP('Données projet'!$B$12,Paramètres!$A$1:$I$89,3,0)*0.475*44/12</f>
        <v>36.325554972492604</v>
      </c>
      <c r="CL155" s="21">
        <f>EXP(-LN(2)/25)*CL154+(1-EXP(-LN(2)/25))/(LN(2)/25)*Calculateur!CG155*Calculateur!CI155*VLOOKUP('Données projet'!$B$12,Paramètres!$A$1:$I$89,3,0)*0.475*44/12</f>
        <v>0</v>
      </c>
      <c r="CM155" s="21">
        <f>EXP(-LN(2)/2)*CM154+(1-EXP(-LN(2)/2))/(LN(2)/2)*CG155*CJ155*VLOOKUP('Données projet'!$B$12,Paramètres!$A$1:$I$89,3,0)*0.475*44/12</f>
        <v>0</v>
      </c>
      <c r="CN155" s="22">
        <f t="shared" si="172"/>
        <v>36.325554972492604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3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88.311600000000112</v>
      </c>
      <c r="D156" s="11">
        <f t="shared" si="140"/>
        <v>24.157575839957207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868.18311174703911</v>
      </c>
      <c r="H156" s="67">
        <f t="shared" si="110"/>
        <v>452.55048125459234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304.99999999999983</v>
      </c>
      <c r="O156" s="13">
        <f>N156*VLOOKUP('Données projet'!$B$9,Paramètres!$A$1:$I$89,3,0)*VLOOKUP('Données projet'!$B$9,Paramètres!$A$1:$I$89,5,0)</f>
        <v>275.96399999999983</v>
      </c>
      <c r="P156" s="13">
        <f t="shared" si="141"/>
        <v>66.113366665488854</v>
      </c>
      <c r="Q156" s="20">
        <f t="shared" si="162"/>
        <v>595.78474694239264</v>
      </c>
      <c r="R156" s="59">
        <f t="shared" si="109"/>
        <v>889.11808027572602</v>
      </c>
      <c r="S156" s="59">
        <f ca="1">AVERAGE(OFFSET($R$3,0,0,'Données projet'!$E$9+1,1))-AVERAGE(OFFSET($H$3,0,0,'Données projet'!$E$9+1,1))</f>
        <v>336.59194805061094</v>
      </c>
      <c r="T156" s="59">
        <f t="shared" si="142"/>
        <v>473.66884161123909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0.73245809532859441</v>
      </c>
      <c r="AA156" s="21">
        <f>EXP(-LN(2)/25)*AA155+(1-EXP(-LN(2)/25))/(LN(2)/25)*Calculateur!V156*Calculateur!X156*VLOOKUP('Données projet'!$B$9,Paramètres!$A$1:$I$89,3,0)*0.475*44/12</f>
        <v>0</v>
      </c>
      <c r="AB156" s="21">
        <f>EXP(-LN(2)/2)*AB155+(1-EXP(-LN(2)/2))/(LN(2)/2)*V156*Y156*VLOOKUP('Données projet'!$B$9,Paramètres!$A$1:$I$89,3,0)*0.475*44/12</f>
        <v>0</v>
      </c>
      <c r="AC156" s="22">
        <f t="shared" si="163"/>
        <v>0.73245809532859441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319</v>
      </c>
      <c r="AJ156" s="13">
        <f>AI156*VLOOKUP('Données projet'!$B$10,Paramètres!$A$1:$I$89,3,0)*VLOOKUP('Données projet'!$B$10,Paramètres!$A$1:$I$89,5,0)</f>
        <v>209.00879999999998</v>
      </c>
      <c r="AK156" s="13">
        <f t="shared" si="164"/>
        <v>51.718923953824202</v>
      </c>
      <c r="AL156" s="20">
        <f t="shared" si="165"/>
        <v>454.10078588624373</v>
      </c>
      <c r="AM156" s="59">
        <f t="shared" si="113"/>
        <v>747.43411921957704</v>
      </c>
      <c r="AN156" s="59">
        <f ca="1">AVERAGE(OFFSET($AM$3,0,0,'Données projet'!$E$10+1,1))-AVERAGE(OFFSET($H$3,0,0,'Données projet'!$E$10+1,1))</f>
        <v>244.66788784685366</v>
      </c>
      <c r="AO156" s="59">
        <f t="shared" si="144"/>
        <v>252.04429018409274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8.3687655821692246</v>
      </c>
      <c r="AV156" s="21">
        <f>EXP(-LN(2)/25)*AV155+(1-EXP(-LN(2)/25))/(LN(2)/25)*Calculateur!AQ156*Calculateur!AS156*VLOOKUP('Données projet'!$B$10,Paramètres!$A$1:$I$89,3,0)*0.475*44/12</f>
        <v>0</v>
      </c>
      <c r="AW156" s="21">
        <f>EXP(-LN(2)/2)*AW155+(1-EXP(-LN(2)/2))/(LN(2)/2)*AQ156*AT156*VLOOKUP('Données projet'!$B$10,Paramètres!$A$1:$I$89,3,0)*0.475*44/12</f>
        <v>0</v>
      </c>
      <c r="AX156" s="21">
        <f t="shared" si="166"/>
        <v>8.3687655821692246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243.99999999999989</v>
      </c>
      <c r="BE156" s="13">
        <f>BD156*VLOOKUP('Données projet'!$B$11,Paramètres!$A$1:$I$89,3,0)*VLOOKUP('Données projet'!$B$11,Paramètres!$A$1:$I$89,5,0)</f>
        <v>232.19039999999987</v>
      </c>
      <c r="BF156" s="13">
        <f t="shared" si="167"/>
        <v>56.756035639094556</v>
      </c>
      <c r="BG156" s="20">
        <f t="shared" si="168"/>
        <v>503.24837540475619</v>
      </c>
      <c r="BH156" s="59">
        <f t="shared" si="116"/>
        <v>796.58170873808945</v>
      </c>
      <c r="BI156" s="59">
        <f ca="1">AVERAGE(OFFSET($BH$3,0,0,'Données projet'!$E$11+1,1))-AVERAGE(OFFSET($H$3,0,0,'Données projet'!$E$11+1,1))</f>
        <v>373.51596132356536</v>
      </c>
      <c r="BJ156" s="59">
        <f t="shared" si="146"/>
        <v>417.00150517020114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36.460421631462729</v>
      </c>
      <c r="BQ156" s="21">
        <f>EXP(-LN(2)/25)*BQ155+(1-EXP(-LN(2)/25))/(LN(2)/25)*Calculateur!BL156*Calculateur!BN156*VLOOKUP('Données projet'!$B$11,Paramètres!$A$1:$I$89,3,0)*0.475*44/12</f>
        <v>0</v>
      </c>
      <c r="BR156" s="21">
        <f>EXP(-LN(2)/2)*BR155+(1-EXP(-LN(2)/2))/(LN(2)/2)*BL156*BO156*VLOOKUP('Données projet'!$B$11,Paramètres!$A$1:$I$89,3,0)*0.475*44/12</f>
        <v>0</v>
      </c>
      <c r="BS156" s="22">
        <f t="shared" si="169"/>
        <v>36.460421631462729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267</v>
      </c>
      <c r="BZ156" s="13">
        <f>BY156*VLOOKUP('Données projet'!$B$12,Paramètres!$A$1:$I$89,3,0)*VLOOKUP('Données projet'!$B$12,Paramètres!$A$1:$I$89,5,0)</f>
        <v>241.58159999999998</v>
      </c>
      <c r="CA156" s="13">
        <f t="shared" si="170"/>
        <v>58.779689232021951</v>
      </c>
      <c r="CB156" s="20">
        <f t="shared" si="171"/>
        <v>523.12924541243819</v>
      </c>
      <c r="CC156" s="59">
        <f t="shared" si="119"/>
        <v>816.46257874577145</v>
      </c>
      <c r="CD156" s="59">
        <f ca="1">AVERAGE(OFFSET($CC$3,0,0,'Données projet'!$E$12+1,1))-AVERAGE(OFFSET($H$3,0,0,'Données projet'!$E$12+1,1))</f>
        <v>289.19622253646992</v>
      </c>
      <c r="CE156" s="59">
        <f t="shared" si="148"/>
        <v>191.23827338431175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>
        <f>EXP(-LN(2)/35)*CK155+(1-EXP(-LN(2)/35))/(LN(2)/35)*CG156*CH156*VLOOKUP('Données projet'!$B$12,Paramètres!$A$1:$I$89,3,0)*0.475*44/12</f>
        <v>35.613232995882797</v>
      </c>
      <c r="CL156" s="21">
        <f>EXP(-LN(2)/25)*CL155+(1-EXP(-LN(2)/25))/(LN(2)/25)*Calculateur!CG156*Calculateur!CI156*VLOOKUP('Données projet'!$B$12,Paramètres!$A$1:$I$89,3,0)*0.475*44/12</f>
        <v>0</v>
      </c>
      <c r="CM156" s="21">
        <f>EXP(-LN(2)/2)*CM155+(1-EXP(-LN(2)/2))/(LN(2)/2)*CG156*CJ156*VLOOKUP('Données projet'!$B$12,Paramètres!$A$1:$I$89,3,0)*0.475*44/12</f>
        <v>0</v>
      </c>
      <c r="CN156" s="22">
        <f t="shared" si="172"/>
        <v>35.613232995882797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3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88.888800000000117</v>
      </c>
      <c r="D157" s="11">
        <f t="shared" si="140"/>
        <v>24.297036846372414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873.71523179655981</v>
      </c>
      <c r="H157" s="67">
        <f t="shared" si="110"/>
        <v>453.79866584076547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304.99999999999983</v>
      </c>
      <c r="O157" s="13">
        <f>N157*VLOOKUP('Données projet'!$B$9,Paramètres!$A$1:$I$89,3,0)*VLOOKUP('Données projet'!$B$9,Paramètres!$A$1:$I$89,5,0)</f>
        <v>275.96399999999983</v>
      </c>
      <c r="P157" s="13">
        <f t="shared" si="141"/>
        <v>66.113366665488854</v>
      </c>
      <c r="Q157" s="20">
        <f t="shared" si="162"/>
        <v>595.78474694239264</v>
      </c>
      <c r="R157" s="59">
        <f t="shared" si="109"/>
        <v>889.11808027572602</v>
      </c>
      <c r="S157" s="59">
        <f ca="1">AVERAGE(OFFSET($R$3,0,0,'Données projet'!$E$9+1,1))-AVERAGE(OFFSET($H$3,0,0,'Données projet'!$E$9+1,1))</f>
        <v>336.59194805061094</v>
      </c>
      <c r="T157" s="59">
        <f t="shared" si="142"/>
        <v>473.66884161123909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0.71809503883452541</v>
      </c>
      <c r="AA157" s="21">
        <f>EXP(-LN(2)/25)*AA156+(1-EXP(-LN(2)/25))/(LN(2)/25)*Calculateur!V157*Calculateur!X157*VLOOKUP('Données projet'!$B$9,Paramètres!$A$1:$I$89,3,0)*0.475*44/12</f>
        <v>0</v>
      </c>
      <c r="AB157" s="21">
        <f>EXP(-LN(2)/2)*AB156+(1-EXP(-LN(2)/2))/(LN(2)/2)*V157*Y157*VLOOKUP('Données projet'!$B$9,Paramètres!$A$1:$I$89,3,0)*0.475*44/12</f>
        <v>0</v>
      </c>
      <c r="AC157" s="22">
        <f t="shared" si="163"/>
        <v>0.71809503883452541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319</v>
      </c>
      <c r="AJ157" s="13">
        <f>AI157*VLOOKUP('Données projet'!$B$10,Paramètres!$A$1:$I$89,3,0)*VLOOKUP('Données projet'!$B$10,Paramètres!$A$1:$I$89,5,0)</f>
        <v>209.00879999999998</v>
      </c>
      <c r="AK157" s="13">
        <f t="shared" si="164"/>
        <v>51.718923953824202</v>
      </c>
      <c r="AL157" s="20">
        <f t="shared" si="165"/>
        <v>454.10078588624373</v>
      </c>
      <c r="AM157" s="59">
        <f t="shared" si="113"/>
        <v>747.43411921957704</v>
      </c>
      <c r="AN157" s="59">
        <f ca="1">AVERAGE(OFFSET($AM$3,0,0,'Données projet'!$E$10+1,1))-AVERAGE(OFFSET($H$3,0,0,'Données projet'!$E$10+1,1))</f>
        <v>244.66788784685366</v>
      </c>
      <c r="AO157" s="59">
        <f t="shared" si="144"/>
        <v>252.04429018409274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8.2046591935458686</v>
      </c>
      <c r="AV157" s="21">
        <f>EXP(-LN(2)/25)*AV156+(1-EXP(-LN(2)/25))/(LN(2)/25)*Calculateur!AQ157*Calculateur!AS157*VLOOKUP('Données projet'!$B$10,Paramètres!$A$1:$I$89,3,0)*0.475*44/12</f>
        <v>0</v>
      </c>
      <c r="AW157" s="21">
        <f>EXP(-LN(2)/2)*AW156+(1-EXP(-LN(2)/2))/(LN(2)/2)*AQ157*AT157*VLOOKUP('Données projet'!$B$10,Paramètres!$A$1:$I$89,3,0)*0.475*44/12</f>
        <v>0</v>
      </c>
      <c r="AX157" s="21">
        <f t="shared" si="166"/>
        <v>8.2046591935458686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243.99999999999989</v>
      </c>
      <c r="BE157" s="13">
        <f>BD157*VLOOKUP('Données projet'!$B$11,Paramètres!$A$1:$I$89,3,0)*VLOOKUP('Données projet'!$B$11,Paramètres!$A$1:$I$89,5,0)</f>
        <v>232.19039999999987</v>
      </c>
      <c r="BF157" s="13">
        <f t="shared" si="167"/>
        <v>56.756035639094556</v>
      </c>
      <c r="BG157" s="20">
        <f t="shared" si="168"/>
        <v>503.24837540475619</v>
      </c>
      <c r="BH157" s="59">
        <f t="shared" si="116"/>
        <v>796.58170873808945</v>
      </c>
      <c r="BI157" s="59">
        <f ca="1">AVERAGE(OFFSET($BH$3,0,0,'Données projet'!$E$11+1,1))-AVERAGE(OFFSET($H$3,0,0,'Données projet'!$E$11+1,1))</f>
        <v>373.51596132356536</v>
      </c>
      <c r="BJ157" s="59">
        <f t="shared" si="146"/>
        <v>417.00150517020114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35.745455001931056</v>
      </c>
      <c r="BQ157" s="21">
        <f>EXP(-LN(2)/25)*BQ156+(1-EXP(-LN(2)/25))/(LN(2)/25)*Calculateur!BL157*Calculateur!BN157*VLOOKUP('Données projet'!$B$11,Paramètres!$A$1:$I$89,3,0)*0.475*44/12</f>
        <v>0</v>
      </c>
      <c r="BR157" s="21">
        <f>EXP(-LN(2)/2)*BR156+(1-EXP(-LN(2)/2))/(LN(2)/2)*BL157*BO157*VLOOKUP('Données projet'!$B$11,Paramètres!$A$1:$I$89,3,0)*0.475*44/12</f>
        <v>0</v>
      </c>
      <c r="BS157" s="22">
        <f t="shared" si="169"/>
        <v>35.745455001931056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267</v>
      </c>
      <c r="BZ157" s="13">
        <f>BY157*VLOOKUP('Données projet'!$B$12,Paramètres!$A$1:$I$89,3,0)*VLOOKUP('Données projet'!$B$12,Paramètres!$A$1:$I$89,5,0)</f>
        <v>241.58159999999998</v>
      </c>
      <c r="CA157" s="13">
        <f t="shared" si="170"/>
        <v>58.779689232021951</v>
      </c>
      <c r="CB157" s="20">
        <f t="shared" si="171"/>
        <v>523.12924541243819</v>
      </c>
      <c r="CC157" s="59">
        <f t="shared" si="119"/>
        <v>816.46257874577145</v>
      </c>
      <c r="CD157" s="59">
        <f ca="1">AVERAGE(OFFSET($CC$3,0,0,'Données projet'!$E$12+1,1))-AVERAGE(OFFSET($H$3,0,0,'Données projet'!$E$12+1,1))</f>
        <v>289.19622253646992</v>
      </c>
      <c r="CE157" s="59">
        <f t="shared" si="148"/>
        <v>191.23827338431175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>
        <f>EXP(-LN(2)/35)*CK156+(1-EXP(-LN(2)/35))/(LN(2)/35)*CG157*CH157*VLOOKUP('Données projet'!$B$12,Paramètres!$A$1:$I$89,3,0)*0.475*44/12</f>
        <v>34.914879218760802</v>
      </c>
      <c r="CL157" s="21">
        <f>EXP(-LN(2)/25)*CL156+(1-EXP(-LN(2)/25))/(LN(2)/25)*Calculateur!CG157*Calculateur!CI157*VLOOKUP('Données projet'!$B$12,Paramètres!$A$1:$I$89,3,0)*0.475*44/12</f>
        <v>0</v>
      </c>
      <c r="CM157" s="21">
        <f>EXP(-LN(2)/2)*CM156+(1-EXP(-LN(2)/2))/(LN(2)/2)*CG157*CJ157*VLOOKUP('Données projet'!$B$12,Paramètres!$A$1:$I$89,3,0)*0.475*44/12</f>
        <v>0</v>
      </c>
      <c r="CN157" s="22">
        <f t="shared" si="172"/>
        <v>34.914879218760802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3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89.466000000000122</v>
      </c>
      <c r="D158" s="11">
        <f t="shared" si="140"/>
        <v>24.43639248104466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879.24653845017031</v>
      </c>
      <c r="H158" s="67">
        <f t="shared" si="110"/>
        <v>455.04666690448636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304.99999999999983</v>
      </c>
      <c r="O158" s="13">
        <f>N158*VLOOKUP('Données projet'!$B$9,Paramètres!$A$1:$I$89,3,0)*VLOOKUP('Données projet'!$B$9,Paramètres!$A$1:$I$89,5,0)</f>
        <v>275.96399999999983</v>
      </c>
      <c r="P158" s="13">
        <f t="shared" si="141"/>
        <v>66.113366665488854</v>
      </c>
      <c r="Q158" s="20">
        <f t="shared" si="162"/>
        <v>595.78474694239264</v>
      </c>
      <c r="R158" s="59">
        <f t="shared" si="109"/>
        <v>889.11808027572602</v>
      </c>
      <c r="S158" s="59">
        <f ca="1">AVERAGE(OFFSET($R$3,0,0,'Données projet'!$E$9+1,1))-AVERAGE(OFFSET($H$3,0,0,'Données projet'!$E$9+1,1))</f>
        <v>336.59194805061094</v>
      </c>
      <c r="T158" s="59">
        <f t="shared" si="142"/>
        <v>473.66884161123909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0.70401363311770571</v>
      </c>
      <c r="AA158" s="21">
        <f>EXP(-LN(2)/25)*AA157+(1-EXP(-LN(2)/25))/(LN(2)/25)*Calculateur!V158*Calculateur!X158*VLOOKUP('Données projet'!$B$9,Paramètres!$A$1:$I$89,3,0)*0.475*44/12</f>
        <v>0</v>
      </c>
      <c r="AB158" s="21">
        <f>EXP(-LN(2)/2)*AB157+(1-EXP(-LN(2)/2))/(LN(2)/2)*V158*Y158*VLOOKUP('Données projet'!$B$9,Paramètres!$A$1:$I$89,3,0)*0.475*44/12</f>
        <v>0</v>
      </c>
      <c r="AC158" s="22">
        <f t="shared" si="163"/>
        <v>0.70401363311770571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319</v>
      </c>
      <c r="AJ158" s="13">
        <f>AI158*VLOOKUP('Données projet'!$B$10,Paramètres!$A$1:$I$89,3,0)*VLOOKUP('Données projet'!$B$10,Paramètres!$A$1:$I$89,5,0)</f>
        <v>209.00879999999998</v>
      </c>
      <c r="AK158" s="13">
        <f t="shared" si="164"/>
        <v>51.718923953824202</v>
      </c>
      <c r="AL158" s="20">
        <f t="shared" si="165"/>
        <v>454.10078588624373</v>
      </c>
      <c r="AM158" s="59">
        <f t="shared" si="113"/>
        <v>747.43411921957704</v>
      </c>
      <c r="AN158" s="59">
        <f ca="1">AVERAGE(OFFSET($AM$3,0,0,'Données projet'!$E$10+1,1))-AVERAGE(OFFSET($H$3,0,0,'Données projet'!$E$10+1,1))</f>
        <v>244.66788784685366</v>
      </c>
      <c r="AO158" s="59">
        <f t="shared" si="144"/>
        <v>252.04429018409274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8.0437708311084037</v>
      </c>
      <c r="AV158" s="21">
        <f>EXP(-LN(2)/25)*AV157+(1-EXP(-LN(2)/25))/(LN(2)/25)*Calculateur!AQ158*Calculateur!AS158*VLOOKUP('Données projet'!$B$10,Paramètres!$A$1:$I$89,3,0)*0.475*44/12</f>
        <v>0</v>
      </c>
      <c r="AW158" s="21">
        <f>EXP(-LN(2)/2)*AW157+(1-EXP(-LN(2)/2))/(LN(2)/2)*AQ158*AT158*VLOOKUP('Données projet'!$B$10,Paramètres!$A$1:$I$89,3,0)*0.475*44/12</f>
        <v>0</v>
      </c>
      <c r="AX158" s="21">
        <f t="shared" si="166"/>
        <v>8.0437708311084037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243.99999999999989</v>
      </c>
      <c r="BE158" s="13">
        <f>BD158*VLOOKUP('Données projet'!$B$11,Paramètres!$A$1:$I$89,3,0)*VLOOKUP('Données projet'!$B$11,Paramètres!$A$1:$I$89,5,0)</f>
        <v>232.19039999999987</v>
      </c>
      <c r="BF158" s="13">
        <f t="shared" si="167"/>
        <v>56.756035639094556</v>
      </c>
      <c r="BG158" s="20">
        <f t="shared" si="168"/>
        <v>503.24837540475619</v>
      </c>
      <c r="BH158" s="59">
        <f t="shared" si="116"/>
        <v>796.58170873808945</v>
      </c>
      <c r="BI158" s="59">
        <f ca="1">AVERAGE(OFFSET($BH$3,0,0,'Données projet'!$E$11+1,1))-AVERAGE(OFFSET($H$3,0,0,'Données projet'!$E$11+1,1))</f>
        <v>373.51596132356536</v>
      </c>
      <c r="BJ158" s="59">
        <f t="shared" si="146"/>
        <v>417.00150517020114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35.044508431917912</v>
      </c>
      <c r="BQ158" s="21">
        <f>EXP(-LN(2)/25)*BQ157+(1-EXP(-LN(2)/25))/(LN(2)/25)*Calculateur!BL158*Calculateur!BN158*VLOOKUP('Données projet'!$B$11,Paramètres!$A$1:$I$89,3,0)*0.475*44/12</f>
        <v>0</v>
      </c>
      <c r="BR158" s="21">
        <f>EXP(-LN(2)/2)*BR157+(1-EXP(-LN(2)/2))/(LN(2)/2)*BL158*BO158*VLOOKUP('Données projet'!$B$11,Paramètres!$A$1:$I$89,3,0)*0.475*44/12</f>
        <v>0</v>
      </c>
      <c r="BS158" s="22">
        <f t="shared" si="169"/>
        <v>35.044508431917912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267</v>
      </c>
      <c r="BZ158" s="13">
        <f>BY158*VLOOKUP('Données projet'!$B$12,Paramètres!$A$1:$I$89,3,0)*VLOOKUP('Données projet'!$B$12,Paramètres!$A$1:$I$89,5,0)</f>
        <v>241.58159999999998</v>
      </c>
      <c r="CA158" s="13">
        <f t="shared" si="170"/>
        <v>58.779689232021951</v>
      </c>
      <c r="CB158" s="20">
        <f t="shared" si="171"/>
        <v>523.12924541243819</v>
      </c>
      <c r="CC158" s="59">
        <f t="shared" si="119"/>
        <v>816.46257874577145</v>
      </c>
      <c r="CD158" s="59">
        <f ca="1">AVERAGE(OFFSET($CC$3,0,0,'Données projet'!$E$12+1,1))-AVERAGE(OFFSET($H$3,0,0,'Données projet'!$E$12+1,1))</f>
        <v>289.19622253646992</v>
      </c>
      <c r="CE158" s="59">
        <f t="shared" si="148"/>
        <v>191.23827338431175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>
        <f>EXP(-LN(2)/35)*CK157+(1-EXP(-LN(2)/35))/(LN(2)/35)*CG158*CH158*VLOOKUP('Données projet'!$B$12,Paramètres!$A$1:$I$89,3,0)*0.475*44/12</f>
        <v>34.230219733254422</v>
      </c>
      <c r="CL158" s="21">
        <f>EXP(-LN(2)/25)*CL157+(1-EXP(-LN(2)/25))/(LN(2)/25)*Calculateur!CG158*Calculateur!CI158*VLOOKUP('Données projet'!$B$12,Paramètres!$A$1:$I$89,3,0)*0.475*44/12</f>
        <v>0</v>
      </c>
      <c r="CM158" s="21">
        <f>EXP(-LN(2)/2)*CM157+(1-EXP(-LN(2)/2))/(LN(2)/2)*CG158*CJ158*VLOOKUP('Données projet'!$B$12,Paramètres!$A$1:$I$89,3,0)*0.475*44/12</f>
        <v>0</v>
      </c>
      <c r="CN158" s="22">
        <f t="shared" si="172"/>
        <v>34.230219733254422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3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90.043200000000127</v>
      </c>
      <c r="D159" s="11">
        <f t="shared" si="140"/>
        <v>24.575643502648077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884.77703756430185</v>
      </c>
      <c r="H159" s="67">
        <f t="shared" si="110"/>
        <v>456.29448576711229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304.99999999999983</v>
      </c>
      <c r="O159" s="13">
        <f>N159*VLOOKUP('Données projet'!$B$9,Paramètres!$A$1:$I$89,3,0)*VLOOKUP('Données projet'!$B$9,Paramètres!$A$1:$I$89,5,0)</f>
        <v>275.96399999999983</v>
      </c>
      <c r="P159" s="13">
        <f t="shared" si="141"/>
        <v>66.113366665488854</v>
      </c>
      <c r="Q159" s="20">
        <f t="shared" si="162"/>
        <v>595.78474694239264</v>
      </c>
      <c r="R159" s="59">
        <f t="shared" si="109"/>
        <v>889.11808027572602</v>
      </c>
      <c r="S159" s="59">
        <f ca="1">AVERAGE(OFFSET($R$3,0,0,'Données projet'!$E$9+1,1))-AVERAGE(OFFSET($H$3,0,0,'Données projet'!$E$9+1,1))</f>
        <v>336.59194805061094</v>
      </c>
      <c r="T159" s="59">
        <f t="shared" si="142"/>
        <v>473.66884161123909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0.69020835517818335</v>
      </c>
      <c r="AA159" s="21">
        <f>EXP(-LN(2)/25)*AA158+(1-EXP(-LN(2)/25))/(LN(2)/25)*Calculateur!V159*Calculateur!X159*VLOOKUP('Données projet'!$B$9,Paramètres!$A$1:$I$89,3,0)*0.475*44/12</f>
        <v>0</v>
      </c>
      <c r="AB159" s="21">
        <f>EXP(-LN(2)/2)*AB158+(1-EXP(-LN(2)/2))/(LN(2)/2)*V159*Y159*VLOOKUP('Données projet'!$B$9,Paramètres!$A$1:$I$89,3,0)*0.475*44/12</f>
        <v>0</v>
      </c>
      <c r="AC159" s="22">
        <f t="shared" si="163"/>
        <v>0.69020835517818335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319</v>
      </c>
      <c r="AJ159" s="13">
        <f>AI159*VLOOKUP('Données projet'!$B$10,Paramètres!$A$1:$I$89,3,0)*VLOOKUP('Données projet'!$B$10,Paramètres!$A$1:$I$89,5,0)</f>
        <v>209.00879999999998</v>
      </c>
      <c r="AK159" s="13">
        <f t="shared" si="164"/>
        <v>51.718923953824202</v>
      </c>
      <c r="AL159" s="20">
        <f t="shared" si="165"/>
        <v>454.10078588624373</v>
      </c>
      <c r="AM159" s="59">
        <f t="shared" si="113"/>
        <v>747.43411921957704</v>
      </c>
      <c r="AN159" s="59">
        <f ca="1">AVERAGE(OFFSET($AM$3,0,0,'Données projet'!$E$10+1,1))-AVERAGE(OFFSET($H$3,0,0,'Données projet'!$E$10+1,1))</f>
        <v>244.66788784685366</v>
      </c>
      <c r="AO159" s="59">
        <f t="shared" si="144"/>
        <v>252.04429018409274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7.8860373913261261</v>
      </c>
      <c r="AV159" s="21">
        <f>EXP(-LN(2)/25)*AV158+(1-EXP(-LN(2)/25))/(LN(2)/25)*Calculateur!AQ159*Calculateur!AS159*VLOOKUP('Données projet'!$B$10,Paramètres!$A$1:$I$89,3,0)*0.475*44/12</f>
        <v>0</v>
      </c>
      <c r="AW159" s="21">
        <f>EXP(-LN(2)/2)*AW158+(1-EXP(-LN(2)/2))/(LN(2)/2)*AQ159*AT159*VLOOKUP('Données projet'!$B$10,Paramètres!$A$1:$I$89,3,0)*0.475*44/12</f>
        <v>0</v>
      </c>
      <c r="AX159" s="21">
        <f t="shared" si="166"/>
        <v>7.8860373913261261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243.99999999999989</v>
      </c>
      <c r="BE159" s="13">
        <f>BD159*VLOOKUP('Données projet'!$B$11,Paramètres!$A$1:$I$89,3,0)*VLOOKUP('Données projet'!$B$11,Paramètres!$A$1:$I$89,5,0)</f>
        <v>232.19039999999987</v>
      </c>
      <c r="BF159" s="13">
        <f t="shared" si="167"/>
        <v>56.756035639094556</v>
      </c>
      <c r="BG159" s="20">
        <f t="shared" si="168"/>
        <v>503.24837540475619</v>
      </c>
      <c r="BH159" s="59">
        <f t="shared" si="116"/>
        <v>796.58170873808945</v>
      </c>
      <c r="BI159" s="59">
        <f ca="1">AVERAGE(OFFSET($BH$3,0,0,'Données projet'!$E$11+1,1))-AVERAGE(OFFSET($H$3,0,0,'Données projet'!$E$11+1,1))</f>
        <v>373.51596132356536</v>
      </c>
      <c r="BJ159" s="59">
        <f t="shared" si="146"/>
        <v>417.00150517020114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34.357306996607534</v>
      </c>
      <c r="BQ159" s="21">
        <f>EXP(-LN(2)/25)*BQ158+(1-EXP(-LN(2)/25))/(LN(2)/25)*Calculateur!BL159*Calculateur!BN159*VLOOKUP('Données projet'!$B$11,Paramètres!$A$1:$I$89,3,0)*0.475*44/12</f>
        <v>0</v>
      </c>
      <c r="BR159" s="21">
        <f>EXP(-LN(2)/2)*BR158+(1-EXP(-LN(2)/2))/(LN(2)/2)*BL159*BO159*VLOOKUP('Données projet'!$B$11,Paramètres!$A$1:$I$89,3,0)*0.475*44/12</f>
        <v>0</v>
      </c>
      <c r="BS159" s="22">
        <f t="shared" si="169"/>
        <v>34.357306996607534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267</v>
      </c>
      <c r="BZ159" s="13">
        <f>BY159*VLOOKUP('Données projet'!$B$12,Paramètres!$A$1:$I$89,3,0)*VLOOKUP('Données projet'!$B$12,Paramètres!$A$1:$I$89,5,0)</f>
        <v>241.58159999999998</v>
      </c>
      <c r="CA159" s="13">
        <f t="shared" si="170"/>
        <v>58.779689232021951</v>
      </c>
      <c r="CB159" s="20">
        <f t="shared" si="171"/>
        <v>523.12924541243819</v>
      </c>
      <c r="CC159" s="59">
        <f t="shared" si="119"/>
        <v>816.46257874577145</v>
      </c>
      <c r="CD159" s="59">
        <f ca="1">AVERAGE(OFFSET($CC$3,0,0,'Données projet'!$E$12+1,1))-AVERAGE(OFFSET($H$3,0,0,'Données projet'!$E$12+1,1))</f>
        <v>289.19622253646992</v>
      </c>
      <c r="CE159" s="59">
        <f t="shared" si="148"/>
        <v>191.23827338431175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>
        <f>EXP(-LN(2)/35)*CK158+(1-EXP(-LN(2)/35))/(LN(2)/35)*CG159*CH159*VLOOKUP('Données projet'!$B$12,Paramètres!$A$1:$I$89,3,0)*0.475*44/12</f>
        <v>33.558986002657775</v>
      </c>
      <c r="CL159" s="21">
        <f>EXP(-LN(2)/25)*CL158+(1-EXP(-LN(2)/25))/(LN(2)/25)*Calculateur!CG159*Calculateur!CI159*VLOOKUP('Données projet'!$B$12,Paramètres!$A$1:$I$89,3,0)*0.475*44/12</f>
        <v>0</v>
      </c>
      <c r="CM159" s="21">
        <f>EXP(-LN(2)/2)*CM158+(1-EXP(-LN(2)/2))/(LN(2)/2)*CG159*CJ159*VLOOKUP('Données projet'!$B$12,Paramètres!$A$1:$I$89,3,0)*0.475*44/12</f>
        <v>0</v>
      </c>
      <c r="CN159" s="22">
        <f t="shared" si="172"/>
        <v>33.558986002657775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3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90.620400000000132</v>
      </c>
      <c r="D160" s="11">
        <f t="shared" si="140"/>
        <v>24.714790659567761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890.30673491596281</v>
      </c>
      <c r="H160" s="67">
        <f t="shared" si="110"/>
        <v>457.54212373208077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304.99999999999983</v>
      </c>
      <c r="O160" s="13">
        <f>N160*VLOOKUP('Données projet'!$B$9,Paramètres!$A$1:$I$89,3,0)*VLOOKUP('Données projet'!$B$9,Paramètres!$A$1:$I$89,5,0)</f>
        <v>275.96399999999983</v>
      </c>
      <c r="P160" s="13">
        <f t="shared" si="141"/>
        <v>66.113366665488854</v>
      </c>
      <c r="Q160" s="20">
        <f t="shared" si="162"/>
        <v>595.78474694239264</v>
      </c>
      <c r="R160" s="59">
        <f t="shared" si="109"/>
        <v>889.11808027572602</v>
      </c>
      <c r="S160" s="59">
        <f ca="1">AVERAGE(OFFSET($R$3,0,0,'Données projet'!$E$9+1,1))-AVERAGE(OFFSET($H$3,0,0,'Données projet'!$E$9+1,1))</f>
        <v>336.59194805061094</v>
      </c>
      <c r="T160" s="59">
        <f t="shared" si="142"/>
        <v>473.66884161123909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0.67667379031866692</v>
      </c>
      <c r="AA160" s="21">
        <f>EXP(-LN(2)/25)*AA159+(1-EXP(-LN(2)/25))/(LN(2)/25)*Calculateur!V160*Calculateur!X160*VLOOKUP('Données projet'!$B$9,Paramètres!$A$1:$I$89,3,0)*0.475*44/12</f>
        <v>0</v>
      </c>
      <c r="AB160" s="21">
        <f>EXP(-LN(2)/2)*AB159+(1-EXP(-LN(2)/2))/(LN(2)/2)*V160*Y160*VLOOKUP('Données projet'!$B$9,Paramètres!$A$1:$I$89,3,0)*0.475*44/12</f>
        <v>0</v>
      </c>
      <c r="AC160" s="22">
        <f t="shared" si="163"/>
        <v>0.67667379031866692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319</v>
      </c>
      <c r="AJ160" s="13">
        <f>AI160*VLOOKUP('Données projet'!$B$10,Paramètres!$A$1:$I$89,3,0)*VLOOKUP('Données projet'!$B$10,Paramètres!$A$1:$I$89,5,0)</f>
        <v>209.00879999999998</v>
      </c>
      <c r="AK160" s="13">
        <f t="shared" si="164"/>
        <v>51.718923953824202</v>
      </c>
      <c r="AL160" s="20">
        <f t="shared" si="165"/>
        <v>454.10078588624373</v>
      </c>
      <c r="AM160" s="59">
        <f t="shared" si="113"/>
        <v>747.43411921957704</v>
      </c>
      <c r="AN160" s="59">
        <f ca="1">AVERAGE(OFFSET($AM$3,0,0,'Données projet'!$E$10+1,1))-AVERAGE(OFFSET($H$3,0,0,'Données projet'!$E$10+1,1))</f>
        <v>244.66788784685366</v>
      </c>
      <c r="AO160" s="59">
        <f t="shared" si="144"/>
        <v>252.04429018409274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7.7313970080900809</v>
      </c>
      <c r="AV160" s="21">
        <f>EXP(-LN(2)/25)*AV159+(1-EXP(-LN(2)/25))/(LN(2)/25)*Calculateur!AQ160*Calculateur!AS160*VLOOKUP('Données projet'!$B$10,Paramètres!$A$1:$I$89,3,0)*0.475*44/12</f>
        <v>0</v>
      </c>
      <c r="AW160" s="21">
        <f>EXP(-LN(2)/2)*AW159+(1-EXP(-LN(2)/2))/(LN(2)/2)*AQ160*AT160*VLOOKUP('Données projet'!$B$10,Paramètres!$A$1:$I$89,3,0)*0.475*44/12</f>
        <v>0</v>
      </c>
      <c r="AX160" s="21">
        <f t="shared" si="166"/>
        <v>7.7313970080900809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243.99999999999989</v>
      </c>
      <c r="BE160" s="13">
        <f>BD160*VLOOKUP('Données projet'!$B$11,Paramètres!$A$1:$I$89,3,0)*VLOOKUP('Données projet'!$B$11,Paramètres!$A$1:$I$89,5,0)</f>
        <v>232.19039999999987</v>
      </c>
      <c r="BF160" s="13">
        <f t="shared" si="167"/>
        <v>56.756035639094556</v>
      </c>
      <c r="BG160" s="20">
        <f t="shared" si="168"/>
        <v>503.24837540475619</v>
      </c>
      <c r="BH160" s="59">
        <f t="shared" si="116"/>
        <v>796.58170873808945</v>
      </c>
      <c r="BI160" s="59">
        <f ca="1">AVERAGE(OFFSET($BH$3,0,0,'Données projet'!$E$11+1,1))-AVERAGE(OFFSET($H$3,0,0,'Données projet'!$E$11+1,1))</f>
        <v>373.51596132356536</v>
      </c>
      <c r="BJ160" s="59">
        <f t="shared" si="146"/>
        <v>417.00150517020114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33.683581162292107</v>
      </c>
      <c r="BQ160" s="21">
        <f>EXP(-LN(2)/25)*BQ159+(1-EXP(-LN(2)/25))/(LN(2)/25)*Calculateur!BL160*Calculateur!BN160*VLOOKUP('Données projet'!$B$11,Paramètres!$A$1:$I$89,3,0)*0.475*44/12</f>
        <v>0</v>
      </c>
      <c r="BR160" s="21">
        <f>EXP(-LN(2)/2)*BR159+(1-EXP(-LN(2)/2))/(LN(2)/2)*BL160*BO160*VLOOKUP('Données projet'!$B$11,Paramètres!$A$1:$I$89,3,0)*0.475*44/12</f>
        <v>0</v>
      </c>
      <c r="BS160" s="22">
        <f t="shared" si="169"/>
        <v>33.683581162292107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267</v>
      </c>
      <c r="BZ160" s="13">
        <f>BY160*VLOOKUP('Données projet'!$B$12,Paramètres!$A$1:$I$89,3,0)*VLOOKUP('Données projet'!$B$12,Paramètres!$A$1:$I$89,5,0)</f>
        <v>241.58159999999998</v>
      </c>
      <c r="CA160" s="13">
        <f t="shared" si="170"/>
        <v>58.779689232021951</v>
      </c>
      <c r="CB160" s="20">
        <f t="shared" si="171"/>
        <v>523.12924541243819</v>
      </c>
      <c r="CC160" s="59">
        <f t="shared" si="119"/>
        <v>816.46257874577145</v>
      </c>
      <c r="CD160" s="59">
        <f ca="1">AVERAGE(OFFSET($CC$3,0,0,'Données projet'!$E$12+1,1))-AVERAGE(OFFSET($H$3,0,0,'Données projet'!$E$12+1,1))</f>
        <v>289.19622253646992</v>
      </c>
      <c r="CE160" s="59">
        <f t="shared" si="148"/>
        <v>191.23827338431175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>
        <f>EXP(-LN(2)/35)*CK159+(1-EXP(-LN(2)/35))/(LN(2)/35)*CG160*CH160*VLOOKUP('Données projet'!$B$12,Paramètres!$A$1:$I$89,3,0)*0.475*44/12</f>
        <v>32.900914756105976</v>
      </c>
      <c r="CL160" s="21">
        <f>EXP(-LN(2)/25)*CL159+(1-EXP(-LN(2)/25))/(LN(2)/25)*Calculateur!CG160*Calculateur!CI160*VLOOKUP('Données projet'!$B$12,Paramètres!$A$1:$I$89,3,0)*0.475*44/12</f>
        <v>0</v>
      </c>
      <c r="CM160" s="21">
        <f>EXP(-LN(2)/2)*CM159+(1-EXP(-LN(2)/2))/(LN(2)/2)*CG160*CJ160*VLOOKUP('Données projet'!$B$12,Paramètres!$A$1:$I$89,3,0)*0.475*44/12</f>
        <v>0</v>
      </c>
      <c r="CN160" s="22">
        <f t="shared" si="172"/>
        <v>32.900914756105976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3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91.197600000000136</v>
      </c>
      <c r="D161" s="11">
        <f t="shared" si="140"/>
        <v>24.853834690103874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895.83563620431175</v>
      </c>
      <c r="H161" s="67">
        <f t="shared" si="110"/>
        <v>458.78958208526444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304.99999999999983</v>
      </c>
      <c r="O161" s="13">
        <f>N161*VLOOKUP('Données projet'!$B$9,Paramètres!$A$1:$I$89,3,0)*VLOOKUP('Données projet'!$B$9,Paramètres!$A$1:$I$89,5,0)</f>
        <v>275.96399999999983</v>
      </c>
      <c r="P161" s="13">
        <f t="shared" si="141"/>
        <v>66.113366665488854</v>
      </c>
      <c r="Q161" s="20">
        <f t="shared" si="162"/>
        <v>595.78474694239264</v>
      </c>
      <c r="R161" s="59">
        <f t="shared" si="109"/>
        <v>889.11808027572602</v>
      </c>
      <c r="S161" s="59">
        <f ca="1">AVERAGE(OFFSET($R$3,0,0,'Données projet'!$E$9+1,1))-AVERAGE(OFFSET($H$3,0,0,'Données projet'!$E$9+1,1))</f>
        <v>336.59194805061094</v>
      </c>
      <c r="T161" s="59">
        <f t="shared" si="142"/>
        <v>473.66884161123909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0.66340463002077621</v>
      </c>
      <c r="AA161" s="21">
        <f>EXP(-LN(2)/25)*AA160+(1-EXP(-LN(2)/25))/(LN(2)/25)*Calculateur!V161*Calculateur!X161*VLOOKUP('Données projet'!$B$9,Paramètres!$A$1:$I$89,3,0)*0.475*44/12</f>
        <v>0</v>
      </c>
      <c r="AB161" s="21">
        <f>EXP(-LN(2)/2)*AB160+(1-EXP(-LN(2)/2))/(LN(2)/2)*V161*Y161*VLOOKUP('Données projet'!$B$9,Paramètres!$A$1:$I$89,3,0)*0.475*44/12</f>
        <v>0</v>
      </c>
      <c r="AC161" s="22">
        <f t="shared" si="163"/>
        <v>0.66340463002077621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319</v>
      </c>
      <c r="AJ161" s="13">
        <f>AI161*VLOOKUP('Données projet'!$B$10,Paramètres!$A$1:$I$89,3,0)*VLOOKUP('Données projet'!$B$10,Paramètres!$A$1:$I$89,5,0)</f>
        <v>209.00879999999998</v>
      </c>
      <c r="AK161" s="13">
        <f t="shared" si="164"/>
        <v>51.718923953824202</v>
      </c>
      <c r="AL161" s="20">
        <f t="shared" si="165"/>
        <v>454.10078588624373</v>
      </c>
      <c r="AM161" s="59">
        <f t="shared" si="113"/>
        <v>747.43411921957704</v>
      </c>
      <c r="AN161" s="59">
        <f ca="1">AVERAGE(OFFSET($AM$3,0,0,'Données projet'!$E$10+1,1))-AVERAGE(OFFSET($H$3,0,0,'Données projet'!$E$10+1,1))</f>
        <v>244.66788784685366</v>
      </c>
      <c r="AO161" s="59">
        <f t="shared" si="144"/>
        <v>252.04429018409274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7.5797890284479736</v>
      </c>
      <c r="AV161" s="21">
        <f>EXP(-LN(2)/25)*AV160+(1-EXP(-LN(2)/25))/(LN(2)/25)*Calculateur!AQ161*Calculateur!AS161*VLOOKUP('Données projet'!$B$10,Paramètres!$A$1:$I$89,3,0)*0.475*44/12</f>
        <v>0</v>
      </c>
      <c r="AW161" s="21">
        <f>EXP(-LN(2)/2)*AW160+(1-EXP(-LN(2)/2))/(LN(2)/2)*AQ161*AT161*VLOOKUP('Données projet'!$B$10,Paramètres!$A$1:$I$89,3,0)*0.475*44/12</f>
        <v>0</v>
      </c>
      <c r="AX161" s="21">
        <f t="shared" si="166"/>
        <v>7.5797890284479736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243.99999999999989</v>
      </c>
      <c r="BE161" s="13">
        <f>BD161*VLOOKUP('Données projet'!$B$11,Paramètres!$A$1:$I$89,3,0)*VLOOKUP('Données projet'!$B$11,Paramètres!$A$1:$I$89,5,0)</f>
        <v>232.19039999999987</v>
      </c>
      <c r="BF161" s="13">
        <f t="shared" si="167"/>
        <v>56.756035639094556</v>
      </c>
      <c r="BG161" s="20">
        <f t="shared" si="168"/>
        <v>503.24837540475619</v>
      </c>
      <c r="BH161" s="59">
        <f t="shared" si="116"/>
        <v>796.58170873808945</v>
      </c>
      <c r="BI161" s="59">
        <f ca="1">AVERAGE(OFFSET($BH$3,0,0,'Données projet'!$E$11+1,1))-AVERAGE(OFFSET($H$3,0,0,'Données projet'!$E$11+1,1))</f>
        <v>373.51596132356536</v>
      </c>
      <c r="BJ161" s="59">
        <f t="shared" si="146"/>
        <v>417.00150517020114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33.023066680655425</v>
      </c>
      <c r="BQ161" s="21">
        <f>EXP(-LN(2)/25)*BQ160+(1-EXP(-LN(2)/25))/(LN(2)/25)*Calculateur!BL161*Calculateur!BN161*VLOOKUP('Données projet'!$B$11,Paramètres!$A$1:$I$89,3,0)*0.475*44/12</f>
        <v>0</v>
      </c>
      <c r="BR161" s="21">
        <f>EXP(-LN(2)/2)*BR160+(1-EXP(-LN(2)/2))/(LN(2)/2)*BL161*BO161*VLOOKUP('Données projet'!$B$11,Paramètres!$A$1:$I$89,3,0)*0.475*44/12</f>
        <v>0</v>
      </c>
      <c r="BS161" s="22">
        <f t="shared" si="169"/>
        <v>33.023066680655425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267</v>
      </c>
      <c r="BZ161" s="13">
        <f>BY161*VLOOKUP('Données projet'!$B$12,Paramètres!$A$1:$I$89,3,0)*VLOOKUP('Données projet'!$B$12,Paramètres!$A$1:$I$89,5,0)</f>
        <v>241.58159999999998</v>
      </c>
      <c r="CA161" s="13">
        <f t="shared" si="170"/>
        <v>58.779689232021951</v>
      </c>
      <c r="CB161" s="20">
        <f t="shared" si="171"/>
        <v>523.12924541243819</v>
      </c>
      <c r="CC161" s="59">
        <f t="shared" si="119"/>
        <v>816.46257874577145</v>
      </c>
      <c r="CD161" s="59">
        <f ca="1">AVERAGE(OFFSET($CC$3,0,0,'Données projet'!$E$12+1,1))-AVERAGE(OFFSET($H$3,0,0,'Données projet'!$E$12+1,1))</f>
        <v>289.19622253646992</v>
      </c>
      <c r="CE161" s="59">
        <f t="shared" si="148"/>
        <v>191.23827338431175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>
        <f>EXP(-LN(2)/35)*CK160+(1-EXP(-LN(2)/35))/(LN(2)/35)*CG161*CH161*VLOOKUP('Données projet'!$B$12,Paramètres!$A$1:$I$89,3,0)*0.475*44/12</f>
        <v>32.25574788531523</v>
      </c>
      <c r="CL161" s="21">
        <f>EXP(-LN(2)/25)*CL160+(1-EXP(-LN(2)/25))/(LN(2)/25)*Calculateur!CG161*Calculateur!CI161*VLOOKUP('Données projet'!$B$12,Paramètres!$A$1:$I$89,3,0)*0.475*44/12</f>
        <v>0</v>
      </c>
      <c r="CM161" s="21">
        <f>EXP(-LN(2)/2)*CM160+(1-EXP(-LN(2)/2))/(LN(2)/2)*CG161*CJ161*VLOOKUP('Données projet'!$B$12,Paramètres!$A$1:$I$89,3,0)*0.475*44/12</f>
        <v>0</v>
      </c>
      <c r="CN161" s="22">
        <f t="shared" si="172"/>
        <v>32.25574788531523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3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91.774800000000141</v>
      </c>
      <c r="D162" s="11">
        <f t="shared" si="140"/>
        <v>24.992776322670601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901.36374705219532</v>
      </c>
      <c r="H162" s="67">
        <f t="shared" si="110"/>
        <v>460.03686209531827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304.99999999999983</v>
      </c>
      <c r="O162" s="13">
        <f>N162*VLOOKUP('Données projet'!$B$9,Paramètres!$A$1:$I$89,3,0)*VLOOKUP('Données projet'!$B$9,Paramètres!$A$1:$I$89,5,0)</f>
        <v>275.96399999999983</v>
      </c>
      <c r="P162" s="13">
        <f t="shared" si="141"/>
        <v>66.113366665488854</v>
      </c>
      <c r="Q162" s="20">
        <f t="shared" si="162"/>
        <v>595.78474694239264</v>
      </c>
      <c r="R162" s="59">
        <f t="shared" si="109"/>
        <v>889.11808027572602</v>
      </c>
      <c r="S162" s="59">
        <f ca="1">AVERAGE(OFFSET($R$3,0,0,'Données projet'!$E$9+1,1))-AVERAGE(OFFSET($H$3,0,0,'Données projet'!$E$9+1,1))</f>
        <v>336.59194805061094</v>
      </c>
      <c r="T162" s="59">
        <f t="shared" si="142"/>
        <v>473.66884161123909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0.65039566986293851</v>
      </c>
      <c r="AA162" s="21">
        <f>EXP(-LN(2)/25)*AA161+(1-EXP(-LN(2)/25))/(LN(2)/25)*Calculateur!V162*Calculateur!X162*VLOOKUP('Données projet'!$B$9,Paramètres!$A$1:$I$89,3,0)*0.475*44/12</f>
        <v>0</v>
      </c>
      <c r="AB162" s="21">
        <f>EXP(-LN(2)/2)*AB161+(1-EXP(-LN(2)/2))/(LN(2)/2)*V162*Y162*VLOOKUP('Données projet'!$B$9,Paramètres!$A$1:$I$89,3,0)*0.475*44/12</f>
        <v>0</v>
      </c>
      <c r="AC162" s="22">
        <f t="shared" si="163"/>
        <v>0.65039566986293851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319</v>
      </c>
      <c r="AJ162" s="13">
        <f>AI162*VLOOKUP('Données projet'!$B$10,Paramètres!$A$1:$I$89,3,0)*VLOOKUP('Données projet'!$B$10,Paramètres!$A$1:$I$89,5,0)</f>
        <v>209.00879999999998</v>
      </c>
      <c r="AK162" s="13">
        <f t="shared" si="164"/>
        <v>51.718923953824202</v>
      </c>
      <c r="AL162" s="20">
        <f t="shared" si="165"/>
        <v>454.10078588624373</v>
      </c>
      <c r="AM162" s="59">
        <f t="shared" si="113"/>
        <v>747.43411921957704</v>
      </c>
      <c r="AN162" s="59">
        <f ca="1">AVERAGE(OFFSET($AM$3,0,0,'Données projet'!$E$10+1,1))-AVERAGE(OFFSET($H$3,0,0,'Données projet'!$E$10+1,1))</f>
        <v>244.66788784685366</v>
      </c>
      <c r="AO162" s="59">
        <f t="shared" si="144"/>
        <v>252.04429018409274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7.4311539888149118</v>
      </c>
      <c r="AV162" s="21">
        <f>EXP(-LN(2)/25)*AV161+(1-EXP(-LN(2)/25))/(LN(2)/25)*Calculateur!AQ162*Calculateur!AS162*VLOOKUP('Données projet'!$B$10,Paramètres!$A$1:$I$89,3,0)*0.475*44/12</f>
        <v>0</v>
      </c>
      <c r="AW162" s="21">
        <f>EXP(-LN(2)/2)*AW161+(1-EXP(-LN(2)/2))/(LN(2)/2)*AQ162*AT162*VLOOKUP('Données projet'!$B$10,Paramètres!$A$1:$I$89,3,0)*0.475*44/12</f>
        <v>0</v>
      </c>
      <c r="AX162" s="21">
        <f t="shared" si="166"/>
        <v>7.4311539888149118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243.99999999999989</v>
      </c>
      <c r="BE162" s="13">
        <f>BD162*VLOOKUP('Données projet'!$B$11,Paramètres!$A$1:$I$89,3,0)*VLOOKUP('Données projet'!$B$11,Paramètres!$A$1:$I$89,5,0)</f>
        <v>232.19039999999987</v>
      </c>
      <c r="BF162" s="13">
        <f t="shared" si="167"/>
        <v>56.756035639094556</v>
      </c>
      <c r="BG162" s="20">
        <f t="shared" si="168"/>
        <v>503.24837540475619</v>
      </c>
      <c r="BH162" s="59">
        <f t="shared" si="116"/>
        <v>796.58170873808945</v>
      </c>
      <c r="BI162" s="59">
        <f ca="1">AVERAGE(OFFSET($BH$3,0,0,'Données projet'!$E$11+1,1))-AVERAGE(OFFSET($H$3,0,0,'Données projet'!$E$11+1,1))</f>
        <v>373.51596132356536</v>
      </c>
      <c r="BJ162" s="59">
        <f t="shared" si="146"/>
        <v>417.00150517020114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32.375504485129582</v>
      </c>
      <c r="BQ162" s="21">
        <f>EXP(-LN(2)/25)*BQ161+(1-EXP(-LN(2)/25))/(LN(2)/25)*Calculateur!BL162*Calculateur!BN162*VLOOKUP('Données projet'!$B$11,Paramètres!$A$1:$I$89,3,0)*0.475*44/12</f>
        <v>0</v>
      </c>
      <c r="BR162" s="21">
        <f>EXP(-LN(2)/2)*BR161+(1-EXP(-LN(2)/2))/(LN(2)/2)*BL162*BO162*VLOOKUP('Données projet'!$B$11,Paramètres!$A$1:$I$89,3,0)*0.475*44/12</f>
        <v>0</v>
      </c>
      <c r="BS162" s="22">
        <f t="shared" si="169"/>
        <v>32.375504485129582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267</v>
      </c>
      <c r="BZ162" s="13">
        <f>BY162*VLOOKUP('Données projet'!$B$12,Paramètres!$A$1:$I$89,3,0)*VLOOKUP('Données projet'!$B$12,Paramètres!$A$1:$I$89,5,0)</f>
        <v>241.58159999999998</v>
      </c>
      <c r="CA162" s="13">
        <f t="shared" si="170"/>
        <v>58.779689232021951</v>
      </c>
      <c r="CB162" s="20">
        <f t="shared" si="171"/>
        <v>523.12924541243819</v>
      </c>
      <c r="CC162" s="59">
        <f t="shared" si="119"/>
        <v>816.46257874577145</v>
      </c>
      <c r="CD162" s="59">
        <f ca="1">AVERAGE(OFFSET($CC$3,0,0,'Données projet'!$E$12+1,1))-AVERAGE(OFFSET($H$3,0,0,'Données projet'!$E$12+1,1))</f>
        <v>289.19622253646992</v>
      </c>
      <c r="CE162" s="59">
        <f t="shared" si="148"/>
        <v>191.23827338431175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>
        <f>EXP(-LN(2)/35)*CK161+(1-EXP(-LN(2)/35))/(LN(2)/35)*CG162*CH162*VLOOKUP('Données projet'!$B$12,Paramètres!$A$1:$I$89,3,0)*0.475*44/12</f>
        <v>31.623232343347755</v>
      </c>
      <c r="CL162" s="21">
        <f>EXP(-LN(2)/25)*CL161+(1-EXP(-LN(2)/25))/(LN(2)/25)*Calculateur!CG162*Calculateur!CI162*VLOOKUP('Données projet'!$B$12,Paramètres!$A$1:$I$89,3,0)*0.475*44/12</f>
        <v>0</v>
      </c>
      <c r="CM162" s="21">
        <f>EXP(-LN(2)/2)*CM161+(1-EXP(-LN(2)/2))/(LN(2)/2)*CG162*CJ162*VLOOKUP('Données projet'!$B$12,Paramètres!$A$1:$I$89,3,0)*0.475*44/12</f>
        <v>0</v>
      </c>
      <c r="CN162" s="22">
        <f t="shared" si="172"/>
        <v>31.623232343347755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3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92.352000000000146</v>
      </c>
      <c r="D163" s="11">
        <f t="shared" si="140"/>
        <v>25.131616275989785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906.89107300764169</v>
      </c>
      <c r="H163" s="67">
        <f t="shared" si="110"/>
        <v>461.28396501401585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304.99999999999983</v>
      </c>
      <c r="O163" s="13">
        <f>N163*VLOOKUP('Données projet'!$B$9,Paramètres!$A$1:$I$89,3,0)*VLOOKUP('Données projet'!$B$9,Paramètres!$A$1:$I$89,5,0)</f>
        <v>275.96399999999983</v>
      </c>
      <c r="P163" s="13">
        <f t="shared" si="141"/>
        <v>66.113366665488854</v>
      </c>
      <c r="Q163" s="20">
        <f t="shared" si="162"/>
        <v>595.78474694239264</v>
      </c>
      <c r="R163" s="59">
        <f t="shared" si="109"/>
        <v>889.11808027572602</v>
      </c>
      <c r="S163" s="59">
        <f ca="1">AVERAGE(OFFSET($R$3,0,0,'Données projet'!$E$9+1,1))-AVERAGE(OFFSET($H$3,0,0,'Données projet'!$E$9+1,1))</f>
        <v>336.59194805061094</v>
      </c>
      <c r="T163" s="59">
        <f t="shared" si="142"/>
        <v>473.66884161123909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0.63764180747911381</v>
      </c>
      <c r="AA163" s="21">
        <f>EXP(-LN(2)/25)*AA162+(1-EXP(-LN(2)/25))/(LN(2)/25)*Calculateur!V163*Calculateur!X163*VLOOKUP('Données projet'!$B$9,Paramètres!$A$1:$I$89,3,0)*0.475*44/12</f>
        <v>0</v>
      </c>
      <c r="AB163" s="21">
        <f>EXP(-LN(2)/2)*AB162+(1-EXP(-LN(2)/2))/(LN(2)/2)*V163*Y163*VLOOKUP('Données projet'!$B$9,Paramètres!$A$1:$I$89,3,0)*0.475*44/12</f>
        <v>0</v>
      </c>
      <c r="AC163" s="22">
        <f t="shared" si="163"/>
        <v>0.63764180747911381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319</v>
      </c>
      <c r="AJ163" s="13">
        <f>AI163*VLOOKUP('Données projet'!$B$10,Paramètres!$A$1:$I$89,3,0)*VLOOKUP('Données projet'!$B$10,Paramètres!$A$1:$I$89,5,0)</f>
        <v>209.00879999999998</v>
      </c>
      <c r="AK163" s="13">
        <f t="shared" si="164"/>
        <v>51.718923953824202</v>
      </c>
      <c r="AL163" s="20">
        <f t="shared" si="165"/>
        <v>454.10078588624373</v>
      </c>
      <c r="AM163" s="59">
        <f t="shared" si="113"/>
        <v>747.43411921957704</v>
      </c>
      <c r="AN163" s="59">
        <f ca="1">AVERAGE(OFFSET($AM$3,0,0,'Données projet'!$E$10+1,1))-AVERAGE(OFFSET($H$3,0,0,'Données projet'!$E$10+1,1))</f>
        <v>244.66788784685366</v>
      </c>
      <c r="AO163" s="59">
        <f t="shared" si="144"/>
        <v>252.04429018409274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7.2854335916506319</v>
      </c>
      <c r="AV163" s="21">
        <f>EXP(-LN(2)/25)*AV162+(1-EXP(-LN(2)/25))/(LN(2)/25)*Calculateur!AQ163*Calculateur!AS163*VLOOKUP('Données projet'!$B$10,Paramètres!$A$1:$I$89,3,0)*0.475*44/12</f>
        <v>0</v>
      </c>
      <c r="AW163" s="21">
        <f>EXP(-LN(2)/2)*AW162+(1-EXP(-LN(2)/2))/(LN(2)/2)*AQ163*AT163*VLOOKUP('Données projet'!$B$10,Paramètres!$A$1:$I$89,3,0)*0.475*44/12</f>
        <v>0</v>
      </c>
      <c r="AX163" s="21">
        <f t="shared" si="166"/>
        <v>7.2854335916506319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243.99999999999989</v>
      </c>
      <c r="BE163" s="13">
        <f>BD163*VLOOKUP('Données projet'!$B$11,Paramètres!$A$1:$I$89,3,0)*VLOOKUP('Données projet'!$B$11,Paramètres!$A$1:$I$89,5,0)</f>
        <v>232.19039999999987</v>
      </c>
      <c r="BF163" s="13">
        <f t="shared" si="167"/>
        <v>56.756035639094556</v>
      </c>
      <c r="BG163" s="20">
        <f t="shared" si="168"/>
        <v>503.24837540475619</v>
      </c>
      <c r="BH163" s="59">
        <f t="shared" si="116"/>
        <v>796.58170873808945</v>
      </c>
      <c r="BI163" s="59">
        <f ca="1">AVERAGE(OFFSET($BH$3,0,0,'Données projet'!$E$11+1,1))-AVERAGE(OFFSET($H$3,0,0,'Données projet'!$E$11+1,1))</f>
        <v>373.51596132356536</v>
      </c>
      <c r="BJ163" s="59">
        <f t="shared" si="146"/>
        <v>417.00150517020114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31.740640589284062</v>
      </c>
      <c r="BQ163" s="21">
        <f>EXP(-LN(2)/25)*BQ162+(1-EXP(-LN(2)/25))/(LN(2)/25)*Calculateur!BL163*Calculateur!BN163*VLOOKUP('Données projet'!$B$11,Paramètres!$A$1:$I$89,3,0)*0.475*44/12</f>
        <v>0</v>
      </c>
      <c r="BR163" s="21">
        <f>EXP(-LN(2)/2)*BR162+(1-EXP(-LN(2)/2))/(LN(2)/2)*BL163*BO163*VLOOKUP('Données projet'!$B$11,Paramètres!$A$1:$I$89,3,0)*0.475*44/12</f>
        <v>0</v>
      </c>
      <c r="BS163" s="22">
        <f t="shared" si="169"/>
        <v>31.740640589284062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267</v>
      </c>
      <c r="BZ163" s="13">
        <f>BY163*VLOOKUP('Données projet'!$B$12,Paramètres!$A$1:$I$89,3,0)*VLOOKUP('Données projet'!$B$12,Paramètres!$A$1:$I$89,5,0)</f>
        <v>241.58159999999998</v>
      </c>
      <c r="CA163" s="13">
        <f t="shared" si="170"/>
        <v>58.779689232021951</v>
      </c>
      <c r="CB163" s="20">
        <f t="shared" si="171"/>
        <v>523.12924541243819</v>
      </c>
      <c r="CC163" s="59">
        <f t="shared" si="119"/>
        <v>816.46257874577145</v>
      </c>
      <c r="CD163" s="59">
        <f ca="1">AVERAGE(OFFSET($CC$3,0,0,'Données projet'!$E$12+1,1))-AVERAGE(OFFSET($H$3,0,0,'Données projet'!$E$12+1,1))</f>
        <v>289.19622253646992</v>
      </c>
      <c r="CE163" s="59">
        <f t="shared" si="148"/>
        <v>191.23827338431175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>
        <f>EXP(-LN(2)/35)*CK162+(1-EXP(-LN(2)/35))/(LN(2)/35)*CG163*CH163*VLOOKUP('Données projet'!$B$12,Paramètres!$A$1:$I$89,3,0)*0.475*44/12</f>
        <v>31.003120045361879</v>
      </c>
      <c r="CL163" s="21">
        <f>EXP(-LN(2)/25)*CL162+(1-EXP(-LN(2)/25))/(LN(2)/25)*Calculateur!CG163*Calculateur!CI163*VLOOKUP('Données projet'!$B$12,Paramètres!$A$1:$I$89,3,0)*0.475*44/12</f>
        <v>0</v>
      </c>
      <c r="CM163" s="21">
        <f>EXP(-LN(2)/2)*CM162+(1-EXP(-LN(2)/2))/(LN(2)/2)*CG163*CJ163*VLOOKUP('Données projet'!$B$12,Paramètres!$A$1:$I$89,3,0)*0.475*44/12</f>
        <v>0</v>
      </c>
      <c r="CN163" s="22">
        <f t="shared" si="172"/>
        <v>31.003120045361879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3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92.929200000000151</v>
      </c>
      <c r="D164" s="11">
        <f t="shared" si="140"/>
        <v>25.270355259279601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912.41761954531739</v>
      </c>
      <c r="H164" s="67">
        <f t="shared" si="110"/>
        <v>462.53089207657888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304.99999999999983</v>
      </c>
      <c r="O164" s="13">
        <f>N164*VLOOKUP('Données projet'!$B$9,Paramètres!$A$1:$I$89,3,0)*VLOOKUP('Données projet'!$B$9,Paramètres!$A$1:$I$89,5,0)</f>
        <v>275.96399999999983</v>
      </c>
      <c r="P164" s="13">
        <f t="shared" si="141"/>
        <v>66.113366665488854</v>
      </c>
      <c r="Q164" s="20">
        <f t="shared" si="162"/>
        <v>595.78474694239264</v>
      </c>
      <c r="R164" s="59">
        <f t="shared" si="109"/>
        <v>889.11808027572602</v>
      </c>
      <c r="S164" s="59">
        <f ca="1">AVERAGE(OFFSET($R$3,0,0,'Données projet'!$E$9+1,1))-AVERAGE(OFFSET($H$3,0,0,'Données projet'!$E$9+1,1))</f>
        <v>336.59194805061094</v>
      </c>
      <c r="T164" s="59">
        <f t="shared" si="142"/>
        <v>473.66884161123909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0.62513804055754796</v>
      </c>
      <c r="AA164" s="21">
        <f>EXP(-LN(2)/25)*AA163+(1-EXP(-LN(2)/25))/(LN(2)/25)*Calculateur!V164*Calculateur!X164*VLOOKUP('Données projet'!$B$9,Paramètres!$A$1:$I$89,3,0)*0.475*44/12</f>
        <v>0</v>
      </c>
      <c r="AB164" s="21">
        <f>EXP(-LN(2)/2)*AB163+(1-EXP(-LN(2)/2))/(LN(2)/2)*V164*Y164*VLOOKUP('Données projet'!$B$9,Paramètres!$A$1:$I$89,3,0)*0.475*44/12</f>
        <v>0</v>
      </c>
      <c r="AC164" s="22">
        <f t="shared" si="163"/>
        <v>0.62513804055754796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319</v>
      </c>
      <c r="AJ164" s="13">
        <f>AI164*VLOOKUP('Données projet'!$B$10,Paramètres!$A$1:$I$89,3,0)*VLOOKUP('Données projet'!$B$10,Paramètres!$A$1:$I$89,5,0)</f>
        <v>209.00879999999998</v>
      </c>
      <c r="AK164" s="13">
        <f t="shared" si="164"/>
        <v>51.718923953824202</v>
      </c>
      <c r="AL164" s="20">
        <f t="shared" si="165"/>
        <v>454.10078588624373</v>
      </c>
      <c r="AM164" s="59">
        <f t="shared" si="113"/>
        <v>747.43411921957704</v>
      </c>
      <c r="AN164" s="59">
        <f ca="1">AVERAGE(OFFSET($AM$3,0,0,'Données projet'!$E$10+1,1))-AVERAGE(OFFSET($H$3,0,0,'Données projet'!$E$10+1,1))</f>
        <v>244.66788784685366</v>
      </c>
      <c r="AO164" s="59">
        <f t="shared" si="144"/>
        <v>252.04429018409274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7.1425706825940773</v>
      </c>
      <c r="AV164" s="21">
        <f>EXP(-LN(2)/25)*AV163+(1-EXP(-LN(2)/25))/(LN(2)/25)*Calculateur!AQ164*Calculateur!AS164*VLOOKUP('Données projet'!$B$10,Paramètres!$A$1:$I$89,3,0)*0.475*44/12</f>
        <v>0</v>
      </c>
      <c r="AW164" s="21">
        <f>EXP(-LN(2)/2)*AW163+(1-EXP(-LN(2)/2))/(LN(2)/2)*AQ164*AT164*VLOOKUP('Données projet'!$B$10,Paramètres!$A$1:$I$89,3,0)*0.475*44/12</f>
        <v>0</v>
      </c>
      <c r="AX164" s="21">
        <f t="shared" si="166"/>
        <v>7.1425706825940773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243.99999999999989</v>
      </c>
      <c r="BE164" s="13">
        <f>BD164*VLOOKUP('Données projet'!$B$11,Paramètres!$A$1:$I$89,3,0)*VLOOKUP('Données projet'!$B$11,Paramètres!$A$1:$I$89,5,0)</f>
        <v>232.19039999999987</v>
      </c>
      <c r="BF164" s="13">
        <f t="shared" si="167"/>
        <v>56.756035639094556</v>
      </c>
      <c r="BG164" s="20">
        <f t="shared" si="168"/>
        <v>503.24837540475619</v>
      </c>
      <c r="BH164" s="59">
        <f t="shared" si="116"/>
        <v>796.58170873808945</v>
      </c>
      <c r="BI164" s="59">
        <f ca="1">AVERAGE(OFFSET($BH$3,0,0,'Données projet'!$E$11+1,1))-AVERAGE(OFFSET($H$3,0,0,'Données projet'!$E$11+1,1))</f>
        <v>373.51596132356536</v>
      </c>
      <c r="BJ164" s="59">
        <f t="shared" si="146"/>
        <v>417.00150517020114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31.118225987207332</v>
      </c>
      <c r="BQ164" s="21">
        <f>EXP(-LN(2)/25)*BQ163+(1-EXP(-LN(2)/25))/(LN(2)/25)*Calculateur!BL164*Calculateur!BN164*VLOOKUP('Données projet'!$B$11,Paramètres!$A$1:$I$89,3,0)*0.475*44/12</f>
        <v>0</v>
      </c>
      <c r="BR164" s="21">
        <f>EXP(-LN(2)/2)*BR163+(1-EXP(-LN(2)/2))/(LN(2)/2)*BL164*BO164*VLOOKUP('Données projet'!$B$11,Paramètres!$A$1:$I$89,3,0)*0.475*44/12</f>
        <v>0</v>
      </c>
      <c r="BS164" s="22">
        <f t="shared" si="169"/>
        <v>31.118225987207332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267</v>
      </c>
      <c r="BZ164" s="13">
        <f>BY164*VLOOKUP('Données projet'!$B$12,Paramètres!$A$1:$I$89,3,0)*VLOOKUP('Données projet'!$B$12,Paramètres!$A$1:$I$89,5,0)</f>
        <v>241.58159999999998</v>
      </c>
      <c r="CA164" s="13">
        <f t="shared" si="170"/>
        <v>58.779689232021951</v>
      </c>
      <c r="CB164" s="20">
        <f t="shared" si="171"/>
        <v>523.12924541243819</v>
      </c>
      <c r="CC164" s="59">
        <f t="shared" si="119"/>
        <v>816.46257874577145</v>
      </c>
      <c r="CD164" s="59">
        <f ca="1">AVERAGE(OFFSET($CC$3,0,0,'Données projet'!$E$12+1,1))-AVERAGE(OFFSET($H$3,0,0,'Données projet'!$E$12+1,1))</f>
        <v>289.19622253646992</v>
      </c>
      <c r="CE164" s="59">
        <f t="shared" si="148"/>
        <v>191.23827338431175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>
        <f>EXP(-LN(2)/35)*CK163+(1-EXP(-LN(2)/35))/(LN(2)/35)*CG164*CH164*VLOOKUP('Données projet'!$B$12,Paramètres!$A$1:$I$89,3,0)*0.475*44/12</f>
        <v>30.395167771308348</v>
      </c>
      <c r="CL164" s="21">
        <f>EXP(-LN(2)/25)*CL163+(1-EXP(-LN(2)/25))/(LN(2)/25)*Calculateur!CG164*Calculateur!CI164*VLOOKUP('Données projet'!$B$12,Paramètres!$A$1:$I$89,3,0)*0.475*44/12</f>
        <v>0</v>
      </c>
      <c r="CM164" s="21">
        <f>EXP(-LN(2)/2)*CM163+(1-EXP(-LN(2)/2))/(LN(2)/2)*CG164*CJ164*VLOOKUP('Données projet'!$B$12,Paramètres!$A$1:$I$89,3,0)*0.475*44/12</f>
        <v>0</v>
      </c>
      <c r="CN164" s="22">
        <f t="shared" si="172"/>
        <v>30.395167771308348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3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93.506400000000156</v>
      </c>
      <c r="D165" s="11">
        <f t="shared" si="140"/>
        <v>25.408993972438534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917.94339206794791</v>
      </c>
      <c r="H165" s="67">
        <f t="shared" si="110"/>
        <v>463.77764450199737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304.99999999999983</v>
      </c>
      <c r="O165" s="13">
        <f>N165*VLOOKUP('Données projet'!$B$9,Paramètres!$A$1:$I$89,3,0)*VLOOKUP('Données projet'!$B$9,Paramètres!$A$1:$I$89,5,0)</f>
        <v>275.96399999999983</v>
      </c>
      <c r="P165" s="13">
        <f t="shared" si="141"/>
        <v>66.113366665488854</v>
      </c>
      <c r="Q165" s="20">
        <f t="shared" si="162"/>
        <v>595.78474694239264</v>
      </c>
      <c r="R165" s="59">
        <f t="shared" si="109"/>
        <v>889.11808027572602</v>
      </c>
      <c r="S165" s="59">
        <f ca="1">AVERAGE(OFFSET($R$3,0,0,'Données projet'!$E$9+1,1))-AVERAGE(OFFSET($H$3,0,0,'Données projet'!$E$9+1,1))</f>
        <v>336.59194805061094</v>
      </c>
      <c r="T165" s="59">
        <f t="shared" si="142"/>
        <v>473.66884161123909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0.61287946487876932</v>
      </c>
      <c r="AA165" s="21">
        <f>EXP(-LN(2)/25)*AA164+(1-EXP(-LN(2)/25))/(LN(2)/25)*Calculateur!V165*Calculateur!X165*VLOOKUP('Données projet'!$B$9,Paramètres!$A$1:$I$89,3,0)*0.475*44/12</f>
        <v>0</v>
      </c>
      <c r="AB165" s="21">
        <f>EXP(-LN(2)/2)*AB164+(1-EXP(-LN(2)/2))/(LN(2)/2)*V165*Y165*VLOOKUP('Données projet'!$B$9,Paramètres!$A$1:$I$89,3,0)*0.475*44/12</f>
        <v>0</v>
      </c>
      <c r="AC165" s="22">
        <f t="shared" si="163"/>
        <v>0.61287946487876932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319</v>
      </c>
      <c r="AJ165" s="13">
        <f>AI165*VLOOKUP('Données projet'!$B$10,Paramètres!$A$1:$I$89,3,0)*VLOOKUP('Données projet'!$B$10,Paramètres!$A$1:$I$89,5,0)</f>
        <v>209.00879999999998</v>
      </c>
      <c r="AK165" s="13">
        <f t="shared" si="164"/>
        <v>51.718923953824202</v>
      </c>
      <c r="AL165" s="20">
        <f t="shared" si="165"/>
        <v>454.10078588624373</v>
      </c>
      <c r="AM165" s="59">
        <f t="shared" si="113"/>
        <v>747.43411921957704</v>
      </c>
      <c r="AN165" s="59">
        <f ca="1">AVERAGE(OFFSET($AM$3,0,0,'Données projet'!$E$10+1,1))-AVERAGE(OFFSET($H$3,0,0,'Données projet'!$E$10+1,1))</f>
        <v>244.66788784685366</v>
      </c>
      <c r="AO165" s="59">
        <f t="shared" si="144"/>
        <v>252.04429018409274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7.0025092280463515</v>
      </c>
      <c r="AV165" s="21">
        <f>EXP(-LN(2)/25)*AV164+(1-EXP(-LN(2)/25))/(LN(2)/25)*Calculateur!AQ165*Calculateur!AS165*VLOOKUP('Données projet'!$B$10,Paramètres!$A$1:$I$89,3,0)*0.475*44/12</f>
        <v>0</v>
      </c>
      <c r="AW165" s="21">
        <f>EXP(-LN(2)/2)*AW164+(1-EXP(-LN(2)/2))/(LN(2)/2)*AQ165*AT165*VLOOKUP('Données projet'!$B$10,Paramètres!$A$1:$I$89,3,0)*0.475*44/12</f>
        <v>0</v>
      </c>
      <c r="AX165" s="21">
        <f t="shared" si="166"/>
        <v>7.0025092280463515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243.99999999999989</v>
      </c>
      <c r="BE165" s="13">
        <f>BD165*VLOOKUP('Données projet'!$B$11,Paramètres!$A$1:$I$89,3,0)*VLOOKUP('Données projet'!$B$11,Paramètres!$A$1:$I$89,5,0)</f>
        <v>232.19039999999987</v>
      </c>
      <c r="BF165" s="13">
        <f t="shared" si="167"/>
        <v>56.756035639094556</v>
      </c>
      <c r="BG165" s="20">
        <f t="shared" si="168"/>
        <v>503.24837540475619</v>
      </c>
      <c r="BH165" s="59">
        <f t="shared" si="116"/>
        <v>796.58170873808945</v>
      </c>
      <c r="BI165" s="59">
        <f ca="1">AVERAGE(OFFSET($BH$3,0,0,'Données projet'!$E$11+1,1))-AVERAGE(OFFSET($H$3,0,0,'Données projet'!$E$11+1,1))</f>
        <v>373.51596132356536</v>
      </c>
      <c r="BJ165" s="59">
        <f t="shared" si="146"/>
        <v>417.00150517020114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30.508016555841905</v>
      </c>
      <c r="BQ165" s="21">
        <f>EXP(-LN(2)/25)*BQ164+(1-EXP(-LN(2)/25))/(LN(2)/25)*Calculateur!BL165*Calculateur!BN165*VLOOKUP('Données projet'!$B$11,Paramètres!$A$1:$I$89,3,0)*0.475*44/12</f>
        <v>0</v>
      </c>
      <c r="BR165" s="21">
        <f>EXP(-LN(2)/2)*BR164+(1-EXP(-LN(2)/2))/(LN(2)/2)*BL165*BO165*VLOOKUP('Données projet'!$B$11,Paramètres!$A$1:$I$89,3,0)*0.475*44/12</f>
        <v>0</v>
      </c>
      <c r="BS165" s="22">
        <f t="shared" si="169"/>
        <v>30.508016555841905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267</v>
      </c>
      <c r="BZ165" s="13">
        <f>BY165*VLOOKUP('Données projet'!$B$12,Paramètres!$A$1:$I$89,3,0)*VLOOKUP('Données projet'!$B$12,Paramètres!$A$1:$I$89,5,0)</f>
        <v>241.58159999999998</v>
      </c>
      <c r="CA165" s="13">
        <f t="shared" si="170"/>
        <v>58.779689232021951</v>
      </c>
      <c r="CB165" s="20">
        <f t="shared" si="171"/>
        <v>523.12924541243819</v>
      </c>
      <c r="CC165" s="59">
        <f t="shared" si="119"/>
        <v>816.46257874577145</v>
      </c>
      <c r="CD165" s="59">
        <f ca="1">AVERAGE(OFFSET($CC$3,0,0,'Données projet'!$E$12+1,1))-AVERAGE(OFFSET($H$3,0,0,'Données projet'!$E$12+1,1))</f>
        <v>289.19622253646992</v>
      </c>
      <c r="CE165" s="59">
        <f t="shared" si="148"/>
        <v>191.23827338431175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>
        <f>EXP(-LN(2)/35)*CK164+(1-EXP(-LN(2)/35))/(LN(2)/35)*CG165*CH165*VLOOKUP('Données projet'!$B$12,Paramètres!$A$1:$I$89,3,0)*0.475*44/12</f>
        <v>29.799137070534737</v>
      </c>
      <c r="CL165" s="21">
        <f>EXP(-LN(2)/25)*CL164+(1-EXP(-LN(2)/25))/(LN(2)/25)*Calculateur!CG165*Calculateur!CI165*VLOOKUP('Données projet'!$B$12,Paramètres!$A$1:$I$89,3,0)*0.475*44/12</f>
        <v>0</v>
      </c>
      <c r="CM165" s="21">
        <f>EXP(-LN(2)/2)*CM164+(1-EXP(-LN(2)/2))/(LN(2)/2)*CG165*CJ165*VLOOKUP('Données projet'!$B$12,Paramètres!$A$1:$I$89,3,0)*0.475*44/12</f>
        <v>0</v>
      </c>
      <c r="CN165" s="22">
        <f t="shared" si="172"/>
        <v>29.799137070534737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3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94.08360000000016</v>
      </c>
      <c r="D166" s="11">
        <f t="shared" si="140"/>
        <v>25.547533106224556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923.46839590769969</v>
      </c>
      <c r="H166" s="67">
        <f t="shared" si="110"/>
        <v>465.02422349334142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304.99999999999983</v>
      </c>
      <c r="O166" s="13">
        <f>N166*VLOOKUP('Données projet'!$B$9,Paramètres!$A$1:$I$89,3,0)*VLOOKUP('Données projet'!$B$9,Paramètres!$A$1:$I$89,5,0)</f>
        <v>275.96399999999983</v>
      </c>
      <c r="P166" s="13">
        <f t="shared" si="141"/>
        <v>66.113366665488854</v>
      </c>
      <c r="Q166" s="20">
        <f t="shared" si="162"/>
        <v>595.78474694239264</v>
      </c>
      <c r="R166" s="59">
        <f t="shared" si="109"/>
        <v>889.11808027572602</v>
      </c>
      <c r="S166" s="59">
        <f ca="1">AVERAGE(OFFSET($R$3,0,0,'Données projet'!$E$9+1,1))-AVERAGE(OFFSET($H$3,0,0,'Données projet'!$E$9+1,1))</f>
        <v>336.59194805061094</v>
      </c>
      <c r="T166" s="59">
        <f t="shared" si="142"/>
        <v>473.66884161123909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0.60086127239205867</v>
      </c>
      <c r="AA166" s="21">
        <f>EXP(-LN(2)/25)*AA165+(1-EXP(-LN(2)/25))/(LN(2)/25)*Calculateur!V166*Calculateur!X166*VLOOKUP('Données projet'!$B$9,Paramètres!$A$1:$I$89,3,0)*0.475*44/12</f>
        <v>0</v>
      </c>
      <c r="AB166" s="21">
        <f>EXP(-LN(2)/2)*AB165+(1-EXP(-LN(2)/2))/(LN(2)/2)*V166*Y166*VLOOKUP('Données projet'!$B$9,Paramètres!$A$1:$I$89,3,0)*0.475*44/12</f>
        <v>0</v>
      </c>
      <c r="AC166" s="22">
        <f t="shared" si="163"/>
        <v>0.60086127239205867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319</v>
      </c>
      <c r="AJ166" s="13">
        <f>AI166*VLOOKUP('Données projet'!$B$10,Paramètres!$A$1:$I$89,3,0)*VLOOKUP('Données projet'!$B$10,Paramètres!$A$1:$I$89,5,0)</f>
        <v>209.00879999999998</v>
      </c>
      <c r="AK166" s="13">
        <f t="shared" si="164"/>
        <v>51.718923953824202</v>
      </c>
      <c r="AL166" s="20">
        <f t="shared" si="165"/>
        <v>454.10078588624373</v>
      </c>
      <c r="AM166" s="59">
        <f t="shared" si="113"/>
        <v>747.43411921957704</v>
      </c>
      <c r="AN166" s="59">
        <f ca="1">AVERAGE(OFFSET($AM$3,0,0,'Données projet'!$E$10+1,1))-AVERAGE(OFFSET($H$3,0,0,'Données projet'!$E$10+1,1))</f>
        <v>244.66788784685366</v>
      </c>
      <c r="AO166" s="59">
        <f t="shared" si="144"/>
        <v>252.04429018409274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6.8651942931932544</v>
      </c>
      <c r="AV166" s="21">
        <f>EXP(-LN(2)/25)*AV165+(1-EXP(-LN(2)/25))/(LN(2)/25)*Calculateur!AQ166*Calculateur!AS166*VLOOKUP('Données projet'!$B$10,Paramètres!$A$1:$I$89,3,0)*0.475*44/12</f>
        <v>0</v>
      </c>
      <c r="AW166" s="21">
        <f>EXP(-LN(2)/2)*AW165+(1-EXP(-LN(2)/2))/(LN(2)/2)*AQ166*AT166*VLOOKUP('Données projet'!$B$10,Paramètres!$A$1:$I$89,3,0)*0.475*44/12</f>
        <v>0</v>
      </c>
      <c r="AX166" s="21">
        <f t="shared" si="166"/>
        <v>6.8651942931932544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243.99999999999989</v>
      </c>
      <c r="BE166" s="13">
        <f>BD166*VLOOKUP('Données projet'!$B$11,Paramètres!$A$1:$I$89,3,0)*VLOOKUP('Données projet'!$B$11,Paramètres!$A$1:$I$89,5,0)</f>
        <v>232.19039999999987</v>
      </c>
      <c r="BF166" s="13">
        <f t="shared" si="167"/>
        <v>56.756035639094556</v>
      </c>
      <c r="BG166" s="20">
        <f t="shared" si="168"/>
        <v>503.24837540475619</v>
      </c>
      <c r="BH166" s="59">
        <f t="shared" si="116"/>
        <v>796.58170873808945</v>
      </c>
      <c r="BI166" s="59">
        <f ca="1">AVERAGE(OFFSET($BH$3,0,0,'Données projet'!$E$11+1,1))-AVERAGE(OFFSET($H$3,0,0,'Données projet'!$E$11+1,1))</f>
        <v>373.51596132356536</v>
      </c>
      <c r="BJ166" s="59">
        <f t="shared" si="146"/>
        <v>417.00150517020114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29.909772959234552</v>
      </c>
      <c r="BQ166" s="21">
        <f>EXP(-LN(2)/25)*BQ165+(1-EXP(-LN(2)/25))/(LN(2)/25)*Calculateur!BL166*Calculateur!BN166*VLOOKUP('Données projet'!$B$11,Paramètres!$A$1:$I$89,3,0)*0.475*44/12</f>
        <v>0</v>
      </c>
      <c r="BR166" s="21">
        <f>EXP(-LN(2)/2)*BR165+(1-EXP(-LN(2)/2))/(LN(2)/2)*BL166*BO166*VLOOKUP('Données projet'!$B$11,Paramètres!$A$1:$I$89,3,0)*0.475*44/12</f>
        <v>0</v>
      </c>
      <c r="BS166" s="22">
        <f t="shared" si="169"/>
        <v>29.909772959234552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267</v>
      </c>
      <c r="BZ166" s="13">
        <f>BY166*VLOOKUP('Données projet'!$B$12,Paramètres!$A$1:$I$89,3,0)*VLOOKUP('Données projet'!$B$12,Paramètres!$A$1:$I$89,5,0)</f>
        <v>241.58159999999998</v>
      </c>
      <c r="CA166" s="13">
        <f t="shared" si="170"/>
        <v>58.779689232021951</v>
      </c>
      <c r="CB166" s="20">
        <f t="shared" si="171"/>
        <v>523.12924541243819</v>
      </c>
      <c r="CC166" s="59">
        <f t="shared" si="119"/>
        <v>816.46257874577145</v>
      </c>
      <c r="CD166" s="59">
        <f ca="1">AVERAGE(OFFSET($CC$3,0,0,'Données projet'!$E$12+1,1))-AVERAGE(OFFSET($H$3,0,0,'Données projet'!$E$12+1,1))</f>
        <v>289.19622253646992</v>
      </c>
      <c r="CE166" s="59">
        <f t="shared" si="148"/>
        <v>191.23827338431175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>
        <f>EXP(-LN(2)/35)*CK165+(1-EXP(-LN(2)/35))/(LN(2)/35)*CG166*CH166*VLOOKUP('Données projet'!$B$12,Paramètres!$A$1:$I$89,3,0)*0.475*44/12</f>
        <v>29.214794168260465</v>
      </c>
      <c r="CL166" s="21">
        <f>EXP(-LN(2)/25)*CL165+(1-EXP(-LN(2)/25))/(LN(2)/25)*Calculateur!CG166*Calculateur!CI166*VLOOKUP('Données projet'!$B$12,Paramètres!$A$1:$I$89,3,0)*0.475*44/12</f>
        <v>0</v>
      </c>
      <c r="CM166" s="21">
        <f>EXP(-LN(2)/2)*CM165+(1-EXP(-LN(2)/2))/(LN(2)/2)*CG166*CJ166*VLOOKUP('Données projet'!$B$12,Paramètres!$A$1:$I$89,3,0)*0.475*44/12</f>
        <v>0</v>
      </c>
      <c r="CN166" s="22">
        <f t="shared" si="172"/>
        <v>29.214794168260465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3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94.660800000000165</v>
      </c>
      <c r="D167" s="11">
        <f t="shared" si="140"/>
        <v>25.685973342429886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928.99263632753036</v>
      </c>
      <c r="H167" s="67">
        <f t="shared" si="110"/>
        <v>466.27063023806568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304.99999999999983</v>
      </c>
      <c r="O167" s="13">
        <f>N167*VLOOKUP('Données projet'!$B$9,Paramètres!$A$1:$I$89,3,0)*VLOOKUP('Données projet'!$B$9,Paramètres!$A$1:$I$89,5,0)</f>
        <v>275.96399999999983</v>
      </c>
      <c r="P167" s="13">
        <f t="shared" si="141"/>
        <v>66.113366665488854</v>
      </c>
      <c r="Q167" s="20">
        <f t="shared" si="162"/>
        <v>595.78474694239264</v>
      </c>
      <c r="R167" s="59">
        <f t="shared" si="109"/>
        <v>889.11808027572602</v>
      </c>
      <c r="S167" s="59">
        <f ca="1">AVERAGE(OFFSET($R$3,0,0,'Données projet'!$E$9+1,1))-AVERAGE(OFFSET($H$3,0,0,'Données projet'!$E$9+1,1))</f>
        <v>336.59194805061094</v>
      </c>
      <c r="T167" s="59">
        <f t="shared" si="142"/>
        <v>473.66884161123909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0.58907874932963877</v>
      </c>
      <c r="AA167" s="21">
        <f>EXP(-LN(2)/25)*AA166+(1-EXP(-LN(2)/25))/(LN(2)/25)*Calculateur!V167*Calculateur!X167*VLOOKUP('Données projet'!$B$9,Paramètres!$A$1:$I$89,3,0)*0.475*44/12</f>
        <v>0</v>
      </c>
      <c r="AB167" s="21">
        <f>EXP(-LN(2)/2)*AB166+(1-EXP(-LN(2)/2))/(LN(2)/2)*V167*Y167*VLOOKUP('Données projet'!$B$9,Paramètres!$A$1:$I$89,3,0)*0.475*44/12</f>
        <v>0</v>
      </c>
      <c r="AC167" s="22">
        <f t="shared" si="163"/>
        <v>0.58907874932963877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319</v>
      </c>
      <c r="AJ167" s="13">
        <f>AI167*VLOOKUP('Données projet'!$B$10,Paramètres!$A$1:$I$89,3,0)*VLOOKUP('Données projet'!$B$10,Paramètres!$A$1:$I$89,5,0)</f>
        <v>209.00879999999998</v>
      </c>
      <c r="AK167" s="13">
        <f t="shared" si="164"/>
        <v>51.718923953824202</v>
      </c>
      <c r="AL167" s="20">
        <f t="shared" si="165"/>
        <v>454.10078588624373</v>
      </c>
      <c r="AM167" s="59">
        <f t="shared" si="113"/>
        <v>747.43411921957704</v>
      </c>
      <c r="AN167" s="59">
        <f ca="1">AVERAGE(OFFSET($AM$3,0,0,'Données projet'!$E$10+1,1))-AVERAGE(OFFSET($H$3,0,0,'Données projet'!$E$10+1,1))</f>
        <v>244.66788784685366</v>
      </c>
      <c r="AO167" s="59">
        <f t="shared" si="144"/>
        <v>252.04429018409274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6.7305720204587862</v>
      </c>
      <c r="AV167" s="21">
        <f>EXP(-LN(2)/25)*AV166+(1-EXP(-LN(2)/25))/(LN(2)/25)*Calculateur!AQ167*Calculateur!AS167*VLOOKUP('Données projet'!$B$10,Paramètres!$A$1:$I$89,3,0)*0.475*44/12</f>
        <v>0</v>
      </c>
      <c r="AW167" s="21">
        <f>EXP(-LN(2)/2)*AW166+(1-EXP(-LN(2)/2))/(LN(2)/2)*AQ167*AT167*VLOOKUP('Données projet'!$B$10,Paramètres!$A$1:$I$89,3,0)*0.475*44/12</f>
        <v>0</v>
      </c>
      <c r="AX167" s="21">
        <f t="shared" si="166"/>
        <v>6.7305720204587862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243.99999999999989</v>
      </c>
      <c r="BE167" s="13">
        <f>BD167*VLOOKUP('Données projet'!$B$11,Paramètres!$A$1:$I$89,3,0)*VLOOKUP('Données projet'!$B$11,Paramètres!$A$1:$I$89,5,0)</f>
        <v>232.19039999999987</v>
      </c>
      <c r="BF167" s="13">
        <f t="shared" si="167"/>
        <v>56.756035639094556</v>
      </c>
      <c r="BG167" s="20">
        <f t="shared" si="168"/>
        <v>503.24837540475619</v>
      </c>
      <c r="BH167" s="59">
        <f t="shared" si="116"/>
        <v>796.58170873808945</v>
      </c>
      <c r="BI167" s="59">
        <f ca="1">AVERAGE(OFFSET($BH$3,0,0,'Données projet'!$E$11+1,1))-AVERAGE(OFFSET($H$3,0,0,'Données projet'!$E$11+1,1))</f>
        <v>373.51596132356536</v>
      </c>
      <c r="BJ167" s="59">
        <f t="shared" si="146"/>
        <v>417.00150517020114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29.323260554664106</v>
      </c>
      <c r="BQ167" s="21">
        <f>EXP(-LN(2)/25)*BQ166+(1-EXP(-LN(2)/25))/(LN(2)/25)*Calculateur!BL167*Calculateur!BN167*VLOOKUP('Données projet'!$B$11,Paramètres!$A$1:$I$89,3,0)*0.475*44/12</f>
        <v>0</v>
      </c>
      <c r="BR167" s="21">
        <f>EXP(-LN(2)/2)*BR166+(1-EXP(-LN(2)/2))/(LN(2)/2)*BL167*BO167*VLOOKUP('Données projet'!$B$11,Paramètres!$A$1:$I$89,3,0)*0.475*44/12</f>
        <v>0</v>
      </c>
      <c r="BS167" s="22">
        <f t="shared" si="169"/>
        <v>29.323260554664106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267</v>
      </c>
      <c r="BZ167" s="13">
        <f>BY167*VLOOKUP('Données projet'!$B$12,Paramètres!$A$1:$I$89,3,0)*VLOOKUP('Données projet'!$B$12,Paramètres!$A$1:$I$89,5,0)</f>
        <v>241.58159999999998</v>
      </c>
      <c r="CA167" s="13">
        <f t="shared" si="170"/>
        <v>58.779689232021951</v>
      </c>
      <c r="CB167" s="20">
        <f t="shared" si="171"/>
        <v>523.12924541243819</v>
      </c>
      <c r="CC167" s="59">
        <f t="shared" si="119"/>
        <v>816.46257874577145</v>
      </c>
      <c r="CD167" s="59">
        <f ca="1">AVERAGE(OFFSET($CC$3,0,0,'Données projet'!$E$12+1,1))-AVERAGE(OFFSET($H$3,0,0,'Données projet'!$E$12+1,1))</f>
        <v>289.19622253646992</v>
      </c>
      <c r="CE167" s="59">
        <f t="shared" si="148"/>
        <v>191.23827338431175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>
        <f>EXP(-LN(2)/35)*CK166+(1-EXP(-LN(2)/35))/(LN(2)/35)*CG167*CH167*VLOOKUP('Données projet'!$B$12,Paramètres!$A$1:$I$89,3,0)*0.475*44/12</f>
        <v>28.641909873885812</v>
      </c>
      <c r="CL167" s="21">
        <f>EXP(-LN(2)/25)*CL166+(1-EXP(-LN(2)/25))/(LN(2)/25)*Calculateur!CG167*Calculateur!CI167*VLOOKUP('Données projet'!$B$12,Paramètres!$A$1:$I$89,3,0)*0.475*44/12</f>
        <v>0</v>
      </c>
      <c r="CM167" s="21">
        <f>EXP(-LN(2)/2)*CM166+(1-EXP(-LN(2)/2))/(LN(2)/2)*CG167*CJ167*VLOOKUP('Données projet'!$B$12,Paramètres!$A$1:$I$89,3,0)*0.475*44/12</f>
        <v>0</v>
      </c>
      <c r="CN167" s="22">
        <f t="shared" si="172"/>
        <v>28.641909873885812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3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95.23800000000017</v>
      </c>
      <c r="D168" s="11">
        <f t="shared" si="140"/>
        <v>25.824315354051187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934.51611852250164</v>
      </c>
      <c r="H168" s="67">
        <f t="shared" si="110"/>
        <v>467.5168659083061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304.99999999999983</v>
      </c>
      <c r="O168" s="13">
        <f>N168*VLOOKUP('Données projet'!$B$9,Paramètres!$A$1:$I$89,3,0)*VLOOKUP('Données projet'!$B$9,Paramètres!$A$1:$I$89,5,0)</f>
        <v>275.96399999999983</v>
      </c>
      <c r="P168" s="13">
        <f t="shared" si="141"/>
        <v>66.113366665488854</v>
      </c>
      <c r="Q168" s="20">
        <f t="shared" si="162"/>
        <v>595.78474694239264</v>
      </c>
      <c r="R168" s="59">
        <f t="shared" si="109"/>
        <v>889.11808027572602</v>
      </c>
      <c r="S168" s="59">
        <f ca="1">AVERAGE(OFFSET($R$3,0,0,'Données projet'!$E$9+1,1))-AVERAGE(OFFSET($H$3,0,0,'Données projet'!$E$9+1,1))</f>
        <v>336.59194805061094</v>
      </c>
      <c r="T168" s="59">
        <f t="shared" si="142"/>
        <v>473.66884161123909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0.57752727435784346</v>
      </c>
      <c r="AA168" s="21">
        <f>EXP(-LN(2)/25)*AA167+(1-EXP(-LN(2)/25))/(LN(2)/25)*Calculateur!V168*Calculateur!X168*VLOOKUP('Données projet'!$B$9,Paramètres!$A$1:$I$89,3,0)*0.475*44/12</f>
        <v>0</v>
      </c>
      <c r="AB168" s="21">
        <f>EXP(-LN(2)/2)*AB167+(1-EXP(-LN(2)/2))/(LN(2)/2)*V168*Y168*VLOOKUP('Données projet'!$B$9,Paramètres!$A$1:$I$89,3,0)*0.475*44/12</f>
        <v>0</v>
      </c>
      <c r="AC168" s="22">
        <f t="shared" si="163"/>
        <v>0.57752727435784346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319</v>
      </c>
      <c r="AJ168" s="13">
        <f>AI168*VLOOKUP('Données projet'!$B$10,Paramètres!$A$1:$I$89,3,0)*VLOOKUP('Données projet'!$B$10,Paramètres!$A$1:$I$89,5,0)</f>
        <v>209.00879999999998</v>
      </c>
      <c r="AK168" s="13">
        <f t="shared" si="164"/>
        <v>51.718923953824202</v>
      </c>
      <c r="AL168" s="20">
        <f t="shared" si="165"/>
        <v>454.10078588624373</v>
      </c>
      <c r="AM168" s="59">
        <f t="shared" si="113"/>
        <v>747.43411921957704</v>
      </c>
      <c r="AN168" s="59">
        <f ca="1">AVERAGE(OFFSET($AM$3,0,0,'Données projet'!$E$10+1,1))-AVERAGE(OFFSET($H$3,0,0,'Données projet'!$E$10+1,1))</f>
        <v>244.66788784685366</v>
      </c>
      <c r="AO168" s="59">
        <f t="shared" si="144"/>
        <v>252.04429018409274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6.5985896083811628</v>
      </c>
      <c r="AV168" s="21">
        <f>EXP(-LN(2)/25)*AV167+(1-EXP(-LN(2)/25))/(LN(2)/25)*Calculateur!AQ168*Calculateur!AS168*VLOOKUP('Données projet'!$B$10,Paramètres!$A$1:$I$89,3,0)*0.475*44/12</f>
        <v>0</v>
      </c>
      <c r="AW168" s="21">
        <f>EXP(-LN(2)/2)*AW167+(1-EXP(-LN(2)/2))/(LN(2)/2)*AQ168*AT168*VLOOKUP('Données projet'!$B$10,Paramètres!$A$1:$I$89,3,0)*0.475*44/12</f>
        <v>0</v>
      </c>
      <c r="AX168" s="21">
        <f t="shared" si="166"/>
        <v>6.5985896083811628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243.99999999999989</v>
      </c>
      <c r="BE168" s="13">
        <f>BD168*VLOOKUP('Données projet'!$B$11,Paramètres!$A$1:$I$89,3,0)*VLOOKUP('Données projet'!$B$11,Paramètres!$A$1:$I$89,5,0)</f>
        <v>232.19039999999987</v>
      </c>
      <c r="BF168" s="13">
        <f t="shared" si="167"/>
        <v>56.756035639094556</v>
      </c>
      <c r="BG168" s="20">
        <f t="shared" si="168"/>
        <v>503.24837540475619</v>
      </c>
      <c r="BH168" s="59">
        <f t="shared" si="116"/>
        <v>796.58170873808945</v>
      </c>
      <c r="BI168" s="59">
        <f ca="1">AVERAGE(OFFSET($BH$3,0,0,'Données projet'!$E$11+1,1))-AVERAGE(OFFSET($H$3,0,0,'Données projet'!$E$11+1,1))</f>
        <v>373.51596132356536</v>
      </c>
      <c r="BJ168" s="59">
        <f t="shared" si="146"/>
        <v>417.00150517020114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28.748249300610041</v>
      </c>
      <c r="BQ168" s="21">
        <f>EXP(-LN(2)/25)*BQ167+(1-EXP(-LN(2)/25))/(LN(2)/25)*Calculateur!BL168*Calculateur!BN168*VLOOKUP('Données projet'!$B$11,Paramètres!$A$1:$I$89,3,0)*0.475*44/12</f>
        <v>0</v>
      </c>
      <c r="BR168" s="21">
        <f>EXP(-LN(2)/2)*BR167+(1-EXP(-LN(2)/2))/(LN(2)/2)*BL168*BO168*VLOOKUP('Données projet'!$B$11,Paramètres!$A$1:$I$89,3,0)*0.475*44/12</f>
        <v>0</v>
      </c>
      <c r="BS168" s="22">
        <f t="shared" si="169"/>
        <v>28.748249300610041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267</v>
      </c>
      <c r="BZ168" s="13">
        <f>BY168*VLOOKUP('Données projet'!$B$12,Paramètres!$A$1:$I$89,3,0)*VLOOKUP('Données projet'!$B$12,Paramètres!$A$1:$I$89,5,0)</f>
        <v>241.58159999999998</v>
      </c>
      <c r="CA168" s="13">
        <f t="shared" si="170"/>
        <v>58.779689232021951</v>
      </c>
      <c r="CB168" s="20">
        <f t="shared" si="171"/>
        <v>523.12924541243819</v>
      </c>
      <c r="CC168" s="59">
        <f t="shared" si="119"/>
        <v>816.46257874577145</v>
      </c>
      <c r="CD168" s="59">
        <f ca="1">AVERAGE(OFFSET($CC$3,0,0,'Données projet'!$E$12+1,1))-AVERAGE(OFFSET($H$3,0,0,'Données projet'!$E$12+1,1))</f>
        <v>289.19622253646992</v>
      </c>
      <c r="CE168" s="59">
        <f t="shared" si="148"/>
        <v>191.23827338431175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>
        <f>EXP(-LN(2)/35)*CK167+(1-EXP(-LN(2)/35))/(LN(2)/35)*CG168*CH168*VLOOKUP('Données projet'!$B$12,Paramètres!$A$1:$I$89,3,0)*0.475*44/12</f>
        <v>28.080259491098932</v>
      </c>
      <c r="CL168" s="21">
        <f>EXP(-LN(2)/25)*CL167+(1-EXP(-LN(2)/25))/(LN(2)/25)*Calculateur!CG168*Calculateur!CI168*VLOOKUP('Données projet'!$B$12,Paramètres!$A$1:$I$89,3,0)*0.475*44/12</f>
        <v>0</v>
      </c>
      <c r="CM168" s="21">
        <f>EXP(-LN(2)/2)*CM167+(1-EXP(-LN(2)/2))/(LN(2)/2)*CG168*CJ168*VLOOKUP('Données projet'!$B$12,Paramètres!$A$1:$I$89,3,0)*0.475*44/12</f>
        <v>0</v>
      </c>
      <c r="CN168" s="22">
        <f t="shared" si="172"/>
        <v>28.080259491098932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3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95.815200000000175</v>
      </c>
      <c r="D169" s="11">
        <f t="shared" si="140"/>
        <v>25.962559805455733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940.03884762106316</v>
      </c>
      <c r="H169" s="67">
        <f t="shared" si="110"/>
        <v>468.76293166116903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304.99999999999983</v>
      </c>
      <c r="O169" s="13">
        <f>N169*VLOOKUP('Données projet'!$B$9,Paramètres!$A$1:$I$89,3,0)*VLOOKUP('Données projet'!$B$9,Paramètres!$A$1:$I$89,5,0)</f>
        <v>275.96399999999983</v>
      </c>
      <c r="P169" s="13">
        <f t="shared" si="141"/>
        <v>66.113366665488854</v>
      </c>
      <c r="Q169" s="20">
        <f t="shared" si="162"/>
        <v>595.78474694239264</v>
      </c>
      <c r="R169" s="59">
        <f t="shared" si="109"/>
        <v>889.11808027572602</v>
      </c>
      <c r="S169" s="59">
        <f ca="1">AVERAGE(OFFSET($R$3,0,0,'Données projet'!$E$9+1,1))-AVERAGE(OFFSET($H$3,0,0,'Données projet'!$E$9+1,1))</f>
        <v>336.59194805061094</v>
      </c>
      <c r="T169" s="59">
        <f t="shared" si="142"/>
        <v>473.66884161123909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0.56620231676454102</v>
      </c>
      <c r="AA169" s="21">
        <f>EXP(-LN(2)/25)*AA168+(1-EXP(-LN(2)/25))/(LN(2)/25)*Calculateur!V169*Calculateur!X169*VLOOKUP('Données projet'!$B$9,Paramètres!$A$1:$I$89,3,0)*0.475*44/12</f>
        <v>0</v>
      </c>
      <c r="AB169" s="21">
        <f>EXP(-LN(2)/2)*AB168+(1-EXP(-LN(2)/2))/(LN(2)/2)*V169*Y169*VLOOKUP('Données projet'!$B$9,Paramètres!$A$1:$I$89,3,0)*0.475*44/12</f>
        <v>0</v>
      </c>
      <c r="AC169" s="22">
        <f t="shared" si="163"/>
        <v>0.56620231676454102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319</v>
      </c>
      <c r="AJ169" s="13">
        <f>AI169*VLOOKUP('Données projet'!$B$10,Paramètres!$A$1:$I$89,3,0)*VLOOKUP('Données projet'!$B$10,Paramètres!$A$1:$I$89,5,0)</f>
        <v>209.00879999999998</v>
      </c>
      <c r="AK169" s="13">
        <f t="shared" si="164"/>
        <v>51.718923953824202</v>
      </c>
      <c r="AL169" s="20">
        <f t="shared" si="165"/>
        <v>454.10078588624373</v>
      </c>
      <c r="AM169" s="59">
        <f t="shared" si="113"/>
        <v>747.43411921957704</v>
      </c>
      <c r="AN169" s="59">
        <f ca="1">AVERAGE(OFFSET($AM$3,0,0,'Données projet'!$E$10+1,1))-AVERAGE(OFFSET($H$3,0,0,'Données projet'!$E$10+1,1))</f>
        <v>244.66788784685366</v>
      </c>
      <c r="AO169" s="59">
        <f t="shared" si="144"/>
        <v>252.04429018409274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6.469195290903059</v>
      </c>
      <c r="AV169" s="21">
        <f>EXP(-LN(2)/25)*AV168+(1-EXP(-LN(2)/25))/(LN(2)/25)*Calculateur!AQ169*Calculateur!AS169*VLOOKUP('Données projet'!$B$10,Paramètres!$A$1:$I$89,3,0)*0.475*44/12</f>
        <v>0</v>
      </c>
      <c r="AW169" s="21">
        <f>EXP(-LN(2)/2)*AW168+(1-EXP(-LN(2)/2))/(LN(2)/2)*AQ169*AT169*VLOOKUP('Données projet'!$B$10,Paramètres!$A$1:$I$89,3,0)*0.475*44/12</f>
        <v>0</v>
      </c>
      <c r="AX169" s="21">
        <f t="shared" si="166"/>
        <v>6.469195290903059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243.99999999999989</v>
      </c>
      <c r="BE169" s="13">
        <f>BD169*VLOOKUP('Données projet'!$B$11,Paramètres!$A$1:$I$89,3,0)*VLOOKUP('Données projet'!$B$11,Paramètres!$A$1:$I$89,5,0)</f>
        <v>232.19039999999987</v>
      </c>
      <c r="BF169" s="13">
        <f t="shared" si="167"/>
        <v>56.756035639094556</v>
      </c>
      <c r="BG169" s="20">
        <f t="shared" si="168"/>
        <v>503.24837540475619</v>
      </c>
      <c r="BH169" s="59">
        <f t="shared" si="116"/>
        <v>796.58170873808945</v>
      </c>
      <c r="BI169" s="59">
        <f ca="1">AVERAGE(OFFSET($BH$3,0,0,'Données projet'!$E$11+1,1))-AVERAGE(OFFSET($H$3,0,0,'Données projet'!$E$11+1,1))</f>
        <v>373.51596132356536</v>
      </c>
      <c r="BJ169" s="59">
        <f t="shared" si="146"/>
        <v>417.00150517020114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28.184513666525742</v>
      </c>
      <c r="BQ169" s="21">
        <f>EXP(-LN(2)/25)*BQ168+(1-EXP(-LN(2)/25))/(LN(2)/25)*Calculateur!BL169*Calculateur!BN169*VLOOKUP('Données projet'!$B$11,Paramètres!$A$1:$I$89,3,0)*0.475*44/12</f>
        <v>0</v>
      </c>
      <c r="BR169" s="21">
        <f>EXP(-LN(2)/2)*BR168+(1-EXP(-LN(2)/2))/(LN(2)/2)*BL169*BO169*VLOOKUP('Données projet'!$B$11,Paramètres!$A$1:$I$89,3,0)*0.475*44/12</f>
        <v>0</v>
      </c>
      <c r="BS169" s="22">
        <f t="shared" si="169"/>
        <v>28.184513666525742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267</v>
      </c>
      <c r="BZ169" s="13">
        <f>BY169*VLOOKUP('Données projet'!$B$12,Paramètres!$A$1:$I$89,3,0)*VLOOKUP('Données projet'!$B$12,Paramètres!$A$1:$I$89,5,0)</f>
        <v>241.58159999999998</v>
      </c>
      <c r="CA169" s="13">
        <f t="shared" si="170"/>
        <v>58.779689232021951</v>
      </c>
      <c r="CB169" s="20">
        <f t="shared" si="171"/>
        <v>523.12924541243819</v>
      </c>
      <c r="CC169" s="59">
        <f t="shared" si="119"/>
        <v>816.46257874577145</v>
      </c>
      <c r="CD169" s="59">
        <f ca="1">AVERAGE(OFFSET($CC$3,0,0,'Données projet'!$E$12+1,1))-AVERAGE(OFFSET($H$3,0,0,'Données projet'!$E$12+1,1))</f>
        <v>289.19622253646992</v>
      </c>
      <c r="CE169" s="59">
        <f t="shared" si="148"/>
        <v>191.23827338431175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>
        <f>EXP(-LN(2)/35)*CK168+(1-EXP(-LN(2)/35))/(LN(2)/35)*CG169*CH169*VLOOKUP('Données projet'!$B$12,Paramètres!$A$1:$I$89,3,0)*0.475*44/12</f>
        <v>27.529622729745594</v>
      </c>
      <c r="CL169" s="21">
        <f>EXP(-LN(2)/25)*CL168+(1-EXP(-LN(2)/25))/(LN(2)/25)*Calculateur!CG169*Calculateur!CI169*VLOOKUP('Données projet'!$B$12,Paramètres!$A$1:$I$89,3,0)*0.475*44/12</f>
        <v>0</v>
      </c>
      <c r="CM169" s="21">
        <f>EXP(-LN(2)/2)*CM168+(1-EXP(-LN(2)/2))/(LN(2)/2)*CG169*CJ169*VLOOKUP('Données projet'!$B$12,Paramètres!$A$1:$I$89,3,0)*0.475*44/12</f>
        <v>0</v>
      </c>
      <c r="CN169" s="22">
        <f t="shared" si="172"/>
        <v>27.529622729745594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3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96.39240000000018</v>
      </c>
      <c r="D170" s="11">
        <f t="shared" si="140"/>
        <v>26.100707352543353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945.56082868630108</v>
      </c>
      <c r="H170" s="67">
        <f t="shared" si="110"/>
        <v>470.00882863901336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304.99999999999983</v>
      </c>
      <c r="O170" s="13">
        <f>N170*VLOOKUP('Données projet'!$B$9,Paramètres!$A$1:$I$89,3,0)*VLOOKUP('Données projet'!$B$9,Paramètres!$A$1:$I$89,5,0)</f>
        <v>275.96399999999983</v>
      </c>
      <c r="P170" s="13">
        <f t="shared" si="141"/>
        <v>66.113366665488854</v>
      </c>
      <c r="Q170" s="20">
        <f t="shared" si="162"/>
        <v>595.78474694239264</v>
      </c>
      <c r="R170" s="59">
        <f t="shared" si="109"/>
        <v>889.11808027572602</v>
      </c>
      <c r="S170" s="59">
        <f ca="1">AVERAGE(OFFSET($R$3,0,0,'Données projet'!$E$9+1,1))-AVERAGE(OFFSET($H$3,0,0,'Données projet'!$E$9+1,1))</f>
        <v>336.59194805061094</v>
      </c>
      <c r="T170" s="59">
        <f t="shared" si="142"/>
        <v>473.66884161123909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0.55509943468210121</v>
      </c>
      <c r="AA170" s="21">
        <f>EXP(-LN(2)/25)*AA169+(1-EXP(-LN(2)/25))/(LN(2)/25)*Calculateur!V170*Calculateur!X170*VLOOKUP('Données projet'!$B$9,Paramètres!$A$1:$I$89,3,0)*0.475*44/12</f>
        <v>0</v>
      </c>
      <c r="AB170" s="21">
        <f>EXP(-LN(2)/2)*AB169+(1-EXP(-LN(2)/2))/(LN(2)/2)*V170*Y170*VLOOKUP('Données projet'!$B$9,Paramètres!$A$1:$I$89,3,0)*0.475*44/12</f>
        <v>0</v>
      </c>
      <c r="AC170" s="22">
        <f t="shared" si="163"/>
        <v>0.55509943468210121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319</v>
      </c>
      <c r="AJ170" s="13">
        <f>AI170*VLOOKUP('Données projet'!$B$10,Paramètres!$A$1:$I$89,3,0)*VLOOKUP('Données projet'!$B$10,Paramètres!$A$1:$I$89,5,0)</f>
        <v>209.00879999999998</v>
      </c>
      <c r="AK170" s="13">
        <f t="shared" si="164"/>
        <v>51.718923953824202</v>
      </c>
      <c r="AL170" s="20">
        <f t="shared" si="165"/>
        <v>454.10078588624373</v>
      </c>
      <c r="AM170" s="59">
        <f t="shared" si="113"/>
        <v>747.43411921957704</v>
      </c>
      <c r="AN170" s="59">
        <f ca="1">AVERAGE(OFFSET($AM$3,0,0,'Données projet'!$E$10+1,1))-AVERAGE(OFFSET($H$3,0,0,'Données projet'!$E$10+1,1))</f>
        <v>244.66788784685366</v>
      </c>
      <c r="AO170" s="59">
        <f t="shared" si="144"/>
        <v>252.04429018409274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6.3423383170679601</v>
      </c>
      <c r="AV170" s="21">
        <f>EXP(-LN(2)/25)*AV169+(1-EXP(-LN(2)/25))/(LN(2)/25)*Calculateur!AQ170*Calculateur!AS170*VLOOKUP('Données projet'!$B$10,Paramètres!$A$1:$I$89,3,0)*0.475*44/12</f>
        <v>0</v>
      </c>
      <c r="AW170" s="21">
        <f>EXP(-LN(2)/2)*AW169+(1-EXP(-LN(2)/2))/(LN(2)/2)*AQ170*AT170*VLOOKUP('Données projet'!$B$10,Paramètres!$A$1:$I$89,3,0)*0.475*44/12</f>
        <v>0</v>
      </c>
      <c r="AX170" s="21">
        <f t="shared" si="166"/>
        <v>6.3423383170679601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243.99999999999989</v>
      </c>
      <c r="BE170" s="13">
        <f>BD170*VLOOKUP('Données projet'!$B$11,Paramètres!$A$1:$I$89,3,0)*VLOOKUP('Données projet'!$B$11,Paramètres!$A$1:$I$89,5,0)</f>
        <v>232.19039999999987</v>
      </c>
      <c r="BF170" s="13">
        <f t="shared" si="167"/>
        <v>56.756035639094556</v>
      </c>
      <c r="BG170" s="20">
        <f t="shared" si="168"/>
        <v>503.24837540475619</v>
      </c>
      <c r="BH170" s="59">
        <f t="shared" si="116"/>
        <v>796.58170873808945</v>
      </c>
      <c r="BI170" s="59">
        <f ca="1">AVERAGE(OFFSET($BH$3,0,0,'Données projet'!$E$11+1,1))-AVERAGE(OFFSET($H$3,0,0,'Données projet'!$E$11+1,1))</f>
        <v>373.51596132356536</v>
      </c>
      <c r="BJ170" s="59">
        <f t="shared" si="146"/>
        <v>417.00150517020114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27.631832544381052</v>
      </c>
      <c r="BQ170" s="21">
        <f>EXP(-LN(2)/25)*BQ169+(1-EXP(-LN(2)/25))/(LN(2)/25)*Calculateur!BL170*Calculateur!BN170*VLOOKUP('Données projet'!$B$11,Paramètres!$A$1:$I$89,3,0)*0.475*44/12</f>
        <v>0</v>
      </c>
      <c r="BR170" s="21">
        <f>EXP(-LN(2)/2)*BR169+(1-EXP(-LN(2)/2))/(LN(2)/2)*BL170*BO170*VLOOKUP('Données projet'!$B$11,Paramètres!$A$1:$I$89,3,0)*0.475*44/12</f>
        <v>0</v>
      </c>
      <c r="BS170" s="22">
        <f t="shared" si="169"/>
        <v>27.631832544381052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267</v>
      </c>
      <c r="BZ170" s="13">
        <f>BY170*VLOOKUP('Données projet'!$B$12,Paramètres!$A$1:$I$89,3,0)*VLOOKUP('Données projet'!$B$12,Paramètres!$A$1:$I$89,5,0)</f>
        <v>241.58159999999998</v>
      </c>
      <c r="CA170" s="13">
        <f t="shared" si="170"/>
        <v>58.779689232021951</v>
      </c>
      <c r="CB170" s="20">
        <f t="shared" si="171"/>
        <v>523.12924541243819</v>
      </c>
      <c r="CC170" s="59">
        <f t="shared" si="119"/>
        <v>816.46257874577145</v>
      </c>
      <c r="CD170" s="59">
        <f ca="1">AVERAGE(OFFSET($CC$3,0,0,'Données projet'!$E$12+1,1))-AVERAGE(OFFSET($H$3,0,0,'Données projet'!$E$12+1,1))</f>
        <v>289.19622253646992</v>
      </c>
      <c r="CE170" s="59">
        <f t="shared" si="148"/>
        <v>191.23827338431175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>
        <f>EXP(-LN(2)/35)*CK169+(1-EXP(-LN(2)/35))/(LN(2)/35)*CG170*CH170*VLOOKUP('Données projet'!$B$12,Paramètres!$A$1:$I$89,3,0)*0.475*44/12</f>
        <v>26.989783619427133</v>
      </c>
      <c r="CL170" s="21">
        <f>EXP(-LN(2)/25)*CL169+(1-EXP(-LN(2)/25))/(LN(2)/25)*Calculateur!CG170*Calculateur!CI170*VLOOKUP('Données projet'!$B$12,Paramètres!$A$1:$I$89,3,0)*0.475*44/12</f>
        <v>0</v>
      </c>
      <c r="CM170" s="21">
        <f>EXP(-LN(2)/2)*CM169+(1-EXP(-LN(2)/2))/(LN(2)/2)*CG170*CJ170*VLOOKUP('Données projet'!$B$12,Paramètres!$A$1:$I$89,3,0)*0.475*44/12</f>
        <v>0</v>
      </c>
      <c r="CN170" s="22">
        <f t="shared" si="172"/>
        <v>26.989783619427133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3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96.969600000000185</v>
      </c>
      <c r="D171" s="11">
        <f t="shared" si="140"/>
        <v>26.238758642904383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951.082066717158</v>
      </c>
      <c r="H171" s="67">
        <f t="shared" si="110"/>
        <v>471.25455796972545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304.99999999999983</v>
      </c>
      <c r="O171" s="13">
        <f>N171*VLOOKUP('Données projet'!$B$9,Paramètres!$A$1:$I$89,3,0)*VLOOKUP('Données projet'!$B$9,Paramètres!$A$1:$I$89,5,0)</f>
        <v>275.96399999999983</v>
      </c>
      <c r="P171" s="13">
        <f t="shared" si="141"/>
        <v>66.113366665488854</v>
      </c>
      <c r="Q171" s="20">
        <f t="shared" si="162"/>
        <v>595.78474694239264</v>
      </c>
      <c r="R171" s="59">
        <f t="shared" si="109"/>
        <v>889.11808027572602</v>
      </c>
      <c r="S171" s="59">
        <f ca="1">AVERAGE(OFFSET($R$3,0,0,'Données projet'!$E$9+1,1))-AVERAGE(OFFSET($H$3,0,0,'Données projet'!$E$9+1,1))</f>
        <v>336.59194805061094</v>
      </c>
      <c r="T171" s="59">
        <f t="shared" si="142"/>
        <v>473.66884161123909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0.54421427334520867</v>
      </c>
      <c r="AA171" s="21">
        <f>EXP(-LN(2)/25)*AA170+(1-EXP(-LN(2)/25))/(LN(2)/25)*Calculateur!V171*Calculateur!X171*VLOOKUP('Données projet'!$B$9,Paramètres!$A$1:$I$89,3,0)*0.475*44/12</f>
        <v>0</v>
      </c>
      <c r="AB171" s="21">
        <f>EXP(-LN(2)/2)*AB170+(1-EXP(-LN(2)/2))/(LN(2)/2)*V171*Y171*VLOOKUP('Données projet'!$B$9,Paramètres!$A$1:$I$89,3,0)*0.475*44/12</f>
        <v>0</v>
      </c>
      <c r="AC171" s="22">
        <f t="shared" si="163"/>
        <v>0.54421427334520867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319</v>
      </c>
      <c r="AJ171" s="13">
        <f>AI171*VLOOKUP('Données projet'!$B$10,Paramètres!$A$1:$I$89,3,0)*VLOOKUP('Données projet'!$B$10,Paramètres!$A$1:$I$89,5,0)</f>
        <v>209.00879999999998</v>
      </c>
      <c r="AK171" s="13">
        <f t="shared" si="164"/>
        <v>51.718923953824202</v>
      </c>
      <c r="AL171" s="20">
        <f t="shared" si="165"/>
        <v>454.10078588624373</v>
      </c>
      <c r="AM171" s="59">
        <f t="shared" si="113"/>
        <v>747.43411921957704</v>
      </c>
      <c r="AN171" s="59">
        <f ca="1">AVERAGE(OFFSET($AM$3,0,0,'Données projet'!$E$10+1,1))-AVERAGE(OFFSET($H$3,0,0,'Données projet'!$E$10+1,1))</f>
        <v>244.66788784685366</v>
      </c>
      <c r="AO171" s="59">
        <f t="shared" si="144"/>
        <v>252.04429018409274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6.2179689311146538</v>
      </c>
      <c r="AV171" s="21">
        <f>EXP(-LN(2)/25)*AV170+(1-EXP(-LN(2)/25))/(LN(2)/25)*Calculateur!AQ171*Calculateur!AS171*VLOOKUP('Données projet'!$B$10,Paramètres!$A$1:$I$89,3,0)*0.475*44/12</f>
        <v>0</v>
      </c>
      <c r="AW171" s="21">
        <f>EXP(-LN(2)/2)*AW170+(1-EXP(-LN(2)/2))/(LN(2)/2)*AQ171*AT171*VLOOKUP('Données projet'!$B$10,Paramètres!$A$1:$I$89,3,0)*0.475*44/12</f>
        <v>0</v>
      </c>
      <c r="AX171" s="21">
        <f t="shared" si="166"/>
        <v>6.2179689311146538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243.99999999999989</v>
      </c>
      <c r="BE171" s="13">
        <f>BD171*VLOOKUP('Données projet'!$B$11,Paramètres!$A$1:$I$89,3,0)*VLOOKUP('Données projet'!$B$11,Paramètres!$A$1:$I$89,5,0)</f>
        <v>232.19039999999987</v>
      </c>
      <c r="BF171" s="13">
        <f t="shared" si="167"/>
        <v>56.756035639094556</v>
      </c>
      <c r="BG171" s="20">
        <f t="shared" si="168"/>
        <v>503.24837540475619</v>
      </c>
      <c r="BH171" s="59">
        <f t="shared" si="116"/>
        <v>796.58170873808945</v>
      </c>
      <c r="BI171" s="59">
        <f ca="1">AVERAGE(OFFSET($BH$3,0,0,'Données projet'!$E$11+1,1))-AVERAGE(OFFSET($H$3,0,0,'Données projet'!$E$11+1,1))</f>
        <v>373.51596132356536</v>
      </c>
      <c r="BJ171" s="59">
        <f t="shared" si="146"/>
        <v>417.00150517020114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27.089989161939421</v>
      </c>
      <c r="BQ171" s="21">
        <f>EXP(-LN(2)/25)*BQ170+(1-EXP(-LN(2)/25))/(LN(2)/25)*Calculateur!BL171*Calculateur!BN171*VLOOKUP('Données projet'!$B$11,Paramètres!$A$1:$I$89,3,0)*0.475*44/12</f>
        <v>0</v>
      </c>
      <c r="BR171" s="21">
        <f>EXP(-LN(2)/2)*BR170+(1-EXP(-LN(2)/2))/(LN(2)/2)*BL171*BO171*VLOOKUP('Données projet'!$B$11,Paramètres!$A$1:$I$89,3,0)*0.475*44/12</f>
        <v>0</v>
      </c>
      <c r="BS171" s="22">
        <f t="shared" si="169"/>
        <v>27.089989161939421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267</v>
      </c>
      <c r="BZ171" s="13">
        <f>BY171*VLOOKUP('Données projet'!$B$12,Paramètres!$A$1:$I$89,3,0)*VLOOKUP('Données projet'!$B$12,Paramètres!$A$1:$I$89,5,0)</f>
        <v>241.58159999999998</v>
      </c>
      <c r="CA171" s="13">
        <f t="shared" si="170"/>
        <v>58.779689232021951</v>
      </c>
      <c r="CB171" s="20">
        <f t="shared" si="171"/>
        <v>523.12924541243819</v>
      </c>
      <c r="CC171" s="59">
        <f t="shared" si="119"/>
        <v>816.46257874577145</v>
      </c>
      <c r="CD171" s="59">
        <f ca="1">AVERAGE(OFFSET($CC$3,0,0,'Données projet'!$E$12+1,1))-AVERAGE(OFFSET($H$3,0,0,'Données projet'!$E$12+1,1))</f>
        <v>289.19622253646992</v>
      </c>
      <c r="CE171" s="59">
        <f t="shared" si="148"/>
        <v>191.23827338431175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>
        <f>EXP(-LN(2)/35)*CK170+(1-EXP(-LN(2)/35))/(LN(2)/35)*CG171*CH171*VLOOKUP('Données projet'!$B$12,Paramètres!$A$1:$I$89,3,0)*0.475*44/12</f>
        <v>26.460530424792672</v>
      </c>
      <c r="CL171" s="21">
        <f>EXP(-LN(2)/25)*CL170+(1-EXP(-LN(2)/25))/(LN(2)/25)*Calculateur!CG171*Calculateur!CI171*VLOOKUP('Données projet'!$B$12,Paramètres!$A$1:$I$89,3,0)*0.475*44/12</f>
        <v>0</v>
      </c>
      <c r="CM171" s="21">
        <f>EXP(-LN(2)/2)*CM170+(1-EXP(-LN(2)/2))/(LN(2)/2)*CG171*CJ171*VLOOKUP('Données projet'!$B$12,Paramètres!$A$1:$I$89,3,0)*0.475*44/12</f>
        <v>0</v>
      </c>
      <c r="CN171" s="22">
        <f t="shared" si="172"/>
        <v>26.460530424792672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3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97.546800000000189</v>
      </c>
      <c r="D172" s="11">
        <f t="shared" si="140"/>
        <v>26.376714315973658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956.60256664962287</v>
      </c>
      <c r="H172" s="67">
        <f t="shared" si="110"/>
        <v>472.50012076698778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304.99999999999983</v>
      </c>
      <c r="O172" s="13">
        <f>N172*VLOOKUP('Données projet'!$B$9,Paramètres!$A$1:$I$89,3,0)*VLOOKUP('Données projet'!$B$9,Paramètres!$A$1:$I$89,5,0)</f>
        <v>275.96399999999983</v>
      </c>
      <c r="P172" s="13">
        <f t="shared" si="141"/>
        <v>66.113366665488854</v>
      </c>
      <c r="Q172" s="20">
        <f t="shared" si="162"/>
        <v>595.78474694239264</v>
      </c>
      <c r="R172" s="59">
        <f t="shared" si="109"/>
        <v>889.11808027572602</v>
      </c>
      <c r="S172" s="59">
        <f ca="1">AVERAGE(OFFSET($R$3,0,0,'Données projet'!$E$9+1,1))-AVERAGE(OFFSET($H$3,0,0,'Données projet'!$E$9+1,1))</f>
        <v>336.59194805061094</v>
      </c>
      <c r="T172" s="59">
        <f t="shared" si="142"/>
        <v>473.66884161123909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0.53354256338283967</v>
      </c>
      <c r="AA172" s="21">
        <f>EXP(-LN(2)/25)*AA171+(1-EXP(-LN(2)/25))/(LN(2)/25)*Calculateur!V172*Calculateur!X172*VLOOKUP('Données projet'!$B$9,Paramètres!$A$1:$I$89,3,0)*0.475*44/12</f>
        <v>0</v>
      </c>
      <c r="AB172" s="21">
        <f>EXP(-LN(2)/2)*AB171+(1-EXP(-LN(2)/2))/(LN(2)/2)*V172*Y172*VLOOKUP('Données projet'!$B$9,Paramètres!$A$1:$I$89,3,0)*0.475*44/12</f>
        <v>0</v>
      </c>
      <c r="AC172" s="22">
        <f t="shared" si="163"/>
        <v>0.53354256338283967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319</v>
      </c>
      <c r="AJ172" s="13">
        <f>AI172*VLOOKUP('Données projet'!$B$10,Paramètres!$A$1:$I$89,3,0)*VLOOKUP('Données projet'!$B$10,Paramètres!$A$1:$I$89,5,0)</f>
        <v>209.00879999999998</v>
      </c>
      <c r="AK172" s="13">
        <f t="shared" si="164"/>
        <v>51.718923953824202</v>
      </c>
      <c r="AL172" s="20">
        <f t="shared" si="165"/>
        <v>454.10078588624373</v>
      </c>
      <c r="AM172" s="59">
        <f t="shared" si="113"/>
        <v>747.43411921957704</v>
      </c>
      <c r="AN172" s="59">
        <f ca="1">AVERAGE(OFFSET($AM$3,0,0,'Données projet'!$E$10+1,1))-AVERAGE(OFFSET($H$3,0,0,'Données projet'!$E$10+1,1))</f>
        <v>244.66788784685366</v>
      </c>
      <c r="AO172" s="59">
        <f t="shared" si="144"/>
        <v>252.04429018409274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6.096038352962057</v>
      </c>
      <c r="AV172" s="21">
        <f>EXP(-LN(2)/25)*AV171+(1-EXP(-LN(2)/25))/(LN(2)/25)*Calculateur!AQ172*Calculateur!AS172*VLOOKUP('Données projet'!$B$10,Paramètres!$A$1:$I$89,3,0)*0.475*44/12</f>
        <v>0</v>
      </c>
      <c r="AW172" s="21">
        <f>EXP(-LN(2)/2)*AW171+(1-EXP(-LN(2)/2))/(LN(2)/2)*AQ172*AT172*VLOOKUP('Données projet'!$B$10,Paramètres!$A$1:$I$89,3,0)*0.475*44/12</f>
        <v>0</v>
      </c>
      <c r="AX172" s="21">
        <f t="shared" si="166"/>
        <v>6.096038352962057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243.99999999999989</v>
      </c>
      <c r="BE172" s="13">
        <f>BD172*VLOOKUP('Données projet'!$B$11,Paramètres!$A$1:$I$89,3,0)*VLOOKUP('Données projet'!$B$11,Paramètres!$A$1:$I$89,5,0)</f>
        <v>232.19039999999987</v>
      </c>
      <c r="BF172" s="13">
        <f t="shared" si="167"/>
        <v>56.756035639094556</v>
      </c>
      <c r="BG172" s="20">
        <f t="shared" si="168"/>
        <v>503.24837540475619</v>
      </c>
      <c r="BH172" s="59">
        <f t="shared" si="116"/>
        <v>796.58170873808945</v>
      </c>
      <c r="BI172" s="59">
        <f ca="1">AVERAGE(OFFSET($BH$3,0,0,'Données projet'!$E$11+1,1))-AVERAGE(OFFSET($H$3,0,0,'Données projet'!$E$11+1,1))</f>
        <v>373.51596132356536</v>
      </c>
      <c r="BJ172" s="59">
        <f t="shared" si="146"/>
        <v>417.00150517020114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26.558770997735643</v>
      </c>
      <c r="BQ172" s="21">
        <f>EXP(-LN(2)/25)*BQ171+(1-EXP(-LN(2)/25))/(LN(2)/25)*Calculateur!BL172*Calculateur!BN172*VLOOKUP('Données projet'!$B$11,Paramètres!$A$1:$I$89,3,0)*0.475*44/12</f>
        <v>0</v>
      </c>
      <c r="BR172" s="21">
        <f>EXP(-LN(2)/2)*BR171+(1-EXP(-LN(2)/2))/(LN(2)/2)*BL172*BO172*VLOOKUP('Données projet'!$B$11,Paramètres!$A$1:$I$89,3,0)*0.475*44/12</f>
        <v>0</v>
      </c>
      <c r="BS172" s="22">
        <f t="shared" si="169"/>
        <v>26.558770997735643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267</v>
      </c>
      <c r="BZ172" s="13">
        <f>BY172*VLOOKUP('Données projet'!$B$12,Paramètres!$A$1:$I$89,3,0)*VLOOKUP('Données projet'!$B$12,Paramètres!$A$1:$I$89,5,0)</f>
        <v>241.58159999999998</v>
      </c>
      <c r="CA172" s="13">
        <f t="shared" si="170"/>
        <v>58.779689232021951</v>
      </c>
      <c r="CB172" s="20">
        <f t="shared" si="171"/>
        <v>523.12924541243819</v>
      </c>
      <c r="CC172" s="59">
        <f t="shared" si="119"/>
        <v>816.46257874577145</v>
      </c>
      <c r="CD172" s="59">
        <f ca="1">AVERAGE(OFFSET($CC$3,0,0,'Données projet'!$E$12+1,1))-AVERAGE(OFFSET($H$3,0,0,'Données projet'!$E$12+1,1))</f>
        <v>289.19622253646992</v>
      </c>
      <c r="CE172" s="59">
        <f t="shared" si="148"/>
        <v>191.23827338431175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>
        <f>EXP(-LN(2)/35)*CK171+(1-EXP(-LN(2)/35))/(LN(2)/35)*CG172*CH172*VLOOKUP('Données projet'!$B$12,Paramètres!$A$1:$I$89,3,0)*0.475*44/12</f>
        <v>25.941655562492421</v>
      </c>
      <c r="CL172" s="21">
        <f>EXP(-LN(2)/25)*CL171+(1-EXP(-LN(2)/25))/(LN(2)/25)*Calculateur!CG172*Calculateur!CI172*VLOOKUP('Données projet'!$B$12,Paramètres!$A$1:$I$89,3,0)*0.475*44/12</f>
        <v>0</v>
      </c>
      <c r="CM172" s="21">
        <f>EXP(-LN(2)/2)*CM171+(1-EXP(-LN(2)/2))/(LN(2)/2)*CG172*CJ172*VLOOKUP('Données projet'!$B$12,Paramètres!$A$1:$I$89,3,0)*0.475*44/12</f>
        <v>0</v>
      </c>
      <c r="CN172" s="22">
        <f t="shared" si="172"/>
        <v>25.941655562492421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3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98.124000000000194</v>
      </c>
      <c r="D173" s="11">
        <f t="shared" si="140"/>
        <v>26.514575003181047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962.12233335789051</v>
      </c>
      <c r="H173" s="67">
        <f t="shared" si="110"/>
        <v>473.74551813054069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304.99999999999983</v>
      </c>
      <c r="O173" s="13">
        <f>N173*VLOOKUP('Données projet'!$B$9,Paramètres!$A$1:$I$89,3,0)*VLOOKUP('Données projet'!$B$9,Paramètres!$A$1:$I$89,5,0)</f>
        <v>275.96399999999983</v>
      </c>
      <c r="P173" s="13">
        <f t="shared" si="141"/>
        <v>66.113366665488854</v>
      </c>
      <c r="Q173" s="20">
        <f t="shared" si="162"/>
        <v>595.78474694239264</v>
      </c>
      <c r="R173" s="59">
        <f t="shared" si="109"/>
        <v>889.11808027572602</v>
      </c>
      <c r="S173" s="59">
        <f ca="1">AVERAGE(OFFSET($R$3,0,0,'Données projet'!$E$9+1,1))-AVERAGE(OFFSET($H$3,0,0,'Données projet'!$E$9+1,1))</f>
        <v>336.59194805061094</v>
      </c>
      <c r="T173" s="59">
        <f t="shared" si="142"/>
        <v>473.66884161123909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0.52308011914373242</v>
      </c>
      <c r="AA173" s="21">
        <f>EXP(-LN(2)/25)*AA172+(1-EXP(-LN(2)/25))/(LN(2)/25)*Calculateur!V173*Calculateur!X173*VLOOKUP('Données projet'!$B$9,Paramètres!$A$1:$I$89,3,0)*0.475*44/12</f>
        <v>0</v>
      </c>
      <c r="AB173" s="21">
        <f>EXP(-LN(2)/2)*AB172+(1-EXP(-LN(2)/2))/(LN(2)/2)*V173*Y173*VLOOKUP('Données projet'!$B$9,Paramètres!$A$1:$I$89,3,0)*0.475*44/12</f>
        <v>0</v>
      </c>
      <c r="AC173" s="22">
        <f t="shared" si="163"/>
        <v>0.52308011914373242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319</v>
      </c>
      <c r="AJ173" s="13">
        <f>AI173*VLOOKUP('Données projet'!$B$10,Paramètres!$A$1:$I$89,3,0)*VLOOKUP('Données projet'!$B$10,Paramètres!$A$1:$I$89,5,0)</f>
        <v>209.00879999999998</v>
      </c>
      <c r="AK173" s="13">
        <f t="shared" si="164"/>
        <v>51.718923953824202</v>
      </c>
      <c r="AL173" s="20">
        <f t="shared" si="165"/>
        <v>454.10078588624373</v>
      </c>
      <c r="AM173" s="59">
        <f t="shared" si="113"/>
        <v>747.43411921957704</v>
      </c>
      <c r="AN173" s="59">
        <f ca="1">AVERAGE(OFFSET($AM$3,0,0,'Données projet'!$E$10+1,1))-AVERAGE(OFFSET($H$3,0,0,'Données projet'!$E$10+1,1))</f>
        <v>244.66788784685366</v>
      </c>
      <c r="AO173" s="59">
        <f t="shared" si="144"/>
        <v>252.04429018409274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5.9764987590767227</v>
      </c>
      <c r="AV173" s="21">
        <f>EXP(-LN(2)/25)*AV172+(1-EXP(-LN(2)/25))/(LN(2)/25)*Calculateur!AQ173*Calculateur!AS173*VLOOKUP('Données projet'!$B$10,Paramètres!$A$1:$I$89,3,0)*0.475*44/12</f>
        <v>0</v>
      </c>
      <c r="AW173" s="21">
        <f>EXP(-LN(2)/2)*AW172+(1-EXP(-LN(2)/2))/(LN(2)/2)*AQ173*AT173*VLOOKUP('Données projet'!$B$10,Paramètres!$A$1:$I$89,3,0)*0.475*44/12</f>
        <v>0</v>
      </c>
      <c r="AX173" s="21">
        <f t="shared" si="166"/>
        <v>5.9764987590767227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243.99999999999989</v>
      </c>
      <c r="BE173" s="13">
        <f>BD173*VLOOKUP('Données projet'!$B$11,Paramètres!$A$1:$I$89,3,0)*VLOOKUP('Données projet'!$B$11,Paramètres!$A$1:$I$89,5,0)</f>
        <v>232.19039999999987</v>
      </c>
      <c r="BF173" s="13">
        <f t="shared" si="167"/>
        <v>56.756035639094556</v>
      </c>
      <c r="BG173" s="20">
        <f t="shared" si="168"/>
        <v>503.24837540475619</v>
      </c>
      <c r="BH173" s="59">
        <f t="shared" si="116"/>
        <v>796.58170873808945</v>
      </c>
      <c r="BI173" s="59">
        <f ca="1">AVERAGE(OFFSET($BH$3,0,0,'Données projet'!$E$11+1,1))-AVERAGE(OFFSET($H$3,0,0,'Données projet'!$E$11+1,1))</f>
        <v>373.51596132356536</v>
      </c>
      <c r="BJ173" s="59">
        <f t="shared" si="146"/>
        <v>417.00150517020114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26.037969697720811</v>
      </c>
      <c r="BQ173" s="21">
        <f>EXP(-LN(2)/25)*BQ172+(1-EXP(-LN(2)/25))/(LN(2)/25)*Calculateur!BL173*Calculateur!BN173*VLOOKUP('Données projet'!$B$11,Paramètres!$A$1:$I$89,3,0)*0.475*44/12</f>
        <v>0</v>
      </c>
      <c r="BR173" s="21">
        <f>EXP(-LN(2)/2)*BR172+(1-EXP(-LN(2)/2))/(LN(2)/2)*BL173*BO173*VLOOKUP('Données projet'!$B$11,Paramètres!$A$1:$I$89,3,0)*0.475*44/12</f>
        <v>0</v>
      </c>
      <c r="BS173" s="22">
        <f t="shared" si="169"/>
        <v>26.037969697720811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267</v>
      </c>
      <c r="BZ173" s="13">
        <f>BY173*VLOOKUP('Données projet'!$B$12,Paramètres!$A$1:$I$89,3,0)*VLOOKUP('Données projet'!$B$12,Paramètres!$A$1:$I$89,5,0)</f>
        <v>241.58159999999998</v>
      </c>
      <c r="CA173" s="13">
        <f t="shared" si="170"/>
        <v>58.779689232021951</v>
      </c>
      <c r="CB173" s="20">
        <f t="shared" si="171"/>
        <v>523.12924541243819</v>
      </c>
      <c r="CC173" s="59">
        <f t="shared" si="119"/>
        <v>816.46257874577145</v>
      </c>
      <c r="CD173" s="59">
        <f ca="1">AVERAGE(OFFSET($CC$3,0,0,'Données projet'!$E$12+1,1))-AVERAGE(OFFSET($H$3,0,0,'Données projet'!$E$12+1,1))</f>
        <v>289.19622253646992</v>
      </c>
      <c r="CE173" s="59">
        <f t="shared" si="148"/>
        <v>191.23827338431175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>
        <f>EXP(-LN(2)/35)*CK172+(1-EXP(-LN(2)/35))/(LN(2)/35)*CG173*CH173*VLOOKUP('Données projet'!$B$12,Paramètres!$A$1:$I$89,3,0)*0.475*44/12</f>
        <v>25.43295551975946</v>
      </c>
      <c r="CL173" s="21">
        <f>EXP(-LN(2)/25)*CL172+(1-EXP(-LN(2)/25))/(LN(2)/25)*Calculateur!CG173*Calculateur!CI173*VLOOKUP('Données projet'!$B$12,Paramètres!$A$1:$I$89,3,0)*0.475*44/12</f>
        <v>0</v>
      </c>
      <c r="CM173" s="21">
        <f>EXP(-LN(2)/2)*CM172+(1-EXP(-LN(2)/2))/(LN(2)/2)*CG173*CJ173*VLOOKUP('Données projet'!$B$12,Paramètres!$A$1:$I$89,3,0)*0.475*44/12</f>
        <v>0</v>
      </c>
      <c r="CN173" s="22">
        <f t="shared" si="172"/>
        <v>25.43295551975946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3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98.701200000000199</v>
      </c>
      <c r="D174" s="11">
        <f t="shared" si="140"/>
        <v>26.65234132809799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967.64137165549494</v>
      </c>
      <c r="H174" s="67">
        <f t="shared" si="110"/>
        <v>474.99075114643767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304.99999999999983</v>
      </c>
      <c r="O174" s="13">
        <f>N174*VLOOKUP('Données projet'!$B$9,Paramètres!$A$1:$I$89,3,0)*VLOOKUP('Données projet'!$B$9,Paramètres!$A$1:$I$89,5,0)</f>
        <v>275.96399999999983</v>
      </c>
      <c r="P174" s="13">
        <f t="shared" si="141"/>
        <v>66.113366665488854</v>
      </c>
      <c r="Q174" s="20">
        <f t="shared" si="162"/>
        <v>595.78474694239264</v>
      </c>
      <c r="R174" s="59">
        <f t="shared" si="109"/>
        <v>889.11808027572602</v>
      </c>
      <c r="S174" s="59">
        <f ca="1">AVERAGE(OFFSET($R$3,0,0,'Données projet'!$E$9+1,1))-AVERAGE(OFFSET($H$3,0,0,'Données projet'!$E$9+1,1))</f>
        <v>336.59194805061094</v>
      </c>
      <c r="T174" s="59">
        <f t="shared" si="142"/>
        <v>473.66884161123909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0.51282283705469323</v>
      </c>
      <c r="AA174" s="21">
        <f>EXP(-LN(2)/25)*AA173+(1-EXP(-LN(2)/25))/(LN(2)/25)*Calculateur!V174*Calculateur!X174*VLOOKUP('Données projet'!$B$9,Paramètres!$A$1:$I$89,3,0)*0.475*44/12</f>
        <v>0</v>
      </c>
      <c r="AB174" s="21">
        <f>EXP(-LN(2)/2)*AB173+(1-EXP(-LN(2)/2))/(LN(2)/2)*V174*Y174*VLOOKUP('Données projet'!$B$9,Paramètres!$A$1:$I$89,3,0)*0.475*44/12</f>
        <v>0</v>
      </c>
      <c r="AC174" s="22">
        <f t="shared" si="163"/>
        <v>0.51282283705469323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319</v>
      </c>
      <c r="AJ174" s="13">
        <f>AI174*VLOOKUP('Données projet'!$B$10,Paramètres!$A$1:$I$89,3,0)*VLOOKUP('Données projet'!$B$10,Paramètres!$A$1:$I$89,5,0)</f>
        <v>209.00879999999998</v>
      </c>
      <c r="AK174" s="13">
        <f t="shared" si="164"/>
        <v>51.718923953824202</v>
      </c>
      <c r="AL174" s="20">
        <f t="shared" si="165"/>
        <v>454.10078588624373</v>
      </c>
      <c r="AM174" s="59">
        <f t="shared" si="113"/>
        <v>747.43411921957704</v>
      </c>
      <c r="AN174" s="59">
        <f ca="1">AVERAGE(OFFSET($AM$3,0,0,'Données projet'!$E$10+1,1))-AVERAGE(OFFSET($H$3,0,0,'Données projet'!$E$10+1,1))</f>
        <v>244.66788784685366</v>
      </c>
      <c r="AO174" s="59">
        <f t="shared" si="144"/>
        <v>252.04429018409274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5.8593032637155273</v>
      </c>
      <c r="AV174" s="21">
        <f>EXP(-LN(2)/25)*AV173+(1-EXP(-LN(2)/25))/(LN(2)/25)*Calculateur!AQ174*Calculateur!AS174*VLOOKUP('Données projet'!$B$10,Paramètres!$A$1:$I$89,3,0)*0.475*44/12</f>
        <v>0</v>
      </c>
      <c r="AW174" s="21">
        <f>EXP(-LN(2)/2)*AW173+(1-EXP(-LN(2)/2))/(LN(2)/2)*AQ174*AT174*VLOOKUP('Données projet'!$B$10,Paramètres!$A$1:$I$89,3,0)*0.475*44/12</f>
        <v>0</v>
      </c>
      <c r="AX174" s="21">
        <f t="shared" si="166"/>
        <v>5.8593032637155273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243.99999999999989</v>
      </c>
      <c r="BE174" s="13">
        <f>BD174*VLOOKUP('Données projet'!$B$11,Paramètres!$A$1:$I$89,3,0)*VLOOKUP('Données projet'!$B$11,Paramètres!$A$1:$I$89,5,0)</f>
        <v>232.19039999999987</v>
      </c>
      <c r="BF174" s="13">
        <f t="shared" si="167"/>
        <v>56.756035639094556</v>
      </c>
      <c r="BG174" s="20">
        <f t="shared" si="168"/>
        <v>503.24837540475619</v>
      </c>
      <c r="BH174" s="59">
        <f t="shared" si="116"/>
        <v>796.58170873808945</v>
      </c>
      <c r="BI174" s="59">
        <f ca="1">AVERAGE(OFFSET($BH$3,0,0,'Données projet'!$E$11+1,1))-AVERAGE(OFFSET($H$3,0,0,'Données projet'!$E$11+1,1))</f>
        <v>373.51596132356536</v>
      </c>
      <c r="BJ174" s="59">
        <f t="shared" si="146"/>
        <v>417.00150517020114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25.527380993541843</v>
      </c>
      <c r="BQ174" s="21">
        <f>EXP(-LN(2)/25)*BQ173+(1-EXP(-LN(2)/25))/(LN(2)/25)*Calculateur!BL174*Calculateur!BN174*VLOOKUP('Données projet'!$B$11,Paramètres!$A$1:$I$89,3,0)*0.475*44/12</f>
        <v>0</v>
      </c>
      <c r="BR174" s="21">
        <f>EXP(-LN(2)/2)*BR173+(1-EXP(-LN(2)/2))/(LN(2)/2)*BL174*BO174*VLOOKUP('Données projet'!$B$11,Paramètres!$A$1:$I$89,3,0)*0.475*44/12</f>
        <v>0</v>
      </c>
      <c r="BS174" s="22">
        <f t="shared" si="169"/>
        <v>25.527380993541843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267</v>
      </c>
      <c r="BZ174" s="13">
        <f>BY174*VLOOKUP('Données projet'!$B$12,Paramètres!$A$1:$I$89,3,0)*VLOOKUP('Données projet'!$B$12,Paramètres!$A$1:$I$89,5,0)</f>
        <v>241.58159999999998</v>
      </c>
      <c r="CA174" s="13">
        <f t="shared" si="170"/>
        <v>58.779689232021951</v>
      </c>
      <c r="CB174" s="20">
        <f t="shared" si="171"/>
        <v>523.12924541243819</v>
      </c>
      <c r="CC174" s="59">
        <f t="shared" si="119"/>
        <v>816.46257874577145</v>
      </c>
      <c r="CD174" s="59">
        <f ca="1">AVERAGE(OFFSET($CC$3,0,0,'Données projet'!$E$12+1,1))-AVERAGE(OFFSET($H$3,0,0,'Données projet'!$E$12+1,1))</f>
        <v>289.19622253646992</v>
      </c>
      <c r="CE174" s="59">
        <f t="shared" si="148"/>
        <v>191.23827338431175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>
        <f>EXP(-LN(2)/35)*CK173+(1-EXP(-LN(2)/35))/(LN(2)/35)*CG174*CH174*VLOOKUP('Données projet'!$B$12,Paramètres!$A$1:$I$89,3,0)*0.475*44/12</f>
        <v>24.934230774588105</v>
      </c>
      <c r="CL174" s="21">
        <f>EXP(-LN(2)/25)*CL173+(1-EXP(-LN(2)/25))/(LN(2)/25)*Calculateur!CG174*Calculateur!CI174*VLOOKUP('Données projet'!$B$12,Paramètres!$A$1:$I$89,3,0)*0.475*44/12</f>
        <v>0</v>
      </c>
      <c r="CM174" s="21">
        <f>EXP(-LN(2)/2)*CM173+(1-EXP(-LN(2)/2))/(LN(2)/2)*CG174*CJ174*VLOOKUP('Données projet'!$B$12,Paramètres!$A$1:$I$89,3,0)*0.475*44/12</f>
        <v>0</v>
      </c>
      <c r="CN174" s="22">
        <f t="shared" si="172"/>
        <v>24.934230774588105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3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99.278400000000204</v>
      </c>
      <c r="D175" s="11">
        <f t="shared" si="140"/>
        <v>26.790013906580725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973.15968629641429</v>
      </c>
      <c r="H175" s="67">
        <f t="shared" si="110"/>
        <v>476.23582088729512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304.99999999999983</v>
      </c>
      <c r="O175" s="13">
        <f>N175*VLOOKUP('Données projet'!$B$9,Paramètres!$A$1:$I$89,3,0)*VLOOKUP('Données projet'!$B$9,Paramètres!$A$1:$I$89,5,0)</f>
        <v>275.96399999999983</v>
      </c>
      <c r="P175" s="13">
        <f t="shared" si="141"/>
        <v>66.113366665488854</v>
      </c>
      <c r="Q175" s="20">
        <f t="shared" si="162"/>
        <v>595.78474694239264</v>
      </c>
      <c r="R175" s="59">
        <f t="shared" si="109"/>
        <v>889.11808027572602</v>
      </c>
      <c r="S175" s="59">
        <f ca="1">AVERAGE(OFFSET($R$3,0,0,'Données projet'!$E$9+1,1))-AVERAGE(OFFSET($H$3,0,0,'Données projet'!$E$9+1,1))</f>
        <v>336.59194805061094</v>
      </c>
      <c r="T175" s="59">
        <f t="shared" si="142"/>
        <v>473.66884161123909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0.50276669401109575</v>
      </c>
      <c r="AA175" s="21">
        <f>EXP(-LN(2)/25)*AA174+(1-EXP(-LN(2)/25))/(LN(2)/25)*Calculateur!V175*Calculateur!X175*VLOOKUP('Données projet'!$B$9,Paramètres!$A$1:$I$89,3,0)*0.475*44/12</f>
        <v>0</v>
      </c>
      <c r="AB175" s="21">
        <f>EXP(-LN(2)/2)*AB174+(1-EXP(-LN(2)/2))/(LN(2)/2)*V175*Y175*VLOOKUP('Données projet'!$B$9,Paramètres!$A$1:$I$89,3,0)*0.475*44/12</f>
        <v>0</v>
      </c>
      <c r="AC175" s="22">
        <f t="shared" si="163"/>
        <v>0.50276669401109575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319</v>
      </c>
      <c r="AJ175" s="13">
        <f>AI175*VLOOKUP('Données projet'!$B$10,Paramètres!$A$1:$I$89,3,0)*VLOOKUP('Données projet'!$B$10,Paramètres!$A$1:$I$89,5,0)</f>
        <v>209.00879999999998</v>
      </c>
      <c r="AK175" s="13">
        <f t="shared" si="164"/>
        <v>51.718923953824202</v>
      </c>
      <c r="AL175" s="20">
        <f t="shared" si="165"/>
        <v>454.10078588624373</v>
      </c>
      <c r="AM175" s="59">
        <f t="shared" si="113"/>
        <v>747.43411921957704</v>
      </c>
      <c r="AN175" s="59">
        <f ca="1">AVERAGE(OFFSET($AM$3,0,0,'Données projet'!$E$10+1,1))-AVERAGE(OFFSET($H$3,0,0,'Données projet'!$E$10+1,1))</f>
        <v>244.66788784685366</v>
      </c>
      <c r="AO175" s="59">
        <f t="shared" si="144"/>
        <v>252.04429018409274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5.7444059005361714</v>
      </c>
      <c r="AV175" s="21">
        <f>EXP(-LN(2)/25)*AV174+(1-EXP(-LN(2)/25))/(LN(2)/25)*Calculateur!AQ175*Calculateur!AS175*VLOOKUP('Données projet'!$B$10,Paramètres!$A$1:$I$89,3,0)*0.475*44/12</f>
        <v>0</v>
      </c>
      <c r="AW175" s="21">
        <f>EXP(-LN(2)/2)*AW174+(1-EXP(-LN(2)/2))/(LN(2)/2)*AQ175*AT175*VLOOKUP('Données projet'!$B$10,Paramètres!$A$1:$I$89,3,0)*0.475*44/12</f>
        <v>0</v>
      </c>
      <c r="AX175" s="21">
        <f t="shared" si="166"/>
        <v>5.7444059005361714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243.99999999999989</v>
      </c>
      <c r="BE175" s="13">
        <f>BD175*VLOOKUP('Données projet'!$B$11,Paramètres!$A$1:$I$89,3,0)*VLOOKUP('Données projet'!$B$11,Paramètres!$A$1:$I$89,5,0)</f>
        <v>232.19039999999987</v>
      </c>
      <c r="BF175" s="13">
        <f t="shared" si="167"/>
        <v>56.756035639094556</v>
      </c>
      <c r="BG175" s="20">
        <f t="shared" si="168"/>
        <v>503.24837540475619</v>
      </c>
      <c r="BH175" s="59">
        <f t="shared" si="116"/>
        <v>796.58170873808945</v>
      </c>
      <c r="BI175" s="59">
        <f ca="1">AVERAGE(OFFSET($BH$3,0,0,'Données projet'!$E$11+1,1))-AVERAGE(OFFSET($H$3,0,0,'Données projet'!$E$11+1,1))</f>
        <v>373.51596132356536</v>
      </c>
      <c r="BJ175" s="59">
        <f t="shared" si="146"/>
        <v>417.00150517020114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25.026804622423469</v>
      </c>
      <c r="BQ175" s="21">
        <f>EXP(-LN(2)/25)*BQ174+(1-EXP(-LN(2)/25))/(LN(2)/25)*Calculateur!BL175*Calculateur!BN175*VLOOKUP('Données projet'!$B$11,Paramètres!$A$1:$I$89,3,0)*0.475*44/12</f>
        <v>0</v>
      </c>
      <c r="BR175" s="21">
        <f>EXP(-LN(2)/2)*BR174+(1-EXP(-LN(2)/2))/(LN(2)/2)*BL175*BO175*VLOOKUP('Données projet'!$B$11,Paramètres!$A$1:$I$89,3,0)*0.475*44/12</f>
        <v>0</v>
      </c>
      <c r="BS175" s="22">
        <f t="shared" si="169"/>
        <v>25.026804622423469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267</v>
      </c>
      <c r="BZ175" s="13">
        <f>BY175*VLOOKUP('Données projet'!$B$12,Paramètres!$A$1:$I$89,3,0)*VLOOKUP('Données projet'!$B$12,Paramètres!$A$1:$I$89,5,0)</f>
        <v>241.58159999999998</v>
      </c>
      <c r="CA175" s="13">
        <f t="shared" si="170"/>
        <v>58.779689232021951</v>
      </c>
      <c r="CB175" s="20">
        <f t="shared" si="171"/>
        <v>523.12924541243819</v>
      </c>
      <c r="CC175" s="59">
        <f t="shared" si="119"/>
        <v>816.46257874577145</v>
      </c>
      <c r="CD175" s="59">
        <f ca="1">AVERAGE(OFFSET($CC$3,0,0,'Données projet'!$E$12+1,1))-AVERAGE(OFFSET($H$3,0,0,'Données projet'!$E$12+1,1))</f>
        <v>289.19622253646992</v>
      </c>
      <c r="CE175" s="59">
        <f t="shared" si="148"/>
        <v>191.23827338431175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>
        <f>EXP(-LN(2)/35)*CK174+(1-EXP(-LN(2)/35))/(LN(2)/35)*CG175*CH175*VLOOKUP('Données projet'!$B$12,Paramètres!$A$1:$I$89,3,0)*0.475*44/12</f>
        <v>24.445285717477503</v>
      </c>
      <c r="CL175" s="21">
        <f>EXP(-LN(2)/25)*CL174+(1-EXP(-LN(2)/25))/(LN(2)/25)*Calculateur!CG175*Calculateur!CI175*VLOOKUP('Données projet'!$B$12,Paramètres!$A$1:$I$89,3,0)*0.475*44/12</f>
        <v>0</v>
      </c>
      <c r="CM175" s="21">
        <f>EXP(-LN(2)/2)*CM174+(1-EXP(-LN(2)/2))/(LN(2)/2)*CG175*CJ175*VLOOKUP('Données projet'!$B$12,Paramètres!$A$1:$I$89,3,0)*0.475*44/12</f>
        <v>0</v>
      </c>
      <c r="CN175" s="22">
        <f t="shared" si="172"/>
        <v>24.445285717477503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3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99.855600000000209</v>
      </c>
      <c r="D176" s="11">
        <f t="shared" si="140"/>
        <v>26.927593346910072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978.67728197614963</v>
      </c>
      <c r="H176" s="67">
        <f t="shared" si="110"/>
        <v>477.48072841253543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304.99999999999983</v>
      </c>
      <c r="O176" s="13">
        <f>N176*VLOOKUP('Données projet'!$B$9,Paramètres!$A$1:$I$89,3,0)*VLOOKUP('Données projet'!$B$9,Paramètres!$A$1:$I$89,5,0)</f>
        <v>275.96399999999983</v>
      </c>
      <c r="P176" s="13">
        <f t="shared" si="141"/>
        <v>66.113366665488854</v>
      </c>
      <c r="Q176" s="20">
        <f t="shared" si="162"/>
        <v>595.78474694239264</v>
      </c>
      <c r="R176" s="59">
        <f t="shared" si="109"/>
        <v>889.11808027572602</v>
      </c>
      <c r="S176" s="59">
        <f ca="1">AVERAGE(OFFSET($R$3,0,0,'Données projet'!$E$9+1,1))-AVERAGE(OFFSET($H$3,0,0,'Données projet'!$E$9+1,1))</f>
        <v>336.59194805061094</v>
      </c>
      <c r="T176" s="59">
        <f t="shared" si="142"/>
        <v>473.66884161123909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0.49290774579894159</v>
      </c>
      <c r="AA176" s="21">
        <f>EXP(-LN(2)/25)*AA175+(1-EXP(-LN(2)/25))/(LN(2)/25)*Calculateur!V176*Calculateur!X176*VLOOKUP('Données projet'!$B$9,Paramètres!$A$1:$I$89,3,0)*0.475*44/12</f>
        <v>0</v>
      </c>
      <c r="AB176" s="21">
        <f>EXP(-LN(2)/2)*AB175+(1-EXP(-LN(2)/2))/(LN(2)/2)*V176*Y176*VLOOKUP('Données projet'!$B$9,Paramètres!$A$1:$I$89,3,0)*0.475*44/12</f>
        <v>0</v>
      </c>
      <c r="AC176" s="22">
        <f t="shared" si="163"/>
        <v>0.49290774579894159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319</v>
      </c>
      <c r="AJ176" s="13">
        <f>AI176*VLOOKUP('Données projet'!$B$10,Paramètres!$A$1:$I$89,3,0)*VLOOKUP('Données projet'!$B$10,Paramètres!$A$1:$I$89,5,0)</f>
        <v>209.00879999999998</v>
      </c>
      <c r="AK176" s="13">
        <f t="shared" si="164"/>
        <v>51.718923953824202</v>
      </c>
      <c r="AL176" s="20">
        <f t="shared" si="165"/>
        <v>454.10078588624373</v>
      </c>
      <c r="AM176" s="59">
        <f t="shared" si="113"/>
        <v>747.43411921957704</v>
      </c>
      <c r="AN176" s="59">
        <f ca="1">AVERAGE(OFFSET($AM$3,0,0,'Données projet'!$E$10+1,1))-AVERAGE(OFFSET($H$3,0,0,'Données projet'!$E$10+1,1))</f>
        <v>244.66788784685366</v>
      </c>
      <c r="AO176" s="59">
        <f t="shared" si="144"/>
        <v>252.04429018409274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5.6317616045682906</v>
      </c>
      <c r="AV176" s="21">
        <f>EXP(-LN(2)/25)*AV175+(1-EXP(-LN(2)/25))/(LN(2)/25)*Calculateur!AQ176*Calculateur!AS176*VLOOKUP('Données projet'!$B$10,Paramètres!$A$1:$I$89,3,0)*0.475*44/12</f>
        <v>0</v>
      </c>
      <c r="AW176" s="21">
        <f>EXP(-LN(2)/2)*AW175+(1-EXP(-LN(2)/2))/(LN(2)/2)*AQ176*AT176*VLOOKUP('Données projet'!$B$10,Paramètres!$A$1:$I$89,3,0)*0.475*44/12</f>
        <v>0</v>
      </c>
      <c r="AX176" s="21">
        <f t="shared" si="166"/>
        <v>5.6317616045682906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243.99999999999989</v>
      </c>
      <c r="BE176" s="13">
        <f>BD176*VLOOKUP('Données projet'!$B$11,Paramètres!$A$1:$I$89,3,0)*VLOOKUP('Données projet'!$B$11,Paramètres!$A$1:$I$89,5,0)</f>
        <v>232.19039999999987</v>
      </c>
      <c r="BF176" s="13">
        <f t="shared" si="167"/>
        <v>56.756035639094556</v>
      </c>
      <c r="BG176" s="20">
        <f t="shared" si="168"/>
        <v>503.24837540475619</v>
      </c>
      <c r="BH176" s="59">
        <f t="shared" si="116"/>
        <v>796.58170873808945</v>
      </c>
      <c r="BI176" s="59">
        <f ca="1">AVERAGE(OFFSET($BH$3,0,0,'Données projet'!$E$11+1,1))-AVERAGE(OFFSET($H$3,0,0,'Données projet'!$E$11+1,1))</f>
        <v>373.51596132356536</v>
      </c>
      <c r="BJ176" s="59">
        <f t="shared" si="146"/>
        <v>417.00150517020114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24.536044248621288</v>
      </c>
      <c r="BQ176" s="21">
        <f>EXP(-LN(2)/25)*BQ175+(1-EXP(-LN(2)/25))/(LN(2)/25)*Calculateur!BL176*Calculateur!BN176*VLOOKUP('Données projet'!$B$11,Paramètres!$A$1:$I$89,3,0)*0.475*44/12</f>
        <v>0</v>
      </c>
      <c r="BR176" s="21">
        <f>EXP(-LN(2)/2)*BR175+(1-EXP(-LN(2)/2))/(LN(2)/2)*BL176*BO176*VLOOKUP('Données projet'!$B$11,Paramètres!$A$1:$I$89,3,0)*0.475*44/12</f>
        <v>0</v>
      </c>
      <c r="BS176" s="22">
        <f t="shared" si="169"/>
        <v>24.536044248621288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267</v>
      </c>
      <c r="BZ176" s="13">
        <f>BY176*VLOOKUP('Données projet'!$B$12,Paramètres!$A$1:$I$89,3,0)*VLOOKUP('Données projet'!$B$12,Paramètres!$A$1:$I$89,5,0)</f>
        <v>241.58159999999998</v>
      </c>
      <c r="CA176" s="13">
        <f t="shared" si="170"/>
        <v>58.779689232021951</v>
      </c>
      <c r="CB176" s="20">
        <f t="shared" si="171"/>
        <v>523.12924541243819</v>
      </c>
      <c r="CC176" s="59">
        <f t="shared" si="119"/>
        <v>816.46257874577145</v>
      </c>
      <c r="CD176" s="59">
        <f ca="1">AVERAGE(OFFSET($CC$3,0,0,'Données projet'!$E$12+1,1))-AVERAGE(OFFSET($H$3,0,0,'Données projet'!$E$12+1,1))</f>
        <v>289.19622253646992</v>
      </c>
      <c r="CE176" s="59">
        <f t="shared" si="148"/>
        <v>191.23827338431175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>
        <f>EXP(-LN(2)/35)*CK175+(1-EXP(-LN(2)/35))/(LN(2)/35)*CG176*CH176*VLOOKUP('Données projet'!$B$12,Paramètres!$A$1:$I$89,3,0)*0.475*44/12</f>
        <v>23.965928574709803</v>
      </c>
      <c r="CL176" s="21">
        <f>EXP(-LN(2)/25)*CL175+(1-EXP(-LN(2)/25))/(LN(2)/25)*Calculateur!CG176*Calculateur!CI176*VLOOKUP('Données projet'!$B$12,Paramètres!$A$1:$I$89,3,0)*0.475*44/12</f>
        <v>0</v>
      </c>
      <c r="CM176" s="21">
        <f>EXP(-LN(2)/2)*CM175+(1-EXP(-LN(2)/2))/(LN(2)/2)*CG176*CJ176*VLOOKUP('Données projet'!$B$12,Paramètres!$A$1:$I$89,3,0)*0.475*44/12</f>
        <v>0</v>
      </c>
      <c r="CN176" s="22">
        <f t="shared" si="172"/>
        <v>23.965928574709803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3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100.43280000000021</v>
      </c>
      <c r="D177" s="11">
        <f t="shared" si="140"/>
        <v>27.065080249927746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984.19416333277729</v>
      </c>
      <c r="H177" s="67">
        <f t="shared" si="110"/>
        <v>478.72547476862457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304.99999999999983</v>
      </c>
      <c r="O177" s="13">
        <f>N177*VLOOKUP('Données projet'!$B$9,Paramètres!$A$1:$I$89,3,0)*VLOOKUP('Données projet'!$B$9,Paramètres!$A$1:$I$89,5,0)</f>
        <v>275.96399999999983</v>
      </c>
      <c r="P177" s="13">
        <f t="shared" si="141"/>
        <v>66.113366665488854</v>
      </c>
      <c r="Q177" s="20">
        <f t="shared" si="162"/>
        <v>595.78474694239264</v>
      </c>
      <c r="R177" s="59">
        <f t="shared" si="109"/>
        <v>889.11808027572602</v>
      </c>
      <c r="S177" s="59">
        <f ca="1">AVERAGE(OFFSET($R$3,0,0,'Données projet'!$E$9+1,1))-AVERAGE(OFFSET($H$3,0,0,'Données projet'!$E$9+1,1))</f>
        <v>336.59194805061094</v>
      </c>
      <c r="T177" s="59">
        <f t="shared" si="142"/>
        <v>473.66884161123909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0.48324212554786317</v>
      </c>
      <c r="AA177" s="21">
        <f>EXP(-LN(2)/25)*AA176+(1-EXP(-LN(2)/25))/(LN(2)/25)*Calculateur!V177*Calculateur!X177*VLOOKUP('Données projet'!$B$9,Paramètres!$A$1:$I$89,3,0)*0.475*44/12</f>
        <v>0</v>
      </c>
      <c r="AB177" s="21">
        <f>EXP(-LN(2)/2)*AB176+(1-EXP(-LN(2)/2))/(LN(2)/2)*V177*Y177*VLOOKUP('Données projet'!$B$9,Paramètres!$A$1:$I$89,3,0)*0.475*44/12</f>
        <v>0</v>
      </c>
      <c r="AC177" s="22">
        <f t="shared" si="163"/>
        <v>0.48324212554786317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319</v>
      </c>
      <c r="AJ177" s="13">
        <f>AI177*VLOOKUP('Données projet'!$B$10,Paramètres!$A$1:$I$89,3,0)*VLOOKUP('Données projet'!$B$10,Paramètres!$A$1:$I$89,5,0)</f>
        <v>209.00879999999998</v>
      </c>
      <c r="AK177" s="13">
        <f t="shared" si="164"/>
        <v>51.718923953824202</v>
      </c>
      <c r="AL177" s="20">
        <f t="shared" si="165"/>
        <v>454.10078588624373</v>
      </c>
      <c r="AM177" s="59">
        <f t="shared" si="113"/>
        <v>747.43411921957704</v>
      </c>
      <c r="AN177" s="59">
        <f ca="1">AVERAGE(OFFSET($AM$3,0,0,'Données projet'!$E$10+1,1))-AVERAGE(OFFSET($H$3,0,0,'Données projet'!$E$10+1,1))</f>
        <v>244.66788784685366</v>
      </c>
      <c r="AO177" s="59">
        <f t="shared" si="144"/>
        <v>252.04429018409274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5.521326194538104</v>
      </c>
      <c r="AV177" s="21">
        <f>EXP(-LN(2)/25)*AV176+(1-EXP(-LN(2)/25))/(LN(2)/25)*Calculateur!AQ177*Calculateur!AS177*VLOOKUP('Données projet'!$B$10,Paramètres!$A$1:$I$89,3,0)*0.475*44/12</f>
        <v>0</v>
      </c>
      <c r="AW177" s="21">
        <f>EXP(-LN(2)/2)*AW176+(1-EXP(-LN(2)/2))/(LN(2)/2)*AQ177*AT177*VLOOKUP('Données projet'!$B$10,Paramètres!$A$1:$I$89,3,0)*0.475*44/12</f>
        <v>0</v>
      </c>
      <c r="AX177" s="21">
        <f t="shared" si="166"/>
        <v>5.521326194538104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243.99999999999989</v>
      </c>
      <c r="BE177" s="13">
        <f>BD177*VLOOKUP('Données projet'!$B$11,Paramètres!$A$1:$I$89,3,0)*VLOOKUP('Données projet'!$B$11,Paramètres!$A$1:$I$89,5,0)</f>
        <v>232.19039999999987</v>
      </c>
      <c r="BF177" s="13">
        <f t="shared" si="167"/>
        <v>56.756035639094556</v>
      </c>
      <c r="BG177" s="20">
        <f t="shared" si="168"/>
        <v>503.24837540475619</v>
      </c>
      <c r="BH177" s="59">
        <f t="shared" si="116"/>
        <v>796.58170873808945</v>
      </c>
      <c r="BI177" s="59">
        <f ca="1">AVERAGE(OFFSET($BH$3,0,0,'Données projet'!$E$11+1,1))-AVERAGE(OFFSET($H$3,0,0,'Données projet'!$E$11+1,1))</f>
        <v>373.51596132356536</v>
      </c>
      <c r="BJ177" s="59">
        <f t="shared" si="146"/>
        <v>417.00150517020114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24.054907386415096</v>
      </c>
      <c r="BQ177" s="21">
        <f>EXP(-LN(2)/25)*BQ176+(1-EXP(-LN(2)/25))/(LN(2)/25)*Calculateur!BL177*Calculateur!BN177*VLOOKUP('Données projet'!$B$11,Paramètres!$A$1:$I$89,3,0)*0.475*44/12</f>
        <v>0</v>
      </c>
      <c r="BR177" s="21">
        <f>EXP(-LN(2)/2)*BR176+(1-EXP(-LN(2)/2))/(LN(2)/2)*BL177*BO177*VLOOKUP('Données projet'!$B$11,Paramètres!$A$1:$I$89,3,0)*0.475*44/12</f>
        <v>0</v>
      </c>
      <c r="BS177" s="22">
        <f t="shared" si="169"/>
        <v>24.054907386415096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267</v>
      </c>
      <c r="BZ177" s="13">
        <f>BY177*VLOOKUP('Données projet'!$B$12,Paramètres!$A$1:$I$89,3,0)*VLOOKUP('Données projet'!$B$12,Paramètres!$A$1:$I$89,5,0)</f>
        <v>241.58159999999998</v>
      </c>
      <c r="CA177" s="13">
        <f t="shared" si="170"/>
        <v>58.779689232021951</v>
      </c>
      <c r="CB177" s="20">
        <f t="shared" si="171"/>
        <v>523.12924541243819</v>
      </c>
      <c r="CC177" s="59">
        <f t="shared" si="119"/>
        <v>816.46257874577145</v>
      </c>
      <c r="CD177" s="59">
        <f ca="1">AVERAGE(OFFSET($CC$3,0,0,'Données projet'!$E$12+1,1))-AVERAGE(OFFSET($H$3,0,0,'Données projet'!$E$12+1,1))</f>
        <v>289.19622253646992</v>
      </c>
      <c r="CE177" s="59">
        <f t="shared" si="148"/>
        <v>191.23827338431175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>
        <f>EXP(-LN(2)/35)*CK176+(1-EXP(-LN(2)/35))/(LN(2)/35)*CG177*CH177*VLOOKUP('Données projet'!$B$12,Paramètres!$A$1:$I$89,3,0)*0.475*44/12</f>
        <v>23.49597133313279</v>
      </c>
      <c r="CL177" s="21">
        <f>EXP(-LN(2)/25)*CL176+(1-EXP(-LN(2)/25))/(LN(2)/25)*Calculateur!CG177*Calculateur!CI177*VLOOKUP('Données projet'!$B$12,Paramètres!$A$1:$I$89,3,0)*0.475*44/12</f>
        <v>0</v>
      </c>
      <c r="CM177" s="21">
        <f>EXP(-LN(2)/2)*CM176+(1-EXP(-LN(2)/2))/(LN(2)/2)*CG177*CJ177*VLOOKUP('Données projet'!$B$12,Paramètres!$A$1:$I$89,3,0)*0.475*44/12</f>
        <v>0</v>
      </c>
      <c r="CN177" s="22">
        <f t="shared" si="172"/>
        <v>23.49597133313279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3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101.01000000000022</v>
      </c>
      <c r="D178" s="11">
        <f t="shared" si="140"/>
        <v>27.202475209169652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989.71033494797791</v>
      </c>
      <c r="H178" s="67">
        <f t="shared" si="110"/>
        <v>479.97006098930422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304.99999999999983</v>
      </c>
      <c r="O178" s="13">
        <f>N178*VLOOKUP('Données projet'!$B$9,Paramètres!$A$1:$I$89,3,0)*VLOOKUP('Données projet'!$B$9,Paramètres!$A$1:$I$89,5,0)</f>
        <v>275.96399999999983</v>
      </c>
      <c r="P178" s="13">
        <f t="shared" si="141"/>
        <v>66.113366665488854</v>
      </c>
      <c r="Q178" s="20">
        <f t="shared" si="162"/>
        <v>595.78474694239264</v>
      </c>
      <c r="R178" s="59">
        <f t="shared" si="109"/>
        <v>889.11808027572602</v>
      </c>
      <c r="S178" s="59">
        <f ca="1">AVERAGE(OFFSET($R$3,0,0,'Données projet'!$E$9+1,1))-AVERAGE(OFFSET($H$3,0,0,'Données projet'!$E$9+1,1))</f>
        <v>336.59194805061094</v>
      </c>
      <c r="T178" s="59">
        <f t="shared" si="142"/>
        <v>473.66884161123909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0.47376604221446217</v>
      </c>
      <c r="AA178" s="21">
        <f>EXP(-LN(2)/25)*AA177+(1-EXP(-LN(2)/25))/(LN(2)/25)*Calculateur!V178*Calculateur!X178*VLOOKUP('Données projet'!$B$9,Paramètres!$A$1:$I$89,3,0)*0.475*44/12</f>
        <v>0</v>
      </c>
      <c r="AB178" s="21">
        <f>EXP(-LN(2)/2)*AB177+(1-EXP(-LN(2)/2))/(LN(2)/2)*V178*Y178*VLOOKUP('Données projet'!$B$9,Paramètres!$A$1:$I$89,3,0)*0.475*44/12</f>
        <v>0</v>
      </c>
      <c r="AC178" s="22">
        <f t="shared" si="163"/>
        <v>0.47376604221446217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319</v>
      </c>
      <c r="AJ178" s="13">
        <f>AI178*VLOOKUP('Données projet'!$B$10,Paramètres!$A$1:$I$89,3,0)*VLOOKUP('Données projet'!$B$10,Paramètres!$A$1:$I$89,5,0)</f>
        <v>209.00879999999998</v>
      </c>
      <c r="AK178" s="13">
        <f t="shared" si="164"/>
        <v>51.718923953824202</v>
      </c>
      <c r="AL178" s="20">
        <f t="shared" si="165"/>
        <v>454.10078588624373</v>
      </c>
      <c r="AM178" s="59">
        <f t="shared" si="113"/>
        <v>747.43411921957704</v>
      </c>
      <c r="AN178" s="59">
        <f ca="1">AVERAGE(OFFSET($AM$3,0,0,'Données projet'!$E$10+1,1))-AVERAGE(OFFSET($H$3,0,0,'Données projet'!$E$10+1,1))</f>
        <v>244.66788784685366</v>
      </c>
      <c r="AO178" s="59">
        <f t="shared" si="144"/>
        <v>252.04429018409274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5.41305635553966</v>
      </c>
      <c r="AV178" s="21">
        <f>EXP(-LN(2)/25)*AV177+(1-EXP(-LN(2)/25))/(LN(2)/25)*Calculateur!AQ178*Calculateur!AS178*VLOOKUP('Données projet'!$B$10,Paramètres!$A$1:$I$89,3,0)*0.475*44/12</f>
        <v>0</v>
      </c>
      <c r="AW178" s="21">
        <f>EXP(-LN(2)/2)*AW177+(1-EXP(-LN(2)/2))/(LN(2)/2)*AQ178*AT178*VLOOKUP('Données projet'!$B$10,Paramètres!$A$1:$I$89,3,0)*0.475*44/12</f>
        <v>0</v>
      </c>
      <c r="AX178" s="21">
        <f t="shared" si="166"/>
        <v>5.41305635553966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243.99999999999989</v>
      </c>
      <c r="BE178" s="13">
        <f>BD178*VLOOKUP('Données projet'!$B$11,Paramètres!$A$1:$I$89,3,0)*VLOOKUP('Données projet'!$B$11,Paramètres!$A$1:$I$89,5,0)</f>
        <v>232.19039999999987</v>
      </c>
      <c r="BF178" s="13">
        <f t="shared" si="167"/>
        <v>56.756035639094556</v>
      </c>
      <c r="BG178" s="20">
        <f t="shared" si="168"/>
        <v>503.24837540475619</v>
      </c>
      <c r="BH178" s="59">
        <f t="shared" si="116"/>
        <v>796.58170873808945</v>
      </c>
      <c r="BI178" s="59">
        <f ca="1">AVERAGE(OFFSET($BH$3,0,0,'Données projet'!$E$11+1,1))-AVERAGE(OFFSET($H$3,0,0,'Données projet'!$E$11+1,1))</f>
        <v>373.51596132356536</v>
      </c>
      <c r="BJ178" s="59">
        <f t="shared" si="146"/>
        <v>417.00150517020114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23.583205324612258</v>
      </c>
      <c r="BQ178" s="21">
        <f>EXP(-LN(2)/25)*BQ177+(1-EXP(-LN(2)/25))/(LN(2)/25)*Calculateur!BL178*Calculateur!BN178*VLOOKUP('Données projet'!$B$11,Paramètres!$A$1:$I$89,3,0)*0.475*44/12</f>
        <v>0</v>
      </c>
      <c r="BR178" s="21">
        <f>EXP(-LN(2)/2)*BR177+(1-EXP(-LN(2)/2))/(LN(2)/2)*BL178*BO178*VLOOKUP('Données projet'!$B$11,Paramètres!$A$1:$I$89,3,0)*0.475*44/12</f>
        <v>0</v>
      </c>
      <c r="BS178" s="22">
        <f t="shared" si="169"/>
        <v>23.583205324612258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267</v>
      </c>
      <c r="BZ178" s="13">
        <f>BY178*VLOOKUP('Données projet'!$B$12,Paramètres!$A$1:$I$89,3,0)*VLOOKUP('Données projet'!$B$12,Paramètres!$A$1:$I$89,5,0)</f>
        <v>241.58159999999998</v>
      </c>
      <c r="CA178" s="13">
        <f t="shared" si="170"/>
        <v>58.779689232021951</v>
      </c>
      <c r="CB178" s="20">
        <f t="shared" si="171"/>
        <v>523.12924541243819</v>
      </c>
      <c r="CC178" s="59">
        <f t="shared" si="119"/>
        <v>816.46257874577145</v>
      </c>
      <c r="CD178" s="59">
        <f ca="1">AVERAGE(OFFSET($CC$3,0,0,'Données projet'!$E$12+1,1))-AVERAGE(OFFSET($H$3,0,0,'Données projet'!$E$12+1,1))</f>
        <v>289.19622253646992</v>
      </c>
      <c r="CE178" s="59">
        <f t="shared" si="148"/>
        <v>191.23827338431175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>
        <f>EXP(-LN(2)/35)*CK177+(1-EXP(-LN(2)/35))/(LN(2)/35)*CG178*CH178*VLOOKUP('Données projet'!$B$12,Paramètres!$A$1:$I$89,3,0)*0.475*44/12</f>
        <v>23.035229666417489</v>
      </c>
      <c r="CL178" s="21">
        <f>EXP(-LN(2)/25)*CL177+(1-EXP(-LN(2)/25))/(LN(2)/25)*Calculateur!CG178*Calculateur!CI178*VLOOKUP('Données projet'!$B$12,Paramètres!$A$1:$I$89,3,0)*0.475*44/12</f>
        <v>0</v>
      </c>
      <c r="CM178" s="21">
        <f>EXP(-LN(2)/2)*CM177+(1-EXP(-LN(2)/2))/(LN(2)/2)*CG178*CJ178*VLOOKUP('Données projet'!$B$12,Paramètres!$A$1:$I$89,3,0)*0.475*44/12</f>
        <v>0</v>
      </c>
      <c r="CN178" s="22">
        <f t="shared" si="172"/>
        <v>23.035229666417489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3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101.58720000000022</v>
      </c>
      <c r="D179" s="11">
        <f t="shared" si="140"/>
        <v>27.339778810995906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995.22580134804048</v>
      </c>
      <c r="H179" s="67">
        <f t="shared" si="110"/>
        <v>481.2144880958183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304.99999999999983</v>
      </c>
      <c r="O179" s="13">
        <f>N179*VLOOKUP('Données projet'!$B$9,Paramètres!$A$1:$I$89,3,0)*VLOOKUP('Données projet'!$B$9,Paramètres!$A$1:$I$89,5,0)</f>
        <v>275.96399999999983</v>
      </c>
      <c r="P179" s="13">
        <f t="shared" si="141"/>
        <v>66.113366665488854</v>
      </c>
      <c r="Q179" s="20">
        <f t="shared" si="162"/>
        <v>595.78474694239264</v>
      </c>
      <c r="R179" s="59">
        <f t="shared" si="109"/>
        <v>889.11808027572602</v>
      </c>
      <c r="S179" s="59">
        <f ca="1">AVERAGE(OFFSET($R$3,0,0,'Données projet'!$E$9+1,1))-AVERAGE(OFFSET($H$3,0,0,'Données projet'!$E$9+1,1))</f>
        <v>336.59194805061094</v>
      </c>
      <c r="T179" s="59">
        <f t="shared" si="142"/>
        <v>473.66884161123909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0.46447577909538901</v>
      </c>
      <c r="AA179" s="21">
        <f>EXP(-LN(2)/25)*AA178+(1-EXP(-LN(2)/25))/(LN(2)/25)*Calculateur!V179*Calculateur!X179*VLOOKUP('Données projet'!$B$9,Paramètres!$A$1:$I$89,3,0)*0.475*44/12</f>
        <v>0</v>
      </c>
      <c r="AB179" s="21">
        <f>EXP(-LN(2)/2)*AB178+(1-EXP(-LN(2)/2))/(LN(2)/2)*V179*Y179*VLOOKUP('Données projet'!$B$9,Paramètres!$A$1:$I$89,3,0)*0.475*44/12</f>
        <v>0</v>
      </c>
      <c r="AC179" s="22">
        <f t="shared" si="163"/>
        <v>0.46447577909538901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319</v>
      </c>
      <c r="AJ179" s="13">
        <f>AI179*VLOOKUP('Données projet'!$B$10,Paramètres!$A$1:$I$89,3,0)*VLOOKUP('Données projet'!$B$10,Paramètres!$A$1:$I$89,5,0)</f>
        <v>209.00879999999998</v>
      </c>
      <c r="AK179" s="13">
        <f t="shared" si="164"/>
        <v>51.718923953824202</v>
      </c>
      <c r="AL179" s="20">
        <f t="shared" si="165"/>
        <v>454.10078588624373</v>
      </c>
      <c r="AM179" s="59">
        <f t="shared" si="113"/>
        <v>747.43411921957704</v>
      </c>
      <c r="AN179" s="59">
        <f ca="1">AVERAGE(OFFSET($AM$3,0,0,'Données projet'!$E$10+1,1))-AVERAGE(OFFSET($H$3,0,0,'Données projet'!$E$10+1,1))</f>
        <v>244.66788784685366</v>
      </c>
      <c r="AO179" s="59">
        <f t="shared" si="144"/>
        <v>252.04429018409274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5.3069096220458949</v>
      </c>
      <c r="AV179" s="21">
        <f>EXP(-LN(2)/25)*AV178+(1-EXP(-LN(2)/25))/(LN(2)/25)*Calculateur!AQ179*Calculateur!AS179*VLOOKUP('Données projet'!$B$10,Paramètres!$A$1:$I$89,3,0)*0.475*44/12</f>
        <v>0</v>
      </c>
      <c r="AW179" s="21">
        <f>EXP(-LN(2)/2)*AW178+(1-EXP(-LN(2)/2))/(LN(2)/2)*AQ179*AT179*VLOOKUP('Données projet'!$B$10,Paramètres!$A$1:$I$89,3,0)*0.475*44/12</f>
        <v>0</v>
      </c>
      <c r="AX179" s="21">
        <f t="shared" si="166"/>
        <v>5.3069096220458949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243.99999999999989</v>
      </c>
      <c r="BE179" s="13">
        <f>BD179*VLOOKUP('Données projet'!$B$11,Paramètres!$A$1:$I$89,3,0)*VLOOKUP('Données projet'!$B$11,Paramètres!$A$1:$I$89,5,0)</f>
        <v>232.19039999999987</v>
      </c>
      <c r="BF179" s="13">
        <f t="shared" si="167"/>
        <v>56.756035639094556</v>
      </c>
      <c r="BG179" s="20">
        <f t="shared" si="168"/>
        <v>503.24837540475619</v>
      </c>
      <c r="BH179" s="59">
        <f t="shared" si="116"/>
        <v>796.58170873808945</v>
      </c>
      <c r="BI179" s="59">
        <f ca="1">AVERAGE(OFFSET($BH$3,0,0,'Données projet'!$E$11+1,1))-AVERAGE(OFFSET($H$3,0,0,'Données projet'!$E$11+1,1))</f>
        <v>373.51596132356536</v>
      </c>
      <c r="BJ179" s="59">
        <f t="shared" si="146"/>
        <v>417.00150517020114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23.120753052531526</v>
      </c>
      <c r="BQ179" s="21">
        <f>EXP(-LN(2)/25)*BQ178+(1-EXP(-LN(2)/25))/(LN(2)/25)*Calculateur!BL179*Calculateur!BN179*VLOOKUP('Données projet'!$B$11,Paramètres!$A$1:$I$89,3,0)*0.475*44/12</f>
        <v>0</v>
      </c>
      <c r="BR179" s="21">
        <f>EXP(-LN(2)/2)*BR178+(1-EXP(-LN(2)/2))/(LN(2)/2)*BL179*BO179*VLOOKUP('Données projet'!$B$11,Paramètres!$A$1:$I$89,3,0)*0.475*44/12</f>
        <v>0</v>
      </c>
      <c r="BS179" s="22">
        <f t="shared" si="169"/>
        <v>23.120753052531526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267</v>
      </c>
      <c r="BZ179" s="13">
        <f>BY179*VLOOKUP('Données projet'!$B$12,Paramètres!$A$1:$I$89,3,0)*VLOOKUP('Données projet'!$B$12,Paramètres!$A$1:$I$89,5,0)</f>
        <v>241.58159999999998</v>
      </c>
      <c r="CA179" s="13">
        <f t="shared" si="170"/>
        <v>58.779689232021951</v>
      </c>
      <c r="CB179" s="20">
        <f t="shared" si="171"/>
        <v>523.12924541243819</v>
      </c>
      <c r="CC179" s="59">
        <f t="shared" si="119"/>
        <v>816.46257874577145</v>
      </c>
      <c r="CD179" s="59">
        <f ca="1">AVERAGE(OFFSET($CC$3,0,0,'Données projet'!$E$12+1,1))-AVERAGE(OFFSET($H$3,0,0,'Données projet'!$E$12+1,1))</f>
        <v>289.19622253646992</v>
      </c>
      <c r="CE179" s="59">
        <f t="shared" si="148"/>
        <v>191.23827338431175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>
        <f>EXP(-LN(2)/35)*CK178+(1-EXP(-LN(2)/35))/(LN(2)/35)*CG179*CH179*VLOOKUP('Données projet'!$B$12,Paramètres!$A$1:$I$89,3,0)*0.475*44/12</f>
        <v>22.583522862761807</v>
      </c>
      <c r="CL179" s="21">
        <f>EXP(-LN(2)/25)*CL178+(1-EXP(-LN(2)/25))/(LN(2)/25)*Calculateur!CG179*Calculateur!CI179*VLOOKUP('Données projet'!$B$12,Paramètres!$A$1:$I$89,3,0)*0.475*44/12</f>
        <v>0</v>
      </c>
      <c r="CM179" s="21">
        <f>EXP(-LN(2)/2)*CM178+(1-EXP(-LN(2)/2))/(LN(2)/2)*CG179*CJ179*VLOOKUP('Données projet'!$B$12,Paramètres!$A$1:$I$89,3,0)*0.475*44/12</f>
        <v>0</v>
      </c>
      <c r="CN179" s="22">
        <f t="shared" si="172"/>
        <v>22.583522862761807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3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102.16440000000023</v>
      </c>
      <c r="D180" s="11">
        <f t="shared" si="140"/>
        <v>27.476991634717923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1000.740567004842</v>
      </c>
      <c r="H180" s="67">
        <f t="shared" si="110"/>
        <v>482.45875709713414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304.99999999999983</v>
      </c>
      <c r="O180" s="13">
        <f>N180*VLOOKUP('Données projet'!$B$9,Paramètres!$A$1:$I$89,3,0)*VLOOKUP('Données projet'!$B$9,Paramètres!$A$1:$I$89,5,0)</f>
        <v>275.96399999999983</v>
      </c>
      <c r="P180" s="13">
        <f t="shared" si="141"/>
        <v>66.113366665488854</v>
      </c>
      <c r="Q180" s="20">
        <f t="shared" si="162"/>
        <v>595.78474694239264</v>
      </c>
      <c r="R180" s="59">
        <f t="shared" si="109"/>
        <v>889.11808027572602</v>
      </c>
      <c r="S180" s="59">
        <f ca="1">AVERAGE(OFFSET($R$3,0,0,'Données projet'!$E$9+1,1))-AVERAGE(OFFSET($H$3,0,0,'Données projet'!$E$9+1,1))</f>
        <v>336.59194805061094</v>
      </c>
      <c r="T180" s="59">
        <f t="shared" si="142"/>
        <v>473.66884161123909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0.45536769236957991</v>
      </c>
      <c r="AA180" s="21">
        <f>EXP(-LN(2)/25)*AA179+(1-EXP(-LN(2)/25))/(LN(2)/25)*Calculateur!V180*Calculateur!X180*VLOOKUP('Données projet'!$B$9,Paramètres!$A$1:$I$89,3,0)*0.475*44/12</f>
        <v>0</v>
      </c>
      <c r="AB180" s="21">
        <f>EXP(-LN(2)/2)*AB179+(1-EXP(-LN(2)/2))/(LN(2)/2)*V180*Y180*VLOOKUP('Données projet'!$B$9,Paramètres!$A$1:$I$89,3,0)*0.475*44/12</f>
        <v>0</v>
      </c>
      <c r="AC180" s="22">
        <f t="shared" si="163"/>
        <v>0.45536769236957991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319</v>
      </c>
      <c r="AJ180" s="13">
        <f>AI180*VLOOKUP('Données projet'!$B$10,Paramètres!$A$1:$I$89,3,0)*VLOOKUP('Données projet'!$B$10,Paramètres!$A$1:$I$89,5,0)</f>
        <v>209.00879999999998</v>
      </c>
      <c r="AK180" s="13">
        <f t="shared" si="164"/>
        <v>51.718923953824202</v>
      </c>
      <c r="AL180" s="20">
        <f t="shared" si="165"/>
        <v>454.10078588624373</v>
      </c>
      <c r="AM180" s="59">
        <f t="shared" si="113"/>
        <v>747.43411921957704</v>
      </c>
      <c r="AN180" s="59">
        <f ca="1">AVERAGE(OFFSET($AM$3,0,0,'Données projet'!$E$10+1,1))-AVERAGE(OFFSET($H$3,0,0,'Données projet'!$E$10+1,1))</f>
        <v>244.66788784685366</v>
      </c>
      <c r="AO180" s="59">
        <f t="shared" si="144"/>
        <v>252.04429018409274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5.2028443612528275</v>
      </c>
      <c r="AV180" s="21">
        <f>EXP(-LN(2)/25)*AV179+(1-EXP(-LN(2)/25))/(LN(2)/25)*Calculateur!AQ180*Calculateur!AS180*VLOOKUP('Données projet'!$B$10,Paramètres!$A$1:$I$89,3,0)*0.475*44/12</f>
        <v>0</v>
      </c>
      <c r="AW180" s="21">
        <f>EXP(-LN(2)/2)*AW179+(1-EXP(-LN(2)/2))/(LN(2)/2)*AQ180*AT180*VLOOKUP('Données projet'!$B$10,Paramètres!$A$1:$I$89,3,0)*0.475*44/12</f>
        <v>0</v>
      </c>
      <c r="AX180" s="21">
        <f t="shared" si="166"/>
        <v>5.2028443612528275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243.99999999999989</v>
      </c>
      <c r="BE180" s="13">
        <f>BD180*VLOOKUP('Données projet'!$B$11,Paramètres!$A$1:$I$89,3,0)*VLOOKUP('Données projet'!$B$11,Paramètres!$A$1:$I$89,5,0)</f>
        <v>232.19039999999987</v>
      </c>
      <c r="BF180" s="13">
        <f t="shared" si="167"/>
        <v>56.756035639094556</v>
      </c>
      <c r="BG180" s="20">
        <f t="shared" si="168"/>
        <v>503.24837540475619</v>
      </c>
      <c r="BH180" s="59">
        <f t="shared" si="116"/>
        <v>796.58170873808945</v>
      </c>
      <c r="BI180" s="59">
        <f ca="1">AVERAGE(OFFSET($BH$3,0,0,'Données projet'!$E$11+1,1))-AVERAGE(OFFSET($H$3,0,0,'Données projet'!$E$11+1,1))</f>
        <v>373.51596132356536</v>
      </c>
      <c r="BJ180" s="59">
        <f t="shared" si="146"/>
        <v>417.00150517020114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22.667369187438261</v>
      </c>
      <c r="BQ180" s="21">
        <f>EXP(-LN(2)/25)*BQ179+(1-EXP(-LN(2)/25))/(LN(2)/25)*Calculateur!BL180*Calculateur!BN180*VLOOKUP('Données projet'!$B$11,Paramètres!$A$1:$I$89,3,0)*0.475*44/12</f>
        <v>0</v>
      </c>
      <c r="BR180" s="21">
        <f>EXP(-LN(2)/2)*BR179+(1-EXP(-LN(2)/2))/(LN(2)/2)*BL180*BO180*VLOOKUP('Données projet'!$B$11,Paramètres!$A$1:$I$89,3,0)*0.475*44/12</f>
        <v>0</v>
      </c>
      <c r="BS180" s="22">
        <f t="shared" si="169"/>
        <v>22.667369187438261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267</v>
      </c>
      <c r="BZ180" s="13">
        <f>BY180*VLOOKUP('Données projet'!$B$12,Paramètres!$A$1:$I$89,3,0)*VLOOKUP('Données projet'!$B$12,Paramètres!$A$1:$I$89,5,0)</f>
        <v>241.58159999999998</v>
      </c>
      <c r="CA180" s="13">
        <f t="shared" si="170"/>
        <v>58.779689232021951</v>
      </c>
      <c r="CB180" s="20">
        <f t="shared" si="171"/>
        <v>523.12924541243819</v>
      </c>
      <c r="CC180" s="59">
        <f t="shared" si="119"/>
        <v>816.46257874577145</v>
      </c>
      <c r="CD180" s="59">
        <f ca="1">AVERAGE(OFFSET($CC$3,0,0,'Données projet'!$E$12+1,1))-AVERAGE(OFFSET($H$3,0,0,'Données projet'!$E$12+1,1))</f>
        <v>289.19622253646992</v>
      </c>
      <c r="CE180" s="59">
        <f t="shared" si="148"/>
        <v>191.23827338431175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>
        <f>EXP(-LN(2)/35)*CK179+(1-EXP(-LN(2)/35))/(LN(2)/35)*CG180*CH180*VLOOKUP('Données projet'!$B$12,Paramètres!$A$1:$I$89,3,0)*0.475*44/12</f>
        <v>22.140673754011868</v>
      </c>
      <c r="CL180" s="21">
        <f>EXP(-LN(2)/25)*CL179+(1-EXP(-LN(2)/25))/(LN(2)/25)*Calculateur!CG180*Calculateur!CI180*VLOOKUP('Données projet'!$B$12,Paramètres!$A$1:$I$89,3,0)*0.475*44/12</f>
        <v>0</v>
      </c>
      <c r="CM180" s="21">
        <f>EXP(-LN(2)/2)*CM179+(1-EXP(-LN(2)/2))/(LN(2)/2)*CG180*CJ180*VLOOKUP('Données projet'!$B$12,Paramètres!$A$1:$I$89,3,0)*0.475*44/12</f>
        <v>0</v>
      </c>
      <c r="CN180" s="22">
        <f t="shared" si="172"/>
        <v>22.140673754011868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3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102.74160000000023</v>
      </c>
      <c r="D181" s="11">
        <f t="shared" si="140"/>
        <v>27.614114252722302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1006.2546363368054</v>
      </c>
      <c r="H181" s="67">
        <f t="shared" si="110"/>
        <v>483.70286899015844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304.99999999999983</v>
      </c>
      <c r="O181" s="13">
        <f>N181*VLOOKUP('Données projet'!$B$9,Paramètres!$A$1:$I$89,3,0)*VLOOKUP('Données projet'!$B$9,Paramètres!$A$1:$I$89,5,0)</f>
        <v>275.96399999999983</v>
      </c>
      <c r="P181" s="13">
        <f t="shared" si="141"/>
        <v>66.113366665488854</v>
      </c>
      <c r="Q181" s="20">
        <f t="shared" si="162"/>
        <v>595.78474694239264</v>
      </c>
      <c r="R181" s="59">
        <f t="shared" si="109"/>
        <v>889.11808027572602</v>
      </c>
      <c r="S181" s="59">
        <f ca="1">AVERAGE(OFFSET($R$3,0,0,'Données projet'!$E$9+1,1))-AVERAGE(OFFSET($H$3,0,0,'Données projet'!$E$9+1,1))</f>
        <v>336.59194805061094</v>
      </c>
      <c r="T181" s="59">
        <f t="shared" si="142"/>
        <v>473.66884161123909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0.44643820966907954</v>
      </c>
      <c r="AA181" s="21">
        <f>EXP(-LN(2)/25)*AA180+(1-EXP(-LN(2)/25))/(LN(2)/25)*Calculateur!V181*Calculateur!X181*VLOOKUP('Données projet'!$B$9,Paramètres!$A$1:$I$89,3,0)*0.475*44/12</f>
        <v>0</v>
      </c>
      <c r="AB181" s="21">
        <f>EXP(-LN(2)/2)*AB180+(1-EXP(-LN(2)/2))/(LN(2)/2)*V181*Y181*VLOOKUP('Données projet'!$B$9,Paramètres!$A$1:$I$89,3,0)*0.475*44/12</f>
        <v>0</v>
      </c>
      <c r="AC181" s="22">
        <f t="shared" si="163"/>
        <v>0.44643820966907954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319</v>
      </c>
      <c r="AJ181" s="13">
        <f>AI181*VLOOKUP('Données projet'!$B$10,Paramètres!$A$1:$I$89,3,0)*VLOOKUP('Données projet'!$B$10,Paramètres!$A$1:$I$89,5,0)</f>
        <v>209.00879999999998</v>
      </c>
      <c r="AK181" s="13">
        <f t="shared" si="164"/>
        <v>51.718923953824202</v>
      </c>
      <c r="AL181" s="20">
        <f t="shared" si="165"/>
        <v>454.10078588624373</v>
      </c>
      <c r="AM181" s="59">
        <f t="shared" si="113"/>
        <v>747.43411921957704</v>
      </c>
      <c r="AN181" s="59">
        <f ca="1">AVERAGE(OFFSET($AM$3,0,0,'Données projet'!$E$10+1,1))-AVERAGE(OFFSET($H$3,0,0,'Données projet'!$E$10+1,1))</f>
        <v>244.66788784685366</v>
      </c>
      <c r="AO181" s="59">
        <f t="shared" si="144"/>
        <v>252.04429018409274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5.1008197567503704</v>
      </c>
      <c r="AV181" s="21">
        <f>EXP(-LN(2)/25)*AV180+(1-EXP(-LN(2)/25))/(LN(2)/25)*Calculateur!AQ181*Calculateur!AS181*VLOOKUP('Données projet'!$B$10,Paramètres!$A$1:$I$89,3,0)*0.475*44/12</f>
        <v>0</v>
      </c>
      <c r="AW181" s="21">
        <f>EXP(-LN(2)/2)*AW180+(1-EXP(-LN(2)/2))/(LN(2)/2)*AQ181*AT181*VLOOKUP('Données projet'!$B$10,Paramètres!$A$1:$I$89,3,0)*0.475*44/12</f>
        <v>0</v>
      </c>
      <c r="AX181" s="21">
        <f t="shared" si="166"/>
        <v>5.1008197567503704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243.99999999999989</v>
      </c>
      <c r="BE181" s="13">
        <f>BD181*VLOOKUP('Données projet'!$B$11,Paramètres!$A$1:$I$89,3,0)*VLOOKUP('Données projet'!$B$11,Paramètres!$A$1:$I$89,5,0)</f>
        <v>232.19039999999987</v>
      </c>
      <c r="BF181" s="13">
        <f t="shared" si="167"/>
        <v>56.756035639094556</v>
      </c>
      <c r="BG181" s="20">
        <f t="shared" si="168"/>
        <v>503.24837540475619</v>
      </c>
      <c r="BH181" s="59">
        <f t="shared" si="116"/>
        <v>796.58170873808945</v>
      </c>
      <c r="BI181" s="59">
        <f ca="1">AVERAGE(OFFSET($BH$3,0,0,'Données projet'!$E$11+1,1))-AVERAGE(OFFSET($H$3,0,0,'Données projet'!$E$11+1,1))</f>
        <v>373.51596132356536</v>
      </c>
      <c r="BJ181" s="59">
        <f t="shared" si="146"/>
        <v>417.00150517020114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22.222875903402624</v>
      </c>
      <c r="BQ181" s="21">
        <f>EXP(-LN(2)/25)*BQ180+(1-EXP(-LN(2)/25))/(LN(2)/25)*Calculateur!BL181*Calculateur!BN181*VLOOKUP('Données projet'!$B$11,Paramètres!$A$1:$I$89,3,0)*0.475*44/12</f>
        <v>0</v>
      </c>
      <c r="BR181" s="21">
        <f>EXP(-LN(2)/2)*BR180+(1-EXP(-LN(2)/2))/(LN(2)/2)*BL181*BO181*VLOOKUP('Données projet'!$B$11,Paramètres!$A$1:$I$89,3,0)*0.475*44/12</f>
        <v>0</v>
      </c>
      <c r="BS181" s="22">
        <f t="shared" si="169"/>
        <v>22.222875903402624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267</v>
      </c>
      <c r="BZ181" s="13">
        <f>BY181*VLOOKUP('Données projet'!$B$12,Paramètres!$A$1:$I$89,3,0)*VLOOKUP('Données projet'!$B$12,Paramètres!$A$1:$I$89,5,0)</f>
        <v>241.58159999999998</v>
      </c>
      <c r="CA181" s="13">
        <f t="shared" si="170"/>
        <v>58.779689232021951</v>
      </c>
      <c r="CB181" s="20">
        <f t="shared" si="171"/>
        <v>523.12924541243819</v>
      </c>
      <c r="CC181" s="59">
        <f t="shared" si="119"/>
        <v>816.46257874577145</v>
      </c>
      <c r="CD181" s="59">
        <f ca="1">AVERAGE(OFFSET($CC$3,0,0,'Données projet'!$E$12+1,1))-AVERAGE(OFFSET($H$3,0,0,'Données projet'!$E$12+1,1))</f>
        <v>289.19622253646992</v>
      </c>
      <c r="CE181" s="59">
        <f t="shared" si="148"/>
        <v>191.23827338431175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>
        <f>EXP(-LN(2)/35)*CK180+(1-EXP(-LN(2)/35))/(LN(2)/35)*CG181*CH181*VLOOKUP('Données projet'!$B$12,Paramètres!$A$1:$I$89,3,0)*0.475*44/12</f>
        <v>21.70650864617323</v>
      </c>
      <c r="CL181" s="21">
        <f>EXP(-LN(2)/25)*CL180+(1-EXP(-LN(2)/25))/(LN(2)/25)*Calculateur!CG181*Calculateur!CI181*VLOOKUP('Données projet'!$B$12,Paramètres!$A$1:$I$89,3,0)*0.475*44/12</f>
        <v>0</v>
      </c>
      <c r="CM181" s="21">
        <f>EXP(-LN(2)/2)*CM180+(1-EXP(-LN(2)/2))/(LN(2)/2)*CG181*CJ181*VLOOKUP('Données projet'!$B$12,Paramètres!$A$1:$I$89,3,0)*0.475*44/12</f>
        <v>0</v>
      </c>
      <c r="CN181" s="22">
        <f t="shared" si="172"/>
        <v>21.70650864617323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3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103.31880000000024</v>
      </c>
      <c r="D182" s="11">
        <f t="shared" si="140"/>
        <v>27.751147230592267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1011.7680137098369</v>
      </c>
      <c r="H182" s="67">
        <f t="shared" si="110"/>
        <v>484.94682475994864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304.99999999999983</v>
      </c>
      <c r="O182" s="13">
        <f>N182*VLOOKUP('Données projet'!$B$9,Paramètres!$A$1:$I$89,3,0)*VLOOKUP('Données projet'!$B$9,Paramètres!$A$1:$I$89,5,0)</f>
        <v>275.96399999999983</v>
      </c>
      <c r="P182" s="13">
        <f t="shared" si="141"/>
        <v>66.113366665488854</v>
      </c>
      <c r="Q182" s="20">
        <f t="shared" si="162"/>
        <v>595.78474694239264</v>
      </c>
      <c r="R182" s="59">
        <f t="shared" si="109"/>
        <v>889.11808027572602</v>
      </c>
      <c r="S182" s="59">
        <f ca="1">AVERAGE(OFFSET($R$3,0,0,'Données projet'!$E$9+1,1))-AVERAGE(OFFSET($H$3,0,0,'Données projet'!$E$9+1,1))</f>
        <v>336.59194805061094</v>
      </c>
      <c r="T182" s="59">
        <f t="shared" si="142"/>
        <v>473.66884161123909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0.43768382867788935</v>
      </c>
      <c r="AA182" s="21">
        <f>EXP(-LN(2)/25)*AA181+(1-EXP(-LN(2)/25))/(LN(2)/25)*Calculateur!V182*Calculateur!X182*VLOOKUP('Données projet'!$B$9,Paramètres!$A$1:$I$89,3,0)*0.475*44/12</f>
        <v>0</v>
      </c>
      <c r="AB182" s="21">
        <f>EXP(-LN(2)/2)*AB181+(1-EXP(-LN(2)/2))/(LN(2)/2)*V182*Y182*VLOOKUP('Données projet'!$B$9,Paramètres!$A$1:$I$89,3,0)*0.475*44/12</f>
        <v>0</v>
      </c>
      <c r="AC182" s="22">
        <f t="shared" si="163"/>
        <v>0.43768382867788935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319</v>
      </c>
      <c r="AJ182" s="13">
        <f>AI182*VLOOKUP('Données projet'!$B$10,Paramètres!$A$1:$I$89,3,0)*VLOOKUP('Données projet'!$B$10,Paramètres!$A$1:$I$89,5,0)</f>
        <v>209.00879999999998</v>
      </c>
      <c r="AK182" s="13">
        <f t="shared" si="164"/>
        <v>51.718923953824202</v>
      </c>
      <c r="AL182" s="20">
        <f t="shared" si="165"/>
        <v>454.10078588624373</v>
      </c>
      <c r="AM182" s="59">
        <f t="shared" si="113"/>
        <v>747.43411921957704</v>
      </c>
      <c r="AN182" s="59">
        <f ca="1">AVERAGE(OFFSET($AM$3,0,0,'Données projet'!$E$10+1,1))-AVERAGE(OFFSET($H$3,0,0,'Données projet'!$E$10+1,1))</f>
        <v>244.66788784685366</v>
      </c>
      <c r="AO182" s="59">
        <f t="shared" si="144"/>
        <v>252.04429018409274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5.0007957925133422</v>
      </c>
      <c r="AV182" s="21">
        <f>EXP(-LN(2)/25)*AV181+(1-EXP(-LN(2)/25))/(LN(2)/25)*Calculateur!AQ182*Calculateur!AS182*VLOOKUP('Données projet'!$B$10,Paramètres!$A$1:$I$89,3,0)*0.475*44/12</f>
        <v>0</v>
      </c>
      <c r="AW182" s="21">
        <f>EXP(-LN(2)/2)*AW181+(1-EXP(-LN(2)/2))/(LN(2)/2)*AQ182*AT182*VLOOKUP('Données projet'!$B$10,Paramètres!$A$1:$I$89,3,0)*0.475*44/12</f>
        <v>0</v>
      </c>
      <c r="AX182" s="21">
        <f t="shared" si="166"/>
        <v>5.0007957925133422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243.99999999999989</v>
      </c>
      <c r="BE182" s="13">
        <f>BD182*VLOOKUP('Données projet'!$B$11,Paramètres!$A$1:$I$89,3,0)*VLOOKUP('Données projet'!$B$11,Paramètres!$A$1:$I$89,5,0)</f>
        <v>232.19039999999987</v>
      </c>
      <c r="BF182" s="13">
        <f t="shared" si="167"/>
        <v>56.756035639094556</v>
      </c>
      <c r="BG182" s="20">
        <f t="shared" si="168"/>
        <v>503.24837540475619</v>
      </c>
      <c r="BH182" s="59">
        <f t="shared" si="116"/>
        <v>796.58170873808945</v>
      </c>
      <c r="BI182" s="59">
        <f ca="1">AVERAGE(OFFSET($BH$3,0,0,'Données projet'!$E$11+1,1))-AVERAGE(OFFSET($H$3,0,0,'Données projet'!$E$11+1,1))</f>
        <v>373.51596132356536</v>
      </c>
      <c r="BJ182" s="59">
        <f t="shared" si="146"/>
        <v>417.00150517020114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21.787098861552792</v>
      </c>
      <c r="BQ182" s="21">
        <f>EXP(-LN(2)/25)*BQ181+(1-EXP(-LN(2)/25))/(LN(2)/25)*Calculateur!BL182*Calculateur!BN182*VLOOKUP('Données projet'!$B$11,Paramètres!$A$1:$I$89,3,0)*0.475*44/12</f>
        <v>0</v>
      </c>
      <c r="BR182" s="21">
        <f>EXP(-LN(2)/2)*BR181+(1-EXP(-LN(2)/2))/(LN(2)/2)*BL182*BO182*VLOOKUP('Données projet'!$B$11,Paramètres!$A$1:$I$89,3,0)*0.475*44/12</f>
        <v>0</v>
      </c>
      <c r="BS182" s="22">
        <f t="shared" si="169"/>
        <v>21.787098861552792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267</v>
      </c>
      <c r="BZ182" s="13">
        <f>BY182*VLOOKUP('Données projet'!$B$12,Paramètres!$A$1:$I$89,3,0)*VLOOKUP('Données projet'!$B$12,Paramètres!$A$1:$I$89,5,0)</f>
        <v>241.58159999999998</v>
      </c>
      <c r="CA182" s="13">
        <f t="shared" si="170"/>
        <v>58.779689232021951</v>
      </c>
      <c r="CB182" s="20">
        <f t="shared" si="171"/>
        <v>523.12924541243819</v>
      </c>
      <c r="CC182" s="59">
        <f t="shared" si="119"/>
        <v>816.46257874577145</v>
      </c>
      <c r="CD182" s="59">
        <f ca="1">AVERAGE(OFFSET($CC$3,0,0,'Données projet'!$E$12+1,1))-AVERAGE(OFFSET($H$3,0,0,'Données projet'!$E$12+1,1))</f>
        <v>289.19622253646992</v>
      </c>
      <c r="CE182" s="59">
        <f t="shared" si="148"/>
        <v>191.23827338431175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>
        <f>EXP(-LN(2)/35)*CK181+(1-EXP(-LN(2)/35))/(LN(2)/35)*CG182*CH182*VLOOKUP('Données projet'!$B$12,Paramètres!$A$1:$I$89,3,0)*0.475*44/12</f>
        <v>21.28085725128474</v>
      </c>
      <c r="CL182" s="21">
        <f>EXP(-LN(2)/25)*CL181+(1-EXP(-LN(2)/25))/(LN(2)/25)*Calculateur!CG182*Calculateur!CI182*VLOOKUP('Données projet'!$B$12,Paramètres!$A$1:$I$89,3,0)*0.475*44/12</f>
        <v>0</v>
      </c>
      <c r="CM182" s="21">
        <f>EXP(-LN(2)/2)*CM181+(1-EXP(-LN(2)/2))/(LN(2)/2)*CG182*CJ182*VLOOKUP('Données projet'!$B$12,Paramètres!$A$1:$I$89,3,0)*0.475*44/12</f>
        <v>0</v>
      </c>
      <c r="CN182" s="22">
        <f t="shared" si="172"/>
        <v>21.28085725128474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3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103.89600000000024</v>
      </c>
      <c r="D183" s="11">
        <f t="shared" si="140"/>
        <v>27.888091127225874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1017.2807034382367</v>
      </c>
      <c r="H183" s="67">
        <f t="shared" si="110"/>
        <v>486.1906253799188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304.99999999999983</v>
      </c>
      <c r="O183" s="13">
        <f>N183*VLOOKUP('Données projet'!$B$9,Paramètres!$A$1:$I$89,3,0)*VLOOKUP('Données projet'!$B$9,Paramètres!$A$1:$I$89,5,0)</f>
        <v>275.96399999999983</v>
      </c>
      <c r="P183" s="13">
        <f t="shared" si="141"/>
        <v>66.113366665488854</v>
      </c>
      <c r="Q183" s="20">
        <f t="shared" si="162"/>
        <v>595.78474694239264</v>
      </c>
      <c r="R183" s="59">
        <f t="shared" si="109"/>
        <v>889.11808027572602</v>
      </c>
      <c r="S183" s="59">
        <f ca="1">AVERAGE(OFFSET($R$3,0,0,'Données projet'!$E$9+1,1))-AVERAGE(OFFSET($H$3,0,0,'Données projet'!$E$9+1,1))</f>
        <v>336.59194805061094</v>
      </c>
      <c r="T183" s="59">
        <f t="shared" si="142"/>
        <v>473.66884161123909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0.42910111575829124</v>
      </c>
      <c r="AA183" s="21">
        <f>EXP(-LN(2)/25)*AA182+(1-EXP(-LN(2)/25))/(LN(2)/25)*Calculateur!V183*Calculateur!X183*VLOOKUP('Données projet'!$B$9,Paramètres!$A$1:$I$89,3,0)*0.475*44/12</f>
        <v>0</v>
      </c>
      <c r="AB183" s="21">
        <f>EXP(-LN(2)/2)*AB182+(1-EXP(-LN(2)/2))/(LN(2)/2)*V183*Y183*VLOOKUP('Données projet'!$B$9,Paramètres!$A$1:$I$89,3,0)*0.475*44/12</f>
        <v>0</v>
      </c>
      <c r="AC183" s="22">
        <f t="shared" si="163"/>
        <v>0.42910111575829124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319</v>
      </c>
      <c r="AJ183" s="13">
        <f>AI183*VLOOKUP('Données projet'!$B$10,Paramètres!$A$1:$I$89,3,0)*VLOOKUP('Données projet'!$B$10,Paramètres!$A$1:$I$89,5,0)</f>
        <v>209.00879999999998</v>
      </c>
      <c r="AK183" s="13">
        <f t="shared" si="164"/>
        <v>51.718923953824202</v>
      </c>
      <c r="AL183" s="20">
        <f t="shared" si="165"/>
        <v>454.10078588624373</v>
      </c>
      <c r="AM183" s="59">
        <f t="shared" si="113"/>
        <v>747.43411921957704</v>
      </c>
      <c r="AN183" s="59">
        <f ca="1">AVERAGE(OFFSET($AM$3,0,0,'Données projet'!$E$10+1,1))-AVERAGE(OFFSET($H$3,0,0,'Données projet'!$E$10+1,1))</f>
        <v>244.66788784685366</v>
      </c>
      <c r="AO183" s="59">
        <f t="shared" si="144"/>
        <v>252.04429018409274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4.9027332372064079</v>
      </c>
      <c r="AV183" s="21">
        <f>EXP(-LN(2)/25)*AV182+(1-EXP(-LN(2)/25))/(LN(2)/25)*Calculateur!AQ183*Calculateur!AS183*VLOOKUP('Données projet'!$B$10,Paramètres!$A$1:$I$89,3,0)*0.475*44/12</f>
        <v>0</v>
      </c>
      <c r="AW183" s="21">
        <f>EXP(-LN(2)/2)*AW182+(1-EXP(-LN(2)/2))/(LN(2)/2)*AQ183*AT183*VLOOKUP('Données projet'!$B$10,Paramètres!$A$1:$I$89,3,0)*0.475*44/12</f>
        <v>0</v>
      </c>
      <c r="AX183" s="21">
        <f t="shared" si="166"/>
        <v>4.9027332372064079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243.99999999999989</v>
      </c>
      <c r="BE183" s="13">
        <f>BD183*VLOOKUP('Données projet'!$B$11,Paramètres!$A$1:$I$89,3,0)*VLOOKUP('Données projet'!$B$11,Paramètres!$A$1:$I$89,5,0)</f>
        <v>232.19039999999987</v>
      </c>
      <c r="BF183" s="13">
        <f t="shared" si="167"/>
        <v>56.756035639094556</v>
      </c>
      <c r="BG183" s="20">
        <f t="shared" si="168"/>
        <v>503.24837540475619</v>
      </c>
      <c r="BH183" s="59">
        <f t="shared" si="116"/>
        <v>796.58170873808945</v>
      </c>
      <c r="BI183" s="59">
        <f ca="1">AVERAGE(OFFSET($BH$3,0,0,'Données projet'!$E$11+1,1))-AVERAGE(OFFSET($H$3,0,0,'Données projet'!$E$11+1,1))</f>
        <v>373.51596132356536</v>
      </c>
      <c r="BJ183" s="59">
        <f t="shared" si="146"/>
        <v>417.00150517020114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21.359867141695887</v>
      </c>
      <c r="BQ183" s="21">
        <f>EXP(-LN(2)/25)*BQ182+(1-EXP(-LN(2)/25))/(LN(2)/25)*Calculateur!BL183*Calculateur!BN183*VLOOKUP('Données projet'!$B$11,Paramètres!$A$1:$I$89,3,0)*0.475*44/12</f>
        <v>0</v>
      </c>
      <c r="BR183" s="21">
        <f>EXP(-LN(2)/2)*BR182+(1-EXP(-LN(2)/2))/(LN(2)/2)*BL183*BO183*VLOOKUP('Données projet'!$B$11,Paramètres!$A$1:$I$89,3,0)*0.475*44/12</f>
        <v>0</v>
      </c>
      <c r="BS183" s="22">
        <f t="shared" si="169"/>
        <v>21.359867141695887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267</v>
      </c>
      <c r="BZ183" s="13">
        <f>BY183*VLOOKUP('Données projet'!$B$12,Paramètres!$A$1:$I$89,3,0)*VLOOKUP('Données projet'!$B$12,Paramètres!$A$1:$I$89,5,0)</f>
        <v>241.58159999999998</v>
      </c>
      <c r="CA183" s="13">
        <f t="shared" si="170"/>
        <v>58.779689232021951</v>
      </c>
      <c r="CB183" s="20">
        <f t="shared" si="171"/>
        <v>523.12924541243819</v>
      </c>
      <c r="CC183" s="59">
        <f t="shared" si="119"/>
        <v>816.46257874577145</v>
      </c>
      <c r="CD183" s="59">
        <f ca="1">AVERAGE(OFFSET($CC$3,0,0,'Données projet'!$E$12+1,1))-AVERAGE(OFFSET($H$3,0,0,'Données projet'!$E$12+1,1))</f>
        <v>289.19622253646992</v>
      </c>
      <c r="CE183" s="59">
        <f t="shared" si="148"/>
        <v>191.23827338431175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>
        <f>EXP(-LN(2)/35)*CK182+(1-EXP(-LN(2)/35))/(LN(2)/35)*CG183*CH183*VLOOKUP('Données projet'!$B$12,Paramètres!$A$1:$I$89,3,0)*0.475*44/12</f>
        <v>20.863552620628298</v>
      </c>
      <c r="CL183" s="21">
        <f>EXP(-LN(2)/25)*CL182+(1-EXP(-LN(2)/25))/(LN(2)/25)*Calculateur!CG183*Calculateur!CI183*VLOOKUP('Données projet'!$B$12,Paramètres!$A$1:$I$89,3,0)*0.475*44/12</f>
        <v>0</v>
      </c>
      <c r="CM183" s="21">
        <f>EXP(-LN(2)/2)*CM182+(1-EXP(-LN(2)/2))/(LN(2)/2)*CG183*CJ183*VLOOKUP('Données projet'!$B$12,Paramètres!$A$1:$I$89,3,0)*0.475*44/12</f>
        <v>0</v>
      </c>
      <c r="CN183" s="22">
        <f t="shared" si="172"/>
        <v>20.863552620628298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3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104.47320000000025</v>
      </c>
      <c r="D184" s="11">
        <f t="shared" si="140"/>
        <v>28.024946494951863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1022.7927097855951</v>
      </c>
      <c r="H184" s="67">
        <f t="shared" si="110"/>
        <v>487.43427181204157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304.99999999999983</v>
      </c>
      <c r="O184" s="13">
        <f>N184*VLOOKUP('Données projet'!$B$9,Paramètres!$A$1:$I$89,3,0)*VLOOKUP('Données projet'!$B$9,Paramètres!$A$1:$I$89,5,0)</f>
        <v>275.96399999999983</v>
      </c>
      <c r="P184" s="13">
        <f t="shared" si="141"/>
        <v>66.113366665488854</v>
      </c>
      <c r="Q184" s="20">
        <f t="shared" si="162"/>
        <v>595.78474694239264</v>
      </c>
      <c r="R184" s="59">
        <f t="shared" si="109"/>
        <v>889.11808027572602</v>
      </c>
      <c r="S184" s="59">
        <f ca="1">AVERAGE(OFFSET($R$3,0,0,'Données projet'!$E$9+1,1))-AVERAGE(OFFSET($H$3,0,0,'Données projet'!$E$9+1,1))</f>
        <v>336.59194805061094</v>
      </c>
      <c r="T184" s="59">
        <f t="shared" si="142"/>
        <v>473.66884161123909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0.42068670460410851</v>
      </c>
      <c r="AA184" s="21">
        <f>EXP(-LN(2)/25)*AA183+(1-EXP(-LN(2)/25))/(LN(2)/25)*Calculateur!V184*Calculateur!X184*VLOOKUP('Données projet'!$B$9,Paramètres!$A$1:$I$89,3,0)*0.475*44/12</f>
        <v>0</v>
      </c>
      <c r="AB184" s="21">
        <f>EXP(-LN(2)/2)*AB183+(1-EXP(-LN(2)/2))/(LN(2)/2)*V184*Y184*VLOOKUP('Données projet'!$B$9,Paramètres!$A$1:$I$89,3,0)*0.475*44/12</f>
        <v>0</v>
      </c>
      <c r="AC184" s="22">
        <f t="shared" si="163"/>
        <v>0.42068670460410851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319</v>
      </c>
      <c r="AJ184" s="13">
        <f>AI184*VLOOKUP('Données projet'!$B$10,Paramètres!$A$1:$I$89,3,0)*VLOOKUP('Données projet'!$B$10,Paramètres!$A$1:$I$89,5,0)</f>
        <v>209.00879999999998</v>
      </c>
      <c r="AK184" s="13">
        <f t="shared" si="164"/>
        <v>51.718923953824202</v>
      </c>
      <c r="AL184" s="20">
        <f t="shared" si="165"/>
        <v>454.10078588624373</v>
      </c>
      <c r="AM184" s="59">
        <f t="shared" si="113"/>
        <v>747.43411921957704</v>
      </c>
      <c r="AN184" s="59">
        <f ca="1">AVERAGE(OFFSET($AM$3,0,0,'Données projet'!$E$10+1,1))-AVERAGE(OFFSET($H$3,0,0,'Données projet'!$E$10+1,1))</f>
        <v>244.66788784685366</v>
      </c>
      <c r="AO184" s="59">
        <f t="shared" si="144"/>
        <v>252.04429018409274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4.8065936287967901</v>
      </c>
      <c r="AV184" s="21">
        <f>EXP(-LN(2)/25)*AV183+(1-EXP(-LN(2)/25))/(LN(2)/25)*Calculateur!AQ184*Calculateur!AS184*VLOOKUP('Données projet'!$B$10,Paramètres!$A$1:$I$89,3,0)*0.475*44/12</f>
        <v>0</v>
      </c>
      <c r="AW184" s="21">
        <f>EXP(-LN(2)/2)*AW183+(1-EXP(-LN(2)/2))/(LN(2)/2)*AQ184*AT184*VLOOKUP('Données projet'!$B$10,Paramètres!$A$1:$I$89,3,0)*0.475*44/12</f>
        <v>0</v>
      </c>
      <c r="AX184" s="21">
        <f t="shared" si="166"/>
        <v>4.8065936287967901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243.99999999999989</v>
      </c>
      <c r="BE184" s="13">
        <f>BD184*VLOOKUP('Données projet'!$B$11,Paramètres!$A$1:$I$89,3,0)*VLOOKUP('Données projet'!$B$11,Paramètres!$A$1:$I$89,5,0)</f>
        <v>232.19039999999987</v>
      </c>
      <c r="BF184" s="13">
        <f t="shared" si="167"/>
        <v>56.756035639094556</v>
      </c>
      <c r="BG184" s="20">
        <f t="shared" si="168"/>
        <v>503.24837540475619</v>
      </c>
      <c r="BH184" s="59">
        <f t="shared" si="116"/>
        <v>796.58170873808945</v>
      </c>
      <c r="BI184" s="59">
        <f ca="1">AVERAGE(OFFSET($BH$3,0,0,'Données projet'!$E$11+1,1))-AVERAGE(OFFSET($H$3,0,0,'Données projet'!$E$11+1,1))</f>
        <v>373.51596132356536</v>
      </c>
      <c r="BJ184" s="59">
        <f t="shared" si="146"/>
        <v>417.00150517020114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20.941013175279757</v>
      </c>
      <c r="BQ184" s="21">
        <f>EXP(-LN(2)/25)*BQ183+(1-EXP(-LN(2)/25))/(LN(2)/25)*Calculateur!BL184*Calculateur!BN184*VLOOKUP('Données projet'!$B$11,Paramètres!$A$1:$I$89,3,0)*0.475*44/12</f>
        <v>0</v>
      </c>
      <c r="BR184" s="21">
        <f>EXP(-LN(2)/2)*BR183+(1-EXP(-LN(2)/2))/(LN(2)/2)*BL184*BO184*VLOOKUP('Données projet'!$B$11,Paramètres!$A$1:$I$89,3,0)*0.475*44/12</f>
        <v>0</v>
      </c>
      <c r="BS184" s="22">
        <f t="shared" si="169"/>
        <v>20.941013175279757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267</v>
      </c>
      <c r="BZ184" s="13">
        <f>BY184*VLOOKUP('Données projet'!$B$12,Paramètres!$A$1:$I$89,3,0)*VLOOKUP('Données projet'!$B$12,Paramètres!$A$1:$I$89,5,0)</f>
        <v>241.58159999999998</v>
      </c>
      <c r="CA184" s="13">
        <f t="shared" si="170"/>
        <v>58.779689232021951</v>
      </c>
      <c r="CB184" s="20">
        <f t="shared" si="171"/>
        <v>523.12924541243819</v>
      </c>
      <c r="CC184" s="59">
        <f t="shared" si="119"/>
        <v>816.46257874577145</v>
      </c>
      <c r="CD184" s="59">
        <f ca="1">AVERAGE(OFFSET($CC$3,0,0,'Données projet'!$E$12+1,1))-AVERAGE(OFFSET($H$3,0,0,'Données projet'!$E$12+1,1))</f>
        <v>289.19622253646992</v>
      </c>
      <c r="CE184" s="59">
        <f t="shared" si="148"/>
        <v>191.23827338431175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>
        <f>EXP(-LN(2)/35)*CK183+(1-EXP(-LN(2)/35))/(LN(2)/35)*CG184*CH184*VLOOKUP('Données projet'!$B$12,Paramètres!$A$1:$I$89,3,0)*0.475*44/12</f>
        <v>20.454431079248334</v>
      </c>
      <c r="CL184" s="21">
        <f>EXP(-LN(2)/25)*CL183+(1-EXP(-LN(2)/25))/(LN(2)/25)*Calculateur!CG184*Calculateur!CI184*VLOOKUP('Données projet'!$B$12,Paramètres!$A$1:$I$89,3,0)*0.475*44/12</f>
        <v>0</v>
      </c>
      <c r="CM184" s="21">
        <f>EXP(-LN(2)/2)*CM183+(1-EXP(-LN(2)/2))/(LN(2)/2)*CG184*CJ184*VLOOKUP('Données projet'!$B$12,Paramètres!$A$1:$I$89,3,0)*0.475*44/12</f>
        <v>0</v>
      </c>
      <c r="CN184" s="22">
        <f t="shared" si="172"/>
        <v>20.454431079248334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3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105.05040000000025</v>
      </c>
      <c r="D185" s="11">
        <f t="shared" si="140"/>
        <v>28.161713879642619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1028.3040369656642</v>
      </c>
      <c r="H185" s="67">
        <f t="shared" si="110"/>
        <v>488.67776500704463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304.99999999999983</v>
      </c>
      <c r="O185" s="13">
        <f>N185*VLOOKUP('Données projet'!$B$9,Paramètres!$A$1:$I$89,3,0)*VLOOKUP('Données projet'!$B$9,Paramètres!$A$1:$I$89,5,0)</f>
        <v>275.96399999999983</v>
      </c>
      <c r="P185" s="13">
        <f t="shared" si="141"/>
        <v>66.113366665488854</v>
      </c>
      <c r="Q185" s="20">
        <f t="shared" si="162"/>
        <v>595.78474694239264</v>
      </c>
      <c r="R185" s="59">
        <f t="shared" si="109"/>
        <v>889.11808027572602</v>
      </c>
      <c r="S185" s="59">
        <f ca="1">AVERAGE(OFFSET($R$3,0,0,'Données projet'!$E$9+1,1))-AVERAGE(OFFSET($H$3,0,0,'Données projet'!$E$9+1,1))</f>
        <v>336.59194805061094</v>
      </c>
      <c r="T185" s="59">
        <f t="shared" si="142"/>
        <v>473.66884161123909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0.41243729492037523</v>
      </c>
      <c r="AA185" s="21">
        <f>EXP(-LN(2)/25)*AA184+(1-EXP(-LN(2)/25))/(LN(2)/25)*Calculateur!V185*Calculateur!X185*VLOOKUP('Données projet'!$B$9,Paramètres!$A$1:$I$89,3,0)*0.475*44/12</f>
        <v>0</v>
      </c>
      <c r="AB185" s="21">
        <f>EXP(-LN(2)/2)*AB184+(1-EXP(-LN(2)/2))/(LN(2)/2)*V185*Y185*VLOOKUP('Données projet'!$B$9,Paramètres!$A$1:$I$89,3,0)*0.475*44/12</f>
        <v>0</v>
      </c>
      <c r="AC185" s="22">
        <f t="shared" si="163"/>
        <v>0.41243729492037523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319</v>
      </c>
      <c r="AJ185" s="13">
        <f>AI185*VLOOKUP('Données projet'!$B$10,Paramètres!$A$1:$I$89,3,0)*VLOOKUP('Données projet'!$B$10,Paramètres!$A$1:$I$89,5,0)</f>
        <v>209.00879999999998</v>
      </c>
      <c r="AK185" s="13">
        <f t="shared" si="164"/>
        <v>51.718923953824202</v>
      </c>
      <c r="AL185" s="20">
        <f t="shared" si="165"/>
        <v>454.10078588624373</v>
      </c>
      <c r="AM185" s="59">
        <f t="shared" si="113"/>
        <v>747.43411921957704</v>
      </c>
      <c r="AN185" s="59">
        <f ca="1">AVERAGE(OFFSET($AM$3,0,0,'Données projet'!$E$10+1,1))-AVERAGE(OFFSET($H$3,0,0,'Données projet'!$E$10+1,1))</f>
        <v>244.66788784685366</v>
      </c>
      <c r="AO185" s="59">
        <f t="shared" si="144"/>
        <v>252.04429018409274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4.7123392594687141</v>
      </c>
      <c r="AV185" s="21">
        <f>EXP(-LN(2)/25)*AV184+(1-EXP(-LN(2)/25))/(LN(2)/25)*Calculateur!AQ185*Calculateur!AS185*VLOOKUP('Données projet'!$B$10,Paramètres!$A$1:$I$89,3,0)*0.475*44/12</f>
        <v>0</v>
      </c>
      <c r="AW185" s="21">
        <f>EXP(-LN(2)/2)*AW184+(1-EXP(-LN(2)/2))/(LN(2)/2)*AQ185*AT185*VLOOKUP('Données projet'!$B$10,Paramètres!$A$1:$I$89,3,0)*0.475*44/12</f>
        <v>0</v>
      </c>
      <c r="AX185" s="21">
        <f t="shared" si="166"/>
        <v>4.7123392594687141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243.99999999999989</v>
      </c>
      <c r="BE185" s="13">
        <f>BD185*VLOOKUP('Données projet'!$B$11,Paramètres!$A$1:$I$89,3,0)*VLOOKUP('Données projet'!$B$11,Paramètres!$A$1:$I$89,5,0)</f>
        <v>232.19039999999987</v>
      </c>
      <c r="BF185" s="13">
        <f t="shared" si="167"/>
        <v>56.756035639094556</v>
      </c>
      <c r="BG185" s="20">
        <f t="shared" si="168"/>
        <v>503.24837540475619</v>
      </c>
      <c r="BH185" s="59">
        <f t="shared" si="116"/>
        <v>796.58170873808945</v>
      </c>
      <c r="BI185" s="59">
        <f ca="1">AVERAGE(OFFSET($BH$3,0,0,'Données projet'!$E$11+1,1))-AVERAGE(OFFSET($H$3,0,0,'Données projet'!$E$11+1,1))</f>
        <v>373.51596132356536</v>
      </c>
      <c r="BJ185" s="59">
        <f t="shared" si="146"/>
        <v>417.00150517020114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20.530372679669352</v>
      </c>
      <c r="BQ185" s="21">
        <f>EXP(-LN(2)/25)*BQ184+(1-EXP(-LN(2)/25))/(LN(2)/25)*Calculateur!BL185*Calculateur!BN185*VLOOKUP('Données projet'!$B$11,Paramètres!$A$1:$I$89,3,0)*0.475*44/12</f>
        <v>0</v>
      </c>
      <c r="BR185" s="21">
        <f>EXP(-LN(2)/2)*BR184+(1-EXP(-LN(2)/2))/(LN(2)/2)*BL185*BO185*VLOOKUP('Données projet'!$B$11,Paramètres!$A$1:$I$89,3,0)*0.475*44/12</f>
        <v>0</v>
      </c>
      <c r="BS185" s="22">
        <f t="shared" si="169"/>
        <v>20.530372679669352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267</v>
      </c>
      <c r="BZ185" s="13">
        <f>BY185*VLOOKUP('Données projet'!$B$12,Paramètres!$A$1:$I$89,3,0)*VLOOKUP('Données projet'!$B$12,Paramètres!$A$1:$I$89,5,0)</f>
        <v>241.58159999999998</v>
      </c>
      <c r="CA185" s="13">
        <f t="shared" si="170"/>
        <v>58.779689232021951</v>
      </c>
      <c r="CB185" s="20">
        <f t="shared" si="171"/>
        <v>523.12924541243819</v>
      </c>
      <c r="CC185" s="59">
        <f t="shared" si="119"/>
        <v>816.46257874577145</v>
      </c>
      <c r="CD185" s="59">
        <f ca="1">AVERAGE(OFFSET($CC$3,0,0,'Données projet'!$E$12+1,1))-AVERAGE(OFFSET($H$3,0,0,'Données projet'!$E$12+1,1))</f>
        <v>289.19622253646992</v>
      </c>
      <c r="CE185" s="59">
        <f t="shared" si="148"/>
        <v>191.23827338431175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>
        <f>EXP(-LN(2)/35)*CK184+(1-EXP(-LN(2)/35))/(LN(2)/35)*CG185*CH185*VLOOKUP('Données projet'!$B$12,Paramètres!$A$1:$I$89,3,0)*0.475*44/12</f>
        <v>20.053332161755332</v>
      </c>
      <c r="CL185" s="21">
        <f>EXP(-LN(2)/25)*CL184+(1-EXP(-LN(2)/25))/(LN(2)/25)*Calculateur!CG185*Calculateur!CI185*VLOOKUP('Données projet'!$B$12,Paramètres!$A$1:$I$89,3,0)*0.475*44/12</f>
        <v>0</v>
      </c>
      <c r="CM185" s="21">
        <f>EXP(-LN(2)/2)*CM184+(1-EXP(-LN(2)/2))/(LN(2)/2)*CG185*CJ185*VLOOKUP('Données projet'!$B$12,Paramètres!$A$1:$I$89,3,0)*0.475*44/12</f>
        <v>0</v>
      </c>
      <c r="CN185" s="22">
        <f t="shared" si="172"/>
        <v>20.053332161755332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3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105.62760000000026</v>
      </c>
      <c r="D186" s="11">
        <f t="shared" si="140"/>
        <v>28.29839382082482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1033.8146891432111</v>
      </c>
      <c r="H186" s="67">
        <f t="shared" si="110"/>
        <v>489.92110590460368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304.99999999999983</v>
      </c>
      <c r="O186" s="13">
        <f>N186*VLOOKUP('Données projet'!$B$9,Paramètres!$A$1:$I$89,3,0)*VLOOKUP('Données projet'!$B$9,Paramètres!$A$1:$I$89,5,0)</f>
        <v>275.96399999999983</v>
      </c>
      <c r="P186" s="13">
        <f t="shared" si="141"/>
        <v>66.113366665488854</v>
      </c>
      <c r="Q186" s="20">
        <f t="shared" si="162"/>
        <v>595.78474694239264</v>
      </c>
      <c r="R186" s="59">
        <f t="shared" si="109"/>
        <v>889.11808027572602</v>
      </c>
      <c r="S186" s="59">
        <f ca="1">AVERAGE(OFFSET($R$3,0,0,'Données projet'!$E$9+1,1))-AVERAGE(OFFSET($H$3,0,0,'Données projet'!$E$9+1,1))</f>
        <v>336.59194805061094</v>
      </c>
      <c r="T186" s="59">
        <f t="shared" si="142"/>
        <v>473.66884161123909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0.40434965112889693</v>
      </c>
      <c r="AA186" s="21">
        <f>EXP(-LN(2)/25)*AA185+(1-EXP(-LN(2)/25))/(LN(2)/25)*Calculateur!V186*Calculateur!X186*VLOOKUP('Données projet'!$B$9,Paramètres!$A$1:$I$89,3,0)*0.475*44/12</f>
        <v>0</v>
      </c>
      <c r="AB186" s="21">
        <f>EXP(-LN(2)/2)*AB185+(1-EXP(-LN(2)/2))/(LN(2)/2)*V186*Y186*VLOOKUP('Données projet'!$B$9,Paramètres!$A$1:$I$89,3,0)*0.475*44/12</f>
        <v>0</v>
      </c>
      <c r="AC186" s="22">
        <f t="shared" si="163"/>
        <v>0.40434965112889693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319</v>
      </c>
      <c r="AJ186" s="13">
        <f>AI186*VLOOKUP('Données projet'!$B$10,Paramètres!$A$1:$I$89,3,0)*VLOOKUP('Données projet'!$B$10,Paramètres!$A$1:$I$89,5,0)</f>
        <v>209.00879999999998</v>
      </c>
      <c r="AK186" s="13">
        <f t="shared" si="164"/>
        <v>51.718923953824202</v>
      </c>
      <c r="AL186" s="20">
        <f t="shared" si="165"/>
        <v>454.10078588624373</v>
      </c>
      <c r="AM186" s="59">
        <f t="shared" si="113"/>
        <v>747.43411921957704</v>
      </c>
      <c r="AN186" s="59">
        <f ca="1">AVERAGE(OFFSET($AM$3,0,0,'Données projet'!$E$10+1,1))-AVERAGE(OFFSET($H$3,0,0,'Données projet'!$E$10+1,1))</f>
        <v>244.66788784685366</v>
      </c>
      <c r="AO186" s="59">
        <f t="shared" si="144"/>
        <v>252.04429018409274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4.6199331608336731</v>
      </c>
      <c r="AV186" s="21">
        <f>EXP(-LN(2)/25)*AV185+(1-EXP(-LN(2)/25))/(LN(2)/25)*Calculateur!AQ186*Calculateur!AS186*VLOOKUP('Données projet'!$B$10,Paramètres!$A$1:$I$89,3,0)*0.475*44/12</f>
        <v>0</v>
      </c>
      <c r="AW186" s="21">
        <f>EXP(-LN(2)/2)*AW185+(1-EXP(-LN(2)/2))/(LN(2)/2)*AQ186*AT186*VLOOKUP('Données projet'!$B$10,Paramètres!$A$1:$I$89,3,0)*0.475*44/12</f>
        <v>0</v>
      </c>
      <c r="AX186" s="21">
        <f t="shared" si="166"/>
        <v>4.6199331608336731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243.99999999999989</v>
      </c>
      <c r="BE186" s="13">
        <f>BD186*VLOOKUP('Données projet'!$B$11,Paramètres!$A$1:$I$89,3,0)*VLOOKUP('Données projet'!$B$11,Paramètres!$A$1:$I$89,5,0)</f>
        <v>232.19039999999987</v>
      </c>
      <c r="BF186" s="13">
        <f t="shared" si="167"/>
        <v>56.756035639094556</v>
      </c>
      <c r="BG186" s="20">
        <f t="shared" si="168"/>
        <v>503.24837540475619</v>
      </c>
      <c r="BH186" s="59">
        <f t="shared" si="116"/>
        <v>796.58170873808945</v>
      </c>
      <c r="BI186" s="59">
        <f ca="1">AVERAGE(OFFSET($BH$3,0,0,'Données projet'!$E$11+1,1))-AVERAGE(OFFSET($H$3,0,0,'Données projet'!$E$11+1,1))</f>
        <v>373.51596132356536</v>
      </c>
      <c r="BJ186" s="59">
        <f t="shared" si="146"/>
        <v>417.00150517020114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20.127784593711898</v>
      </c>
      <c r="BQ186" s="21">
        <f>EXP(-LN(2)/25)*BQ185+(1-EXP(-LN(2)/25))/(LN(2)/25)*Calculateur!BL186*Calculateur!BN186*VLOOKUP('Données projet'!$B$11,Paramètres!$A$1:$I$89,3,0)*0.475*44/12</f>
        <v>0</v>
      </c>
      <c r="BR186" s="21">
        <f>EXP(-LN(2)/2)*BR185+(1-EXP(-LN(2)/2))/(LN(2)/2)*BL186*BO186*VLOOKUP('Données projet'!$B$11,Paramètres!$A$1:$I$89,3,0)*0.475*44/12</f>
        <v>0</v>
      </c>
      <c r="BS186" s="22">
        <f t="shared" si="169"/>
        <v>20.127784593711898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267</v>
      </c>
      <c r="BZ186" s="13">
        <f>BY186*VLOOKUP('Données projet'!$B$12,Paramètres!$A$1:$I$89,3,0)*VLOOKUP('Données projet'!$B$12,Paramètres!$A$1:$I$89,5,0)</f>
        <v>241.58159999999998</v>
      </c>
      <c r="CA186" s="13">
        <f t="shared" si="170"/>
        <v>58.779689232021951</v>
      </c>
      <c r="CB186" s="20">
        <f t="shared" si="171"/>
        <v>523.12924541243819</v>
      </c>
      <c r="CC186" s="59">
        <f t="shared" si="119"/>
        <v>816.46257874577145</v>
      </c>
      <c r="CD186" s="59">
        <f ca="1">AVERAGE(OFFSET($CC$3,0,0,'Données projet'!$E$12+1,1))-AVERAGE(OFFSET($H$3,0,0,'Données projet'!$E$12+1,1))</f>
        <v>289.19622253646992</v>
      </c>
      <c r="CE186" s="59">
        <f t="shared" si="148"/>
        <v>191.23827338431175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>
        <f>EXP(-LN(2)/35)*CK185+(1-EXP(-LN(2)/35))/(LN(2)/35)*CG186*CH186*VLOOKUP('Données projet'!$B$12,Paramètres!$A$1:$I$89,3,0)*0.475*44/12</f>
        <v>19.660098549388184</v>
      </c>
      <c r="CL186" s="21">
        <f>EXP(-LN(2)/25)*CL185+(1-EXP(-LN(2)/25))/(LN(2)/25)*Calculateur!CG186*Calculateur!CI186*VLOOKUP('Données projet'!$B$12,Paramètres!$A$1:$I$89,3,0)*0.475*44/12</f>
        <v>0</v>
      </c>
      <c r="CM186" s="21">
        <f>EXP(-LN(2)/2)*CM185+(1-EXP(-LN(2)/2))/(LN(2)/2)*CG186*CJ186*VLOOKUP('Données projet'!$B$12,Paramètres!$A$1:$I$89,3,0)*0.475*44/12</f>
        <v>0</v>
      </c>
      <c r="CN186" s="22">
        <f t="shared" si="172"/>
        <v>19.660098549388184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3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106.20480000000026</v>
      </c>
      <c r="D187" s="11">
        <f t="shared" si="140"/>
        <v>28.434986851787322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1039.3246704348514</v>
      </c>
      <c r="H187" s="67">
        <f t="shared" si="110"/>
        <v>491.16429543353007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304.99999999999983</v>
      </c>
      <c r="O187" s="13">
        <f>N187*VLOOKUP('Données projet'!$B$9,Paramètres!$A$1:$I$89,3,0)*VLOOKUP('Données projet'!$B$9,Paramètres!$A$1:$I$89,5,0)</f>
        <v>275.96399999999983</v>
      </c>
      <c r="P187" s="13">
        <f t="shared" si="141"/>
        <v>66.113366665488854</v>
      </c>
      <c r="Q187" s="20">
        <f t="shared" si="162"/>
        <v>595.78474694239264</v>
      </c>
      <c r="R187" s="59">
        <f t="shared" si="109"/>
        <v>889.11808027572602</v>
      </c>
      <c r="S187" s="59">
        <f ca="1">AVERAGE(OFFSET($R$3,0,0,'Données projet'!$E$9+1,1))-AVERAGE(OFFSET($H$3,0,0,'Données projet'!$E$9+1,1))</f>
        <v>336.59194805061094</v>
      </c>
      <c r="T187" s="59">
        <f t="shared" si="142"/>
        <v>473.66884161123909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0.39642060109919386</v>
      </c>
      <c r="AA187" s="21">
        <f>EXP(-LN(2)/25)*AA186+(1-EXP(-LN(2)/25))/(LN(2)/25)*Calculateur!V187*Calculateur!X187*VLOOKUP('Données projet'!$B$9,Paramètres!$A$1:$I$89,3,0)*0.475*44/12</f>
        <v>0</v>
      </c>
      <c r="AB187" s="21">
        <f>EXP(-LN(2)/2)*AB186+(1-EXP(-LN(2)/2))/(LN(2)/2)*V187*Y187*VLOOKUP('Données projet'!$B$9,Paramètres!$A$1:$I$89,3,0)*0.475*44/12</f>
        <v>0</v>
      </c>
      <c r="AC187" s="22">
        <f t="shared" si="163"/>
        <v>0.39642060109919386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319</v>
      </c>
      <c r="AJ187" s="13">
        <f>AI187*VLOOKUP('Données projet'!$B$10,Paramètres!$A$1:$I$89,3,0)*VLOOKUP('Données projet'!$B$10,Paramètres!$A$1:$I$89,5,0)</f>
        <v>209.00879999999998</v>
      </c>
      <c r="AK187" s="13">
        <f t="shared" si="164"/>
        <v>51.718923953824202</v>
      </c>
      <c r="AL187" s="20">
        <f t="shared" si="165"/>
        <v>454.10078588624373</v>
      </c>
      <c r="AM187" s="59">
        <f t="shared" si="113"/>
        <v>747.43411921957704</v>
      </c>
      <c r="AN187" s="59">
        <f ca="1">AVERAGE(OFFSET($AM$3,0,0,'Données projet'!$E$10+1,1))-AVERAGE(OFFSET($H$3,0,0,'Données projet'!$E$10+1,1))</f>
        <v>244.66788784685366</v>
      </c>
      <c r="AO187" s="59">
        <f t="shared" si="144"/>
        <v>252.04429018409274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4.5293390894307102</v>
      </c>
      <c r="AV187" s="21">
        <f>EXP(-LN(2)/25)*AV186+(1-EXP(-LN(2)/25))/(LN(2)/25)*Calculateur!AQ187*Calculateur!AS187*VLOOKUP('Données projet'!$B$10,Paramètres!$A$1:$I$89,3,0)*0.475*44/12</f>
        <v>0</v>
      </c>
      <c r="AW187" s="21">
        <f>EXP(-LN(2)/2)*AW186+(1-EXP(-LN(2)/2))/(LN(2)/2)*AQ187*AT187*VLOOKUP('Données projet'!$B$10,Paramètres!$A$1:$I$89,3,0)*0.475*44/12</f>
        <v>0</v>
      </c>
      <c r="AX187" s="21">
        <f t="shared" si="166"/>
        <v>4.5293390894307102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243.99999999999989</v>
      </c>
      <c r="BE187" s="13">
        <f>BD187*VLOOKUP('Données projet'!$B$11,Paramètres!$A$1:$I$89,3,0)*VLOOKUP('Données projet'!$B$11,Paramètres!$A$1:$I$89,5,0)</f>
        <v>232.19039999999987</v>
      </c>
      <c r="BF187" s="13">
        <f t="shared" si="167"/>
        <v>56.756035639094556</v>
      </c>
      <c r="BG187" s="20">
        <f t="shared" si="168"/>
        <v>503.24837540475619</v>
      </c>
      <c r="BH187" s="59">
        <f t="shared" si="116"/>
        <v>796.58170873808945</v>
      </c>
      <c r="BI187" s="59">
        <f ca="1">AVERAGE(OFFSET($BH$3,0,0,'Données projet'!$E$11+1,1))-AVERAGE(OFFSET($H$3,0,0,'Données projet'!$E$11+1,1))</f>
        <v>373.51596132356536</v>
      </c>
      <c r="BJ187" s="59">
        <f t="shared" si="146"/>
        <v>417.00150517020114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19.733091014565581</v>
      </c>
      <c r="BQ187" s="21">
        <f>EXP(-LN(2)/25)*BQ186+(1-EXP(-LN(2)/25))/(LN(2)/25)*Calculateur!BL187*Calculateur!BN187*VLOOKUP('Données projet'!$B$11,Paramètres!$A$1:$I$89,3,0)*0.475*44/12</f>
        <v>0</v>
      </c>
      <c r="BR187" s="21">
        <f>EXP(-LN(2)/2)*BR186+(1-EXP(-LN(2)/2))/(LN(2)/2)*BL187*BO187*VLOOKUP('Données projet'!$B$11,Paramètres!$A$1:$I$89,3,0)*0.475*44/12</f>
        <v>0</v>
      </c>
      <c r="BS187" s="22">
        <f t="shared" si="169"/>
        <v>19.733091014565581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267</v>
      </c>
      <c r="BZ187" s="13">
        <f>BY187*VLOOKUP('Données projet'!$B$12,Paramètres!$A$1:$I$89,3,0)*VLOOKUP('Données projet'!$B$12,Paramètres!$A$1:$I$89,5,0)</f>
        <v>241.58159999999998</v>
      </c>
      <c r="CA187" s="13">
        <f t="shared" si="170"/>
        <v>58.779689232021951</v>
      </c>
      <c r="CB187" s="20">
        <f t="shared" si="171"/>
        <v>523.12924541243819</v>
      </c>
      <c r="CC187" s="59">
        <f t="shared" si="119"/>
        <v>816.46257874577145</v>
      </c>
      <c r="CD187" s="59">
        <f ca="1">AVERAGE(OFFSET($CC$3,0,0,'Données projet'!$E$12+1,1))-AVERAGE(OFFSET($H$3,0,0,'Données projet'!$E$12+1,1))</f>
        <v>289.19622253646992</v>
      </c>
      <c r="CE187" s="59">
        <f t="shared" si="148"/>
        <v>191.23827338431175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>
        <f>EXP(-LN(2)/35)*CK186+(1-EXP(-LN(2)/35))/(LN(2)/35)*CG187*CH187*VLOOKUP('Données projet'!$B$12,Paramètres!$A$1:$I$89,3,0)*0.475*44/12</f>
        <v>19.274576008310738</v>
      </c>
      <c r="CL187" s="21">
        <f>EXP(-LN(2)/25)*CL186+(1-EXP(-LN(2)/25))/(LN(2)/25)*Calculateur!CG187*Calculateur!CI187*VLOOKUP('Données projet'!$B$12,Paramètres!$A$1:$I$89,3,0)*0.475*44/12</f>
        <v>0</v>
      </c>
      <c r="CM187" s="21">
        <f>EXP(-LN(2)/2)*CM186+(1-EXP(-LN(2)/2))/(LN(2)/2)*CG187*CJ187*VLOOKUP('Données projet'!$B$12,Paramètres!$A$1:$I$89,3,0)*0.475*44/12</f>
        <v>0</v>
      </c>
      <c r="CN187" s="22">
        <f t="shared" si="172"/>
        <v>19.274576008310738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3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106.78200000000027</v>
      </c>
      <c r="D188" s="11">
        <f t="shared" si="140"/>
        <v>28.571493499686913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1044.8339849098659</v>
      </c>
      <c r="H188" s="67">
        <f t="shared" si="110"/>
        <v>492.40733451195518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304.99999999999983</v>
      </c>
      <c r="O188" s="13">
        <f>N188*VLOOKUP('Données projet'!$B$9,Paramètres!$A$1:$I$89,3,0)*VLOOKUP('Données projet'!$B$9,Paramètres!$A$1:$I$89,5,0)</f>
        <v>275.96399999999983</v>
      </c>
      <c r="P188" s="13">
        <f t="shared" si="141"/>
        <v>66.113366665488854</v>
      </c>
      <c r="Q188" s="20">
        <f t="shared" si="162"/>
        <v>595.78474694239264</v>
      </c>
      <c r="R188" s="59">
        <f t="shared" si="109"/>
        <v>889.11808027572602</v>
      </c>
      <c r="S188" s="59">
        <f ca="1">AVERAGE(OFFSET($R$3,0,0,'Données projet'!$E$9+1,1))-AVERAGE(OFFSET($H$3,0,0,'Données projet'!$E$9+1,1))</f>
        <v>336.59194805061094</v>
      </c>
      <c r="T188" s="59">
        <f t="shared" si="142"/>
        <v>473.66884161123909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0.38864703490433028</v>
      </c>
      <c r="AA188" s="21">
        <f>EXP(-LN(2)/25)*AA187+(1-EXP(-LN(2)/25))/(LN(2)/25)*Calculateur!V188*Calculateur!X188*VLOOKUP('Données projet'!$B$9,Paramètres!$A$1:$I$89,3,0)*0.475*44/12</f>
        <v>0</v>
      </c>
      <c r="AB188" s="21">
        <f>EXP(-LN(2)/2)*AB187+(1-EXP(-LN(2)/2))/(LN(2)/2)*V188*Y188*VLOOKUP('Données projet'!$B$9,Paramètres!$A$1:$I$89,3,0)*0.475*44/12</f>
        <v>0</v>
      </c>
      <c r="AC188" s="22">
        <f t="shared" si="163"/>
        <v>0.38864703490433028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319</v>
      </c>
      <c r="AJ188" s="13">
        <f>AI188*VLOOKUP('Données projet'!$B$10,Paramètres!$A$1:$I$89,3,0)*VLOOKUP('Données projet'!$B$10,Paramètres!$A$1:$I$89,5,0)</f>
        <v>209.00879999999998</v>
      </c>
      <c r="AK188" s="13">
        <f t="shared" si="164"/>
        <v>51.718923953824202</v>
      </c>
      <c r="AL188" s="20">
        <f t="shared" si="165"/>
        <v>454.10078588624373</v>
      </c>
      <c r="AM188" s="59">
        <f t="shared" si="113"/>
        <v>747.43411921957704</v>
      </c>
      <c r="AN188" s="59">
        <f ca="1">AVERAGE(OFFSET($AM$3,0,0,'Données projet'!$E$10+1,1))-AVERAGE(OFFSET($H$3,0,0,'Données projet'!$E$10+1,1))</f>
        <v>244.66788784685366</v>
      </c>
      <c r="AO188" s="59">
        <f t="shared" si="144"/>
        <v>252.04429018409274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4.4405215125110322</v>
      </c>
      <c r="AV188" s="21">
        <f>EXP(-LN(2)/25)*AV187+(1-EXP(-LN(2)/25))/(LN(2)/25)*Calculateur!AQ188*Calculateur!AS188*VLOOKUP('Données projet'!$B$10,Paramètres!$A$1:$I$89,3,0)*0.475*44/12</f>
        <v>0</v>
      </c>
      <c r="AW188" s="21">
        <f>EXP(-LN(2)/2)*AW187+(1-EXP(-LN(2)/2))/(LN(2)/2)*AQ188*AT188*VLOOKUP('Données projet'!$B$10,Paramètres!$A$1:$I$89,3,0)*0.475*44/12</f>
        <v>0</v>
      </c>
      <c r="AX188" s="21">
        <f t="shared" si="166"/>
        <v>4.4405215125110322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243.99999999999989</v>
      </c>
      <c r="BE188" s="13">
        <f>BD188*VLOOKUP('Données projet'!$B$11,Paramètres!$A$1:$I$89,3,0)*VLOOKUP('Données projet'!$B$11,Paramètres!$A$1:$I$89,5,0)</f>
        <v>232.19039999999987</v>
      </c>
      <c r="BF188" s="13">
        <f t="shared" si="167"/>
        <v>56.756035639094556</v>
      </c>
      <c r="BG188" s="20">
        <f t="shared" si="168"/>
        <v>503.24837540475619</v>
      </c>
      <c r="BH188" s="59">
        <f t="shared" si="116"/>
        <v>796.58170873808945</v>
      </c>
      <c r="BI188" s="59">
        <f ca="1">AVERAGE(OFFSET($BH$3,0,0,'Données projet'!$E$11+1,1))-AVERAGE(OFFSET($H$3,0,0,'Données projet'!$E$11+1,1))</f>
        <v>373.51596132356536</v>
      </c>
      <c r="BJ188" s="59">
        <f t="shared" si="146"/>
        <v>417.00150517020114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19.346137135767012</v>
      </c>
      <c r="BQ188" s="21">
        <f>EXP(-LN(2)/25)*BQ187+(1-EXP(-LN(2)/25))/(LN(2)/25)*Calculateur!BL188*Calculateur!BN188*VLOOKUP('Données projet'!$B$11,Paramètres!$A$1:$I$89,3,0)*0.475*44/12</f>
        <v>0</v>
      </c>
      <c r="BR188" s="21">
        <f>EXP(-LN(2)/2)*BR187+(1-EXP(-LN(2)/2))/(LN(2)/2)*BL188*BO188*VLOOKUP('Données projet'!$B$11,Paramètres!$A$1:$I$89,3,0)*0.475*44/12</f>
        <v>0</v>
      </c>
      <c r="BS188" s="22">
        <f t="shared" si="169"/>
        <v>19.346137135767012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267</v>
      </c>
      <c r="BZ188" s="13">
        <f>BY188*VLOOKUP('Données projet'!$B$12,Paramètres!$A$1:$I$89,3,0)*VLOOKUP('Données projet'!$B$12,Paramètres!$A$1:$I$89,5,0)</f>
        <v>241.58159999999998</v>
      </c>
      <c r="CA188" s="13">
        <f t="shared" si="170"/>
        <v>58.779689232021951</v>
      </c>
      <c r="CB188" s="20">
        <f t="shared" si="171"/>
        <v>523.12924541243819</v>
      </c>
      <c r="CC188" s="59">
        <f t="shared" si="119"/>
        <v>816.46257874577145</v>
      </c>
      <c r="CD188" s="59">
        <f ca="1">AVERAGE(OFFSET($CC$3,0,0,'Données projet'!$E$12+1,1))-AVERAGE(OFFSET($H$3,0,0,'Données projet'!$E$12+1,1))</f>
        <v>289.19622253646992</v>
      </c>
      <c r="CE188" s="59">
        <f t="shared" si="148"/>
        <v>191.23827338431175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>
        <f>EXP(-LN(2)/35)*CK187+(1-EXP(-LN(2)/35))/(LN(2)/35)*CG188*CH188*VLOOKUP('Données projet'!$B$12,Paramètres!$A$1:$I$89,3,0)*0.475*44/12</f>
        <v>18.896613329118289</v>
      </c>
      <c r="CL188" s="21">
        <f>EXP(-LN(2)/25)*CL187+(1-EXP(-LN(2)/25))/(LN(2)/25)*Calculateur!CG188*Calculateur!CI188*VLOOKUP('Données projet'!$B$12,Paramètres!$A$1:$I$89,3,0)*0.475*44/12</f>
        <v>0</v>
      </c>
      <c r="CM188" s="21">
        <f>EXP(-LN(2)/2)*CM187+(1-EXP(-LN(2)/2))/(LN(2)/2)*CG188*CJ188*VLOOKUP('Données projet'!$B$12,Paramètres!$A$1:$I$89,3,0)*0.475*44/12</f>
        <v>0</v>
      </c>
      <c r="CN188" s="22">
        <f t="shared" si="172"/>
        <v>18.896613329118289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3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107.35920000000027</v>
      </c>
      <c r="D189" s="11">
        <f t="shared" si="140"/>
        <v>28.707914285651423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1050.3426365909957</v>
      </c>
      <c r="H189" s="67">
        <f t="shared" si="110"/>
        <v>493.65022404751005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304.99999999999983</v>
      </c>
      <c r="O189" s="13">
        <f>N189*VLOOKUP('Données projet'!$B$9,Paramètres!$A$1:$I$89,3,0)*VLOOKUP('Données projet'!$B$9,Paramètres!$A$1:$I$89,5,0)</f>
        <v>275.96399999999983</v>
      </c>
      <c r="P189" s="13">
        <f t="shared" si="141"/>
        <v>66.113366665488854</v>
      </c>
      <c r="Q189" s="20">
        <f t="shared" si="162"/>
        <v>595.78474694239264</v>
      </c>
      <c r="R189" s="59">
        <f t="shared" si="109"/>
        <v>889.11808027572602</v>
      </c>
      <c r="S189" s="59">
        <f ca="1">AVERAGE(OFFSET($R$3,0,0,'Données projet'!$E$9+1,1))-AVERAGE(OFFSET($H$3,0,0,'Données projet'!$E$9+1,1))</f>
        <v>336.59194805061094</v>
      </c>
      <c r="T189" s="59">
        <f t="shared" si="142"/>
        <v>473.66884161123909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0.3810259036011408</v>
      </c>
      <c r="AA189" s="21">
        <f>EXP(-LN(2)/25)*AA188+(1-EXP(-LN(2)/25))/(LN(2)/25)*Calculateur!V189*Calculateur!X189*VLOOKUP('Données projet'!$B$9,Paramètres!$A$1:$I$89,3,0)*0.475*44/12</f>
        <v>0</v>
      </c>
      <c r="AB189" s="21">
        <f>EXP(-LN(2)/2)*AB188+(1-EXP(-LN(2)/2))/(LN(2)/2)*V189*Y189*VLOOKUP('Données projet'!$B$9,Paramètres!$A$1:$I$89,3,0)*0.475*44/12</f>
        <v>0</v>
      </c>
      <c r="AC189" s="22">
        <f t="shared" si="163"/>
        <v>0.3810259036011408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319</v>
      </c>
      <c r="AJ189" s="13">
        <f>AI189*VLOOKUP('Données projet'!$B$10,Paramètres!$A$1:$I$89,3,0)*VLOOKUP('Données projet'!$B$10,Paramètres!$A$1:$I$89,5,0)</f>
        <v>209.00879999999998</v>
      </c>
      <c r="AK189" s="13">
        <f t="shared" si="164"/>
        <v>51.718923953824202</v>
      </c>
      <c r="AL189" s="20">
        <f t="shared" si="165"/>
        <v>454.10078588624373</v>
      </c>
      <c r="AM189" s="59">
        <f t="shared" si="113"/>
        <v>747.43411921957704</v>
      </c>
      <c r="AN189" s="59">
        <f ca="1">AVERAGE(OFFSET($AM$3,0,0,'Données projet'!$E$10+1,1))-AVERAGE(OFFSET($H$3,0,0,'Données projet'!$E$10+1,1))</f>
        <v>244.66788784685366</v>
      </c>
      <c r="AO189" s="59">
        <f t="shared" si="144"/>
        <v>252.04429018409274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4.3534455941013759</v>
      </c>
      <c r="AV189" s="21">
        <f>EXP(-LN(2)/25)*AV188+(1-EXP(-LN(2)/25))/(LN(2)/25)*Calculateur!AQ189*Calculateur!AS189*VLOOKUP('Données projet'!$B$10,Paramètres!$A$1:$I$89,3,0)*0.475*44/12</f>
        <v>0</v>
      </c>
      <c r="AW189" s="21">
        <f>EXP(-LN(2)/2)*AW188+(1-EXP(-LN(2)/2))/(LN(2)/2)*AQ189*AT189*VLOOKUP('Données projet'!$B$10,Paramètres!$A$1:$I$89,3,0)*0.475*44/12</f>
        <v>0</v>
      </c>
      <c r="AX189" s="21">
        <f t="shared" si="166"/>
        <v>4.3534455941013759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243.99999999999989</v>
      </c>
      <c r="BE189" s="13">
        <f>BD189*VLOOKUP('Données projet'!$B$11,Paramètres!$A$1:$I$89,3,0)*VLOOKUP('Données projet'!$B$11,Paramètres!$A$1:$I$89,5,0)</f>
        <v>232.19039999999987</v>
      </c>
      <c r="BF189" s="13">
        <f t="shared" si="167"/>
        <v>56.756035639094556</v>
      </c>
      <c r="BG189" s="20">
        <f t="shared" si="168"/>
        <v>503.24837540475619</v>
      </c>
      <c r="BH189" s="59">
        <f t="shared" si="116"/>
        <v>796.58170873808945</v>
      </c>
      <c r="BI189" s="59">
        <f ca="1">AVERAGE(OFFSET($BH$3,0,0,'Données projet'!$E$11+1,1))-AVERAGE(OFFSET($H$3,0,0,'Données projet'!$E$11+1,1))</f>
        <v>373.51596132356536</v>
      </c>
      <c r="BJ189" s="59">
        <f t="shared" si="146"/>
        <v>417.00150517020114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18.966771186513125</v>
      </c>
      <c r="BQ189" s="21">
        <f>EXP(-LN(2)/25)*BQ188+(1-EXP(-LN(2)/25))/(LN(2)/25)*Calculateur!BL189*Calculateur!BN189*VLOOKUP('Données projet'!$B$11,Paramètres!$A$1:$I$89,3,0)*0.475*44/12</f>
        <v>0</v>
      </c>
      <c r="BR189" s="21">
        <f>EXP(-LN(2)/2)*BR188+(1-EXP(-LN(2)/2))/(LN(2)/2)*BL189*BO189*VLOOKUP('Données projet'!$B$11,Paramètres!$A$1:$I$89,3,0)*0.475*44/12</f>
        <v>0</v>
      </c>
      <c r="BS189" s="22">
        <f t="shared" si="169"/>
        <v>18.966771186513125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267</v>
      </c>
      <c r="BZ189" s="13">
        <f>BY189*VLOOKUP('Données projet'!$B$12,Paramètres!$A$1:$I$89,3,0)*VLOOKUP('Données projet'!$B$12,Paramètres!$A$1:$I$89,5,0)</f>
        <v>241.58159999999998</v>
      </c>
      <c r="CA189" s="13">
        <f t="shared" si="170"/>
        <v>58.779689232021951</v>
      </c>
      <c r="CB189" s="20">
        <f t="shared" si="171"/>
        <v>523.12924541243819</v>
      </c>
      <c r="CC189" s="59">
        <f t="shared" si="119"/>
        <v>816.46257874577145</v>
      </c>
      <c r="CD189" s="59">
        <f ca="1">AVERAGE(OFFSET($CC$3,0,0,'Données projet'!$E$12+1,1))-AVERAGE(OFFSET($H$3,0,0,'Données projet'!$E$12+1,1))</f>
        <v>289.19622253646992</v>
      </c>
      <c r="CE189" s="59">
        <f t="shared" si="148"/>
        <v>191.23827338431175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>
        <f>EXP(-LN(2)/35)*CK188+(1-EXP(-LN(2)/35))/(LN(2)/35)*CG189*CH189*VLOOKUP('Données projet'!$B$12,Paramètres!$A$1:$I$89,3,0)*0.475*44/12</f>
        <v>18.526062267530332</v>
      </c>
      <c r="CL189" s="21">
        <f>EXP(-LN(2)/25)*CL188+(1-EXP(-LN(2)/25))/(LN(2)/25)*Calculateur!CG189*Calculateur!CI189*VLOOKUP('Données projet'!$B$12,Paramètres!$A$1:$I$89,3,0)*0.475*44/12</f>
        <v>0</v>
      </c>
      <c r="CM189" s="21">
        <f>EXP(-LN(2)/2)*CM188+(1-EXP(-LN(2)/2))/(LN(2)/2)*CG189*CJ189*VLOOKUP('Données projet'!$B$12,Paramètres!$A$1:$I$89,3,0)*0.475*44/12</f>
        <v>0</v>
      </c>
      <c r="CN189" s="22">
        <f t="shared" si="172"/>
        <v>18.526062267530332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3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107.93640000000028</v>
      </c>
      <c r="D190" s="11">
        <f t="shared" si="140"/>
        <v>28.844249724880935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1055.8506294552233</v>
      </c>
      <c r="H190" s="67">
        <f t="shared" si="110"/>
        <v>494.89296493750146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304.99999999999983</v>
      </c>
      <c r="O190" s="13">
        <f>N190*VLOOKUP('Données projet'!$B$9,Paramètres!$A$1:$I$89,3,0)*VLOOKUP('Données projet'!$B$9,Paramètres!$A$1:$I$89,5,0)</f>
        <v>275.96399999999983</v>
      </c>
      <c r="P190" s="13">
        <f t="shared" si="141"/>
        <v>66.113366665488854</v>
      </c>
      <c r="Q190" s="20">
        <f t="shared" si="162"/>
        <v>595.78474694239264</v>
      </c>
      <c r="R190" s="59">
        <f t="shared" si="109"/>
        <v>889.11808027572602</v>
      </c>
      <c r="S190" s="59">
        <f ca="1">AVERAGE(OFFSET($R$3,0,0,'Données projet'!$E$9+1,1))-AVERAGE(OFFSET($H$3,0,0,'Données projet'!$E$9+1,1))</f>
        <v>336.59194805061094</v>
      </c>
      <c r="T190" s="59">
        <f t="shared" si="142"/>
        <v>473.66884161123909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0.37355421803437577</v>
      </c>
      <c r="AA190" s="21">
        <f>EXP(-LN(2)/25)*AA189+(1-EXP(-LN(2)/25))/(LN(2)/25)*Calculateur!V190*Calculateur!X190*VLOOKUP('Données projet'!$B$9,Paramètres!$A$1:$I$89,3,0)*0.475*44/12</f>
        <v>0</v>
      </c>
      <c r="AB190" s="21">
        <f>EXP(-LN(2)/2)*AB189+(1-EXP(-LN(2)/2))/(LN(2)/2)*V190*Y190*VLOOKUP('Données projet'!$B$9,Paramètres!$A$1:$I$89,3,0)*0.475*44/12</f>
        <v>0</v>
      </c>
      <c r="AC190" s="22">
        <f t="shared" si="163"/>
        <v>0.37355421803437577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319</v>
      </c>
      <c r="AJ190" s="13">
        <f>AI190*VLOOKUP('Données projet'!$B$10,Paramètres!$A$1:$I$89,3,0)*VLOOKUP('Données projet'!$B$10,Paramètres!$A$1:$I$89,5,0)</f>
        <v>209.00879999999998</v>
      </c>
      <c r="AK190" s="13">
        <f t="shared" si="164"/>
        <v>51.718923953824202</v>
      </c>
      <c r="AL190" s="20">
        <f t="shared" si="165"/>
        <v>454.10078588624373</v>
      </c>
      <c r="AM190" s="59">
        <f t="shared" si="113"/>
        <v>747.43411921957704</v>
      </c>
      <c r="AN190" s="59">
        <f ca="1">AVERAGE(OFFSET($AM$3,0,0,'Données projet'!$E$10+1,1))-AVERAGE(OFFSET($H$3,0,0,'Données projet'!$E$10+1,1))</f>
        <v>244.66788784685366</v>
      </c>
      <c r="AO190" s="59">
        <f t="shared" si="144"/>
        <v>252.04429018409274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4.2680771813406677</v>
      </c>
      <c r="AV190" s="21">
        <f>EXP(-LN(2)/25)*AV189+(1-EXP(-LN(2)/25))/(LN(2)/25)*Calculateur!AQ190*Calculateur!AS190*VLOOKUP('Données projet'!$B$10,Paramètres!$A$1:$I$89,3,0)*0.475*44/12</f>
        <v>0</v>
      </c>
      <c r="AW190" s="21">
        <f>EXP(-LN(2)/2)*AW189+(1-EXP(-LN(2)/2))/(LN(2)/2)*AQ190*AT190*VLOOKUP('Données projet'!$B$10,Paramètres!$A$1:$I$89,3,0)*0.475*44/12</f>
        <v>0</v>
      </c>
      <c r="AX190" s="21">
        <f t="shared" si="166"/>
        <v>4.2680771813406677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243.99999999999989</v>
      </c>
      <c r="BE190" s="13">
        <f>BD190*VLOOKUP('Données projet'!$B$11,Paramètres!$A$1:$I$89,3,0)*VLOOKUP('Données projet'!$B$11,Paramètres!$A$1:$I$89,5,0)</f>
        <v>232.19039999999987</v>
      </c>
      <c r="BF190" s="13">
        <f t="shared" si="167"/>
        <v>56.756035639094556</v>
      </c>
      <c r="BG190" s="20">
        <f t="shared" si="168"/>
        <v>503.24837540475619</v>
      </c>
      <c r="BH190" s="59">
        <f t="shared" si="116"/>
        <v>796.58170873808945</v>
      </c>
      <c r="BI190" s="59">
        <f ca="1">AVERAGE(OFFSET($BH$3,0,0,'Données projet'!$E$11+1,1))-AVERAGE(OFFSET($H$3,0,0,'Données projet'!$E$11+1,1))</f>
        <v>373.51596132356536</v>
      </c>
      <c r="BJ190" s="59">
        <f t="shared" si="146"/>
        <v>417.00150517020114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18.594844372133721</v>
      </c>
      <c r="BQ190" s="21">
        <f>EXP(-LN(2)/25)*BQ189+(1-EXP(-LN(2)/25))/(LN(2)/25)*Calculateur!BL190*Calculateur!BN190*VLOOKUP('Données projet'!$B$11,Paramètres!$A$1:$I$89,3,0)*0.475*44/12</f>
        <v>0</v>
      </c>
      <c r="BR190" s="21">
        <f>EXP(-LN(2)/2)*BR189+(1-EXP(-LN(2)/2))/(LN(2)/2)*BL190*BO190*VLOOKUP('Données projet'!$B$11,Paramètres!$A$1:$I$89,3,0)*0.475*44/12</f>
        <v>0</v>
      </c>
      <c r="BS190" s="22">
        <f t="shared" si="169"/>
        <v>18.594844372133721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267</v>
      </c>
      <c r="BZ190" s="13">
        <f>BY190*VLOOKUP('Données projet'!$B$12,Paramètres!$A$1:$I$89,3,0)*VLOOKUP('Données projet'!$B$12,Paramètres!$A$1:$I$89,5,0)</f>
        <v>241.58159999999998</v>
      </c>
      <c r="CA190" s="13">
        <f t="shared" si="170"/>
        <v>58.779689232021951</v>
      </c>
      <c r="CB190" s="20">
        <f t="shared" si="171"/>
        <v>523.12924541243819</v>
      </c>
      <c r="CC190" s="59">
        <f t="shared" si="119"/>
        <v>816.46257874577145</v>
      </c>
      <c r="CD190" s="59">
        <f ca="1">AVERAGE(OFFSET($CC$3,0,0,'Données projet'!$E$12+1,1))-AVERAGE(OFFSET($H$3,0,0,'Données projet'!$E$12+1,1))</f>
        <v>289.19622253646992</v>
      </c>
      <c r="CE190" s="59">
        <f t="shared" si="148"/>
        <v>191.23827338431175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>
        <f>EXP(-LN(2)/35)*CK189+(1-EXP(-LN(2)/35))/(LN(2)/35)*CG190*CH190*VLOOKUP('Données projet'!$B$12,Paramètres!$A$1:$I$89,3,0)*0.475*44/12</f>
        <v>18.162777486246284</v>
      </c>
      <c r="CL190" s="21">
        <f>EXP(-LN(2)/25)*CL189+(1-EXP(-LN(2)/25))/(LN(2)/25)*Calculateur!CG190*Calculateur!CI190*VLOOKUP('Données projet'!$B$12,Paramètres!$A$1:$I$89,3,0)*0.475*44/12</f>
        <v>0</v>
      </c>
      <c r="CM190" s="21">
        <f>EXP(-LN(2)/2)*CM189+(1-EXP(-LN(2)/2))/(LN(2)/2)*CG190*CJ190*VLOOKUP('Données projet'!$B$12,Paramètres!$A$1:$I$89,3,0)*0.475*44/12</f>
        <v>0</v>
      </c>
      <c r="CN190" s="22">
        <f t="shared" si="172"/>
        <v>18.162777486246284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3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108.51360000000028</v>
      </c>
      <c r="D191" s="11">
        <f t="shared" si="140"/>
        <v>28.980500326746292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1061.3579674345351</v>
      </c>
      <c r="H191" s="67">
        <f t="shared" si="110"/>
        <v>496.13555806908357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304.99999999999983</v>
      </c>
      <c r="O191" s="13">
        <f>N191*VLOOKUP('Données projet'!$B$9,Paramètres!$A$1:$I$89,3,0)*VLOOKUP('Données projet'!$B$9,Paramètres!$A$1:$I$89,5,0)</f>
        <v>275.96399999999983</v>
      </c>
      <c r="P191" s="13">
        <f t="shared" si="141"/>
        <v>66.113366665488854</v>
      </c>
      <c r="Q191" s="20">
        <f t="shared" si="162"/>
        <v>595.78474694239264</v>
      </c>
      <c r="R191" s="59">
        <f t="shared" si="109"/>
        <v>889.11808027572602</v>
      </c>
      <c r="S191" s="59">
        <f ca="1">AVERAGE(OFFSET($R$3,0,0,'Données projet'!$E$9+1,1))-AVERAGE(OFFSET($H$3,0,0,'Données projet'!$E$9+1,1))</f>
        <v>336.59194805061094</v>
      </c>
      <c r="T191" s="59">
        <f t="shared" si="142"/>
        <v>473.66884161123909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0.36622904766429676</v>
      </c>
      <c r="AA191" s="21">
        <f>EXP(-LN(2)/25)*AA190+(1-EXP(-LN(2)/25))/(LN(2)/25)*Calculateur!V191*Calculateur!X191*VLOOKUP('Données projet'!$B$9,Paramètres!$A$1:$I$89,3,0)*0.475*44/12</f>
        <v>0</v>
      </c>
      <c r="AB191" s="21">
        <f>EXP(-LN(2)/2)*AB190+(1-EXP(-LN(2)/2))/(LN(2)/2)*V191*Y191*VLOOKUP('Données projet'!$B$9,Paramètres!$A$1:$I$89,3,0)*0.475*44/12</f>
        <v>0</v>
      </c>
      <c r="AC191" s="22">
        <f t="shared" si="163"/>
        <v>0.36622904766429676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319</v>
      </c>
      <c r="AJ191" s="13">
        <f>AI191*VLOOKUP('Données projet'!$B$10,Paramètres!$A$1:$I$89,3,0)*VLOOKUP('Données projet'!$B$10,Paramètres!$A$1:$I$89,5,0)</f>
        <v>209.00879999999998</v>
      </c>
      <c r="AK191" s="13">
        <f t="shared" si="164"/>
        <v>51.718923953824202</v>
      </c>
      <c r="AL191" s="20">
        <f t="shared" si="165"/>
        <v>454.10078588624373</v>
      </c>
      <c r="AM191" s="59">
        <f t="shared" si="113"/>
        <v>747.43411921957704</v>
      </c>
      <c r="AN191" s="59">
        <f ca="1">AVERAGE(OFFSET($AM$3,0,0,'Données projet'!$E$10+1,1))-AVERAGE(OFFSET($H$3,0,0,'Données projet'!$E$10+1,1))</f>
        <v>244.66788784685366</v>
      </c>
      <c r="AO191" s="59">
        <f t="shared" si="144"/>
        <v>252.04429018409274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4.1843827910846061</v>
      </c>
      <c r="AV191" s="21">
        <f>EXP(-LN(2)/25)*AV190+(1-EXP(-LN(2)/25))/(LN(2)/25)*Calculateur!AQ191*Calculateur!AS191*VLOOKUP('Données projet'!$B$10,Paramètres!$A$1:$I$89,3,0)*0.475*44/12</f>
        <v>0</v>
      </c>
      <c r="AW191" s="21">
        <f>EXP(-LN(2)/2)*AW190+(1-EXP(-LN(2)/2))/(LN(2)/2)*AQ191*AT191*VLOOKUP('Données projet'!$B$10,Paramètres!$A$1:$I$89,3,0)*0.475*44/12</f>
        <v>0</v>
      </c>
      <c r="AX191" s="21">
        <f t="shared" si="166"/>
        <v>4.1843827910846061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243.99999999999989</v>
      </c>
      <c r="BE191" s="13">
        <f>BD191*VLOOKUP('Données projet'!$B$11,Paramètres!$A$1:$I$89,3,0)*VLOOKUP('Données projet'!$B$11,Paramètres!$A$1:$I$89,5,0)</f>
        <v>232.19039999999987</v>
      </c>
      <c r="BF191" s="13">
        <f t="shared" si="167"/>
        <v>56.756035639094556</v>
      </c>
      <c r="BG191" s="20">
        <f t="shared" si="168"/>
        <v>503.24837540475619</v>
      </c>
      <c r="BH191" s="59">
        <f t="shared" si="116"/>
        <v>796.58170873808945</v>
      </c>
      <c r="BI191" s="59">
        <f ca="1">AVERAGE(OFFSET($BH$3,0,0,'Données projet'!$E$11+1,1))-AVERAGE(OFFSET($H$3,0,0,'Données projet'!$E$11+1,1))</f>
        <v>373.51596132356536</v>
      </c>
      <c r="BJ191" s="59">
        <f t="shared" si="146"/>
        <v>417.00150517020114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18.230210815731343</v>
      </c>
      <c r="BQ191" s="21">
        <f>EXP(-LN(2)/25)*BQ190+(1-EXP(-LN(2)/25))/(LN(2)/25)*Calculateur!BL191*Calculateur!BN191*VLOOKUP('Données projet'!$B$11,Paramètres!$A$1:$I$89,3,0)*0.475*44/12</f>
        <v>0</v>
      </c>
      <c r="BR191" s="21">
        <f>EXP(-LN(2)/2)*BR190+(1-EXP(-LN(2)/2))/(LN(2)/2)*BL191*BO191*VLOOKUP('Données projet'!$B$11,Paramètres!$A$1:$I$89,3,0)*0.475*44/12</f>
        <v>0</v>
      </c>
      <c r="BS191" s="22">
        <f t="shared" si="169"/>
        <v>18.230210815731343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267</v>
      </c>
      <c r="BZ191" s="13">
        <f>BY191*VLOOKUP('Données projet'!$B$12,Paramètres!$A$1:$I$89,3,0)*VLOOKUP('Données projet'!$B$12,Paramètres!$A$1:$I$89,5,0)</f>
        <v>241.58159999999998</v>
      </c>
      <c r="CA191" s="13">
        <f t="shared" si="170"/>
        <v>58.779689232021951</v>
      </c>
      <c r="CB191" s="20">
        <f t="shared" si="171"/>
        <v>523.12924541243819</v>
      </c>
      <c r="CC191" s="59">
        <f t="shared" si="119"/>
        <v>816.46257874577145</v>
      </c>
      <c r="CD191" s="59">
        <f ca="1">AVERAGE(OFFSET($CC$3,0,0,'Données projet'!$E$12+1,1))-AVERAGE(OFFSET($H$3,0,0,'Données projet'!$E$12+1,1))</f>
        <v>289.19622253646992</v>
      </c>
      <c r="CE191" s="59">
        <f t="shared" si="148"/>
        <v>191.23827338431175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>
        <f>EXP(-LN(2)/35)*CK190+(1-EXP(-LN(2)/35))/(LN(2)/35)*CG191*CH191*VLOOKUP('Données projet'!$B$12,Paramètres!$A$1:$I$89,3,0)*0.475*44/12</f>
        <v>17.806616497941381</v>
      </c>
      <c r="CL191" s="21">
        <f>EXP(-LN(2)/25)*CL190+(1-EXP(-LN(2)/25))/(LN(2)/25)*Calculateur!CG191*Calculateur!CI191*VLOOKUP('Données projet'!$B$12,Paramètres!$A$1:$I$89,3,0)*0.475*44/12</f>
        <v>0</v>
      </c>
      <c r="CM191" s="21">
        <f>EXP(-LN(2)/2)*CM190+(1-EXP(-LN(2)/2))/(LN(2)/2)*CG191*CJ191*VLOOKUP('Données projet'!$B$12,Paramètres!$A$1:$I$89,3,0)*0.475*44/12</f>
        <v>0</v>
      </c>
      <c r="CN191" s="22">
        <f t="shared" si="172"/>
        <v>17.806616497941381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3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109.09080000000029</v>
      </c>
      <c r="D192" s="11">
        <f t="shared" si="140"/>
        <v>29.116666594885888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1066.8646544166652</v>
      </c>
      <c r="H192" s="67">
        <f t="shared" si="110"/>
        <v>497.37800431942674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304.99999999999983</v>
      </c>
      <c r="O192" s="13">
        <f>N192*VLOOKUP('Données projet'!$B$9,Paramètres!$A$1:$I$89,3,0)*VLOOKUP('Données projet'!$B$9,Paramètres!$A$1:$I$89,5,0)</f>
        <v>275.96399999999983</v>
      </c>
      <c r="P192" s="13">
        <f t="shared" si="141"/>
        <v>66.113366665488854</v>
      </c>
      <c r="Q192" s="20">
        <f t="shared" si="162"/>
        <v>595.78474694239264</v>
      </c>
      <c r="R192" s="59">
        <f t="shared" si="109"/>
        <v>889.11808027572602</v>
      </c>
      <c r="S192" s="59">
        <f ca="1">AVERAGE(OFFSET($R$3,0,0,'Données projet'!$E$9+1,1))-AVERAGE(OFFSET($H$3,0,0,'Données projet'!$E$9+1,1))</f>
        <v>336.59194805061094</v>
      </c>
      <c r="T192" s="59">
        <f t="shared" si="142"/>
        <v>473.66884161123909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0.35904751941726226</v>
      </c>
      <c r="AA192" s="21">
        <f>EXP(-LN(2)/25)*AA191+(1-EXP(-LN(2)/25))/(LN(2)/25)*Calculateur!V192*Calculateur!X192*VLOOKUP('Données projet'!$B$9,Paramètres!$A$1:$I$89,3,0)*0.475*44/12</f>
        <v>0</v>
      </c>
      <c r="AB192" s="21">
        <f>EXP(-LN(2)/2)*AB191+(1-EXP(-LN(2)/2))/(LN(2)/2)*V192*Y192*VLOOKUP('Données projet'!$B$9,Paramètres!$A$1:$I$89,3,0)*0.475*44/12</f>
        <v>0</v>
      </c>
      <c r="AC192" s="22">
        <f t="shared" si="163"/>
        <v>0.35904751941726226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319</v>
      </c>
      <c r="AJ192" s="13">
        <f>AI192*VLOOKUP('Données projet'!$B$10,Paramètres!$A$1:$I$89,3,0)*VLOOKUP('Données projet'!$B$10,Paramètres!$A$1:$I$89,5,0)</f>
        <v>209.00879999999998</v>
      </c>
      <c r="AK192" s="13">
        <f t="shared" si="164"/>
        <v>51.718923953824202</v>
      </c>
      <c r="AL192" s="20">
        <f t="shared" si="165"/>
        <v>454.10078588624373</v>
      </c>
      <c r="AM192" s="59">
        <f t="shared" si="113"/>
        <v>747.43411921957704</v>
      </c>
      <c r="AN192" s="59">
        <f ca="1">AVERAGE(OFFSET($AM$3,0,0,'Données projet'!$E$10+1,1))-AVERAGE(OFFSET($H$3,0,0,'Données projet'!$E$10+1,1))</f>
        <v>244.66788784685366</v>
      </c>
      <c r="AO192" s="59">
        <f t="shared" si="144"/>
        <v>252.04429018409274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4.102329596772929</v>
      </c>
      <c r="AV192" s="21">
        <f>EXP(-LN(2)/25)*AV191+(1-EXP(-LN(2)/25))/(LN(2)/25)*Calculateur!AQ192*Calculateur!AS192*VLOOKUP('Données projet'!$B$10,Paramètres!$A$1:$I$89,3,0)*0.475*44/12</f>
        <v>0</v>
      </c>
      <c r="AW192" s="21">
        <f>EXP(-LN(2)/2)*AW191+(1-EXP(-LN(2)/2))/(LN(2)/2)*AQ192*AT192*VLOOKUP('Données projet'!$B$10,Paramètres!$A$1:$I$89,3,0)*0.475*44/12</f>
        <v>0</v>
      </c>
      <c r="AX192" s="21">
        <f t="shared" si="166"/>
        <v>4.102329596772929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243.99999999999989</v>
      </c>
      <c r="BE192" s="13">
        <f>BD192*VLOOKUP('Données projet'!$B$11,Paramètres!$A$1:$I$89,3,0)*VLOOKUP('Données projet'!$B$11,Paramètres!$A$1:$I$89,5,0)</f>
        <v>232.19039999999987</v>
      </c>
      <c r="BF192" s="13">
        <f t="shared" si="167"/>
        <v>56.756035639094556</v>
      </c>
      <c r="BG192" s="20">
        <f t="shared" si="168"/>
        <v>503.24837540475619</v>
      </c>
      <c r="BH192" s="59">
        <f t="shared" si="116"/>
        <v>796.58170873808945</v>
      </c>
      <c r="BI192" s="59">
        <f ca="1">AVERAGE(OFFSET($BH$3,0,0,'Données projet'!$E$11+1,1))-AVERAGE(OFFSET($H$3,0,0,'Données projet'!$E$11+1,1))</f>
        <v>373.51596132356536</v>
      </c>
      <c r="BJ192" s="59">
        <f t="shared" si="146"/>
        <v>417.00150517020114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17.872727500965507</v>
      </c>
      <c r="BQ192" s="21">
        <f>EXP(-LN(2)/25)*BQ191+(1-EXP(-LN(2)/25))/(LN(2)/25)*Calculateur!BL192*Calculateur!BN192*VLOOKUP('Données projet'!$B$11,Paramètres!$A$1:$I$89,3,0)*0.475*44/12</f>
        <v>0</v>
      </c>
      <c r="BR192" s="21">
        <f>EXP(-LN(2)/2)*BR191+(1-EXP(-LN(2)/2))/(LN(2)/2)*BL192*BO192*VLOOKUP('Données projet'!$B$11,Paramètres!$A$1:$I$89,3,0)*0.475*44/12</f>
        <v>0</v>
      </c>
      <c r="BS192" s="22">
        <f t="shared" si="169"/>
        <v>17.872727500965507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267</v>
      </c>
      <c r="BZ192" s="13">
        <f>BY192*VLOOKUP('Données projet'!$B$12,Paramètres!$A$1:$I$89,3,0)*VLOOKUP('Données projet'!$B$12,Paramètres!$A$1:$I$89,5,0)</f>
        <v>241.58159999999998</v>
      </c>
      <c r="CA192" s="13">
        <f t="shared" si="170"/>
        <v>58.779689232021951</v>
      </c>
      <c r="CB192" s="20">
        <f t="shared" si="171"/>
        <v>523.12924541243819</v>
      </c>
      <c r="CC192" s="59">
        <f t="shared" si="119"/>
        <v>816.46257874577145</v>
      </c>
      <c r="CD192" s="59">
        <f ca="1">AVERAGE(OFFSET($CC$3,0,0,'Données projet'!$E$12+1,1))-AVERAGE(OFFSET($H$3,0,0,'Données projet'!$E$12+1,1))</f>
        <v>289.19622253646992</v>
      </c>
      <c r="CE192" s="59">
        <f t="shared" si="148"/>
        <v>191.23827338431175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>
        <f>EXP(-LN(2)/35)*CK191+(1-EXP(-LN(2)/35))/(LN(2)/35)*CG192*CH192*VLOOKUP('Données projet'!$B$12,Paramètres!$A$1:$I$89,3,0)*0.475*44/12</f>
        <v>17.457439609380383</v>
      </c>
      <c r="CL192" s="21">
        <f>EXP(-LN(2)/25)*CL191+(1-EXP(-LN(2)/25))/(LN(2)/25)*Calculateur!CG192*Calculateur!CI192*VLOOKUP('Données projet'!$B$12,Paramètres!$A$1:$I$89,3,0)*0.475*44/12</f>
        <v>0</v>
      </c>
      <c r="CM192" s="21">
        <f>EXP(-LN(2)/2)*CM191+(1-EXP(-LN(2)/2))/(LN(2)/2)*CG192*CJ192*VLOOKUP('Données projet'!$B$12,Paramètres!$A$1:$I$89,3,0)*0.475*44/12</f>
        <v>0</v>
      </c>
      <c r="CN192" s="22">
        <f t="shared" si="172"/>
        <v>17.457439609380383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3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109.66800000000029</v>
      </c>
      <c r="D193" s="11">
        <f t="shared" si="140"/>
        <v>29.252749027300084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1072.3706942458273</v>
      </c>
      <c r="H193" s="67">
        <f t="shared" si="110"/>
        <v>498.62030455588149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304.99999999999983</v>
      </c>
      <c r="O193" s="13">
        <f>N193*VLOOKUP('Données projet'!$B$9,Paramètres!$A$1:$I$89,3,0)*VLOOKUP('Données projet'!$B$9,Paramètres!$A$1:$I$89,5,0)</f>
        <v>275.96399999999983</v>
      </c>
      <c r="P193" s="13">
        <f t="shared" si="141"/>
        <v>66.113366665488854</v>
      </c>
      <c r="Q193" s="20">
        <f t="shared" si="162"/>
        <v>595.78474694239264</v>
      </c>
      <c r="R193" s="59">
        <f t="shared" si="109"/>
        <v>889.11808027572602</v>
      </c>
      <c r="S193" s="59">
        <f ca="1">AVERAGE(OFFSET($R$3,0,0,'Données projet'!$E$9+1,1))-AVERAGE(OFFSET($H$3,0,0,'Données projet'!$E$9+1,1))</f>
        <v>336.59194805061094</v>
      </c>
      <c r="T193" s="59">
        <f t="shared" si="142"/>
        <v>473.66884161123909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0.35200681655885241</v>
      </c>
      <c r="AA193" s="21">
        <f>EXP(-LN(2)/25)*AA192+(1-EXP(-LN(2)/25))/(LN(2)/25)*Calculateur!V193*Calculateur!X193*VLOOKUP('Données projet'!$B$9,Paramètres!$A$1:$I$89,3,0)*0.475*44/12</f>
        <v>0</v>
      </c>
      <c r="AB193" s="21">
        <f>EXP(-LN(2)/2)*AB192+(1-EXP(-LN(2)/2))/(LN(2)/2)*V193*Y193*VLOOKUP('Données projet'!$B$9,Paramètres!$A$1:$I$89,3,0)*0.475*44/12</f>
        <v>0</v>
      </c>
      <c r="AC193" s="22">
        <f t="shared" si="163"/>
        <v>0.35200681655885241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319</v>
      </c>
      <c r="AJ193" s="13">
        <f>AI193*VLOOKUP('Données projet'!$B$10,Paramètres!$A$1:$I$89,3,0)*VLOOKUP('Données projet'!$B$10,Paramètres!$A$1:$I$89,5,0)</f>
        <v>209.00879999999998</v>
      </c>
      <c r="AK193" s="13">
        <f t="shared" si="164"/>
        <v>51.718923953824202</v>
      </c>
      <c r="AL193" s="20">
        <f t="shared" si="165"/>
        <v>454.10078588624373</v>
      </c>
      <c r="AM193" s="59">
        <f t="shared" si="113"/>
        <v>747.43411921957704</v>
      </c>
      <c r="AN193" s="59">
        <f ca="1">AVERAGE(OFFSET($AM$3,0,0,'Données projet'!$E$10+1,1))-AVERAGE(OFFSET($H$3,0,0,'Données projet'!$E$10+1,1))</f>
        <v>244.66788784685366</v>
      </c>
      <c r="AO193" s="59">
        <f t="shared" si="144"/>
        <v>252.04429018409274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4.0218854155541965</v>
      </c>
      <c r="AV193" s="21">
        <f>EXP(-LN(2)/25)*AV192+(1-EXP(-LN(2)/25))/(LN(2)/25)*Calculateur!AQ193*Calculateur!AS193*VLOOKUP('Données projet'!$B$10,Paramètres!$A$1:$I$89,3,0)*0.475*44/12</f>
        <v>0</v>
      </c>
      <c r="AW193" s="21">
        <f>EXP(-LN(2)/2)*AW192+(1-EXP(-LN(2)/2))/(LN(2)/2)*AQ193*AT193*VLOOKUP('Données projet'!$B$10,Paramètres!$A$1:$I$89,3,0)*0.475*44/12</f>
        <v>0</v>
      </c>
      <c r="AX193" s="21">
        <f t="shared" si="166"/>
        <v>4.0218854155541965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243.99999999999989</v>
      </c>
      <c r="BE193" s="13">
        <f>BD193*VLOOKUP('Données projet'!$B$11,Paramètres!$A$1:$I$89,3,0)*VLOOKUP('Données projet'!$B$11,Paramètres!$A$1:$I$89,5,0)</f>
        <v>232.19039999999987</v>
      </c>
      <c r="BF193" s="13">
        <f t="shared" si="167"/>
        <v>56.756035639094556</v>
      </c>
      <c r="BG193" s="20">
        <f t="shared" si="168"/>
        <v>503.24837540475619</v>
      </c>
      <c r="BH193" s="59">
        <f t="shared" si="116"/>
        <v>796.58170873808945</v>
      </c>
      <c r="BI193" s="59">
        <f ca="1">AVERAGE(OFFSET($BH$3,0,0,'Données projet'!$E$11+1,1))-AVERAGE(OFFSET($H$3,0,0,'Données projet'!$E$11+1,1))</f>
        <v>373.51596132356536</v>
      </c>
      <c r="BJ193" s="59">
        <f t="shared" si="146"/>
        <v>417.00150517020114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17.522254215958935</v>
      </c>
      <c r="BQ193" s="21">
        <f>EXP(-LN(2)/25)*BQ192+(1-EXP(-LN(2)/25))/(LN(2)/25)*Calculateur!BL193*Calculateur!BN193*VLOOKUP('Données projet'!$B$11,Paramètres!$A$1:$I$89,3,0)*0.475*44/12</f>
        <v>0</v>
      </c>
      <c r="BR193" s="21">
        <f>EXP(-LN(2)/2)*BR192+(1-EXP(-LN(2)/2))/(LN(2)/2)*BL193*BO193*VLOOKUP('Données projet'!$B$11,Paramètres!$A$1:$I$89,3,0)*0.475*44/12</f>
        <v>0</v>
      </c>
      <c r="BS193" s="22">
        <f t="shared" si="169"/>
        <v>17.522254215958935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267</v>
      </c>
      <c r="BZ193" s="13">
        <f>BY193*VLOOKUP('Données projet'!$B$12,Paramètres!$A$1:$I$89,3,0)*VLOOKUP('Données projet'!$B$12,Paramètres!$A$1:$I$89,5,0)</f>
        <v>241.58159999999998</v>
      </c>
      <c r="CA193" s="13">
        <f t="shared" si="170"/>
        <v>58.779689232021951</v>
      </c>
      <c r="CB193" s="20">
        <f t="shared" si="171"/>
        <v>523.12924541243819</v>
      </c>
      <c r="CC193" s="59">
        <f t="shared" si="119"/>
        <v>816.46257874577145</v>
      </c>
      <c r="CD193" s="59">
        <f ca="1">AVERAGE(OFFSET($CC$3,0,0,'Données projet'!$E$12+1,1))-AVERAGE(OFFSET($H$3,0,0,'Données projet'!$E$12+1,1))</f>
        <v>289.19622253646992</v>
      </c>
      <c r="CE193" s="59">
        <f t="shared" si="148"/>
        <v>191.23827338431175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>
        <f>EXP(-LN(2)/35)*CK192+(1-EXP(-LN(2)/35))/(LN(2)/35)*CG193*CH193*VLOOKUP('Données projet'!$B$12,Paramètres!$A$1:$I$89,3,0)*0.475*44/12</f>
        <v>17.115109866627193</v>
      </c>
      <c r="CL193" s="21">
        <f>EXP(-LN(2)/25)*CL192+(1-EXP(-LN(2)/25))/(LN(2)/25)*Calculateur!CG193*Calculateur!CI193*VLOOKUP('Données projet'!$B$12,Paramètres!$A$1:$I$89,3,0)*0.475*44/12</f>
        <v>0</v>
      </c>
      <c r="CM193" s="21">
        <f>EXP(-LN(2)/2)*CM192+(1-EXP(-LN(2)/2))/(LN(2)/2)*CG193*CJ193*VLOOKUP('Données projet'!$B$12,Paramètres!$A$1:$I$89,3,0)*0.475*44/12</f>
        <v>0</v>
      </c>
      <c r="CN193" s="22">
        <f t="shared" si="172"/>
        <v>17.115109866627193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3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110.2452000000003</v>
      </c>
      <c r="D194" s="11">
        <f t="shared" si="140"/>
        <v>29.38874811644364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1077.8760907234271</v>
      </c>
      <c r="H194" s="67">
        <f t="shared" si="110"/>
        <v>499.86245963613987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304.99999999999983</v>
      </c>
      <c r="O194" s="13">
        <f>N194*VLOOKUP('Données projet'!$B$9,Paramètres!$A$1:$I$89,3,0)*VLOOKUP('Données projet'!$B$9,Paramètres!$A$1:$I$89,5,0)</f>
        <v>275.96399999999983</v>
      </c>
      <c r="P194" s="13">
        <f t="shared" si="141"/>
        <v>66.113366665488854</v>
      </c>
      <c r="Q194" s="20">
        <f t="shared" si="162"/>
        <v>595.78474694239264</v>
      </c>
      <c r="R194" s="59">
        <f t="shared" si="109"/>
        <v>889.11808027572602</v>
      </c>
      <c r="S194" s="59">
        <f ca="1">AVERAGE(OFFSET($R$3,0,0,'Données projet'!$E$9+1,1))-AVERAGE(OFFSET($H$3,0,0,'Données projet'!$E$9+1,1))</f>
        <v>336.59194805061094</v>
      </c>
      <c r="T194" s="59">
        <f t="shared" si="142"/>
        <v>473.66884161123909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0.34510417758909123</v>
      </c>
      <c r="AA194" s="21">
        <f>EXP(-LN(2)/25)*AA193+(1-EXP(-LN(2)/25))/(LN(2)/25)*Calculateur!V194*Calculateur!X194*VLOOKUP('Données projet'!$B$9,Paramètres!$A$1:$I$89,3,0)*0.475*44/12</f>
        <v>0</v>
      </c>
      <c r="AB194" s="21">
        <f>EXP(-LN(2)/2)*AB193+(1-EXP(-LN(2)/2))/(LN(2)/2)*V194*Y194*VLOOKUP('Données projet'!$B$9,Paramètres!$A$1:$I$89,3,0)*0.475*44/12</f>
        <v>0</v>
      </c>
      <c r="AC194" s="22">
        <f t="shared" si="163"/>
        <v>0.34510417758909123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319</v>
      </c>
      <c r="AJ194" s="13">
        <f>AI194*VLOOKUP('Données projet'!$B$10,Paramètres!$A$1:$I$89,3,0)*VLOOKUP('Données projet'!$B$10,Paramètres!$A$1:$I$89,5,0)</f>
        <v>209.00879999999998</v>
      </c>
      <c r="AK194" s="13">
        <f t="shared" si="164"/>
        <v>51.718923953824202</v>
      </c>
      <c r="AL194" s="20">
        <f t="shared" si="165"/>
        <v>454.10078588624373</v>
      </c>
      <c r="AM194" s="59">
        <f t="shared" si="113"/>
        <v>747.43411921957704</v>
      </c>
      <c r="AN194" s="59">
        <f ca="1">AVERAGE(OFFSET($AM$3,0,0,'Données projet'!$E$10+1,1))-AVERAGE(OFFSET($H$3,0,0,'Données projet'!$E$10+1,1))</f>
        <v>244.66788784685366</v>
      </c>
      <c r="AO194" s="59">
        <f t="shared" si="144"/>
        <v>252.04429018409274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3.9430186956630577</v>
      </c>
      <c r="AV194" s="21">
        <f>EXP(-LN(2)/25)*AV193+(1-EXP(-LN(2)/25))/(LN(2)/25)*Calculateur!AQ194*Calculateur!AS194*VLOOKUP('Données projet'!$B$10,Paramètres!$A$1:$I$89,3,0)*0.475*44/12</f>
        <v>0</v>
      </c>
      <c r="AW194" s="21">
        <f>EXP(-LN(2)/2)*AW193+(1-EXP(-LN(2)/2))/(LN(2)/2)*AQ194*AT194*VLOOKUP('Données projet'!$B$10,Paramètres!$A$1:$I$89,3,0)*0.475*44/12</f>
        <v>0</v>
      </c>
      <c r="AX194" s="21">
        <f t="shared" si="166"/>
        <v>3.9430186956630577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243.99999999999989</v>
      </c>
      <c r="BE194" s="13">
        <f>BD194*VLOOKUP('Données projet'!$B$11,Paramètres!$A$1:$I$89,3,0)*VLOOKUP('Données projet'!$B$11,Paramètres!$A$1:$I$89,5,0)</f>
        <v>232.19039999999987</v>
      </c>
      <c r="BF194" s="13">
        <f t="shared" si="167"/>
        <v>56.756035639094556</v>
      </c>
      <c r="BG194" s="20">
        <f t="shared" si="168"/>
        <v>503.24837540475619</v>
      </c>
      <c r="BH194" s="59">
        <f t="shared" si="116"/>
        <v>796.58170873808945</v>
      </c>
      <c r="BI194" s="59">
        <f ca="1">AVERAGE(OFFSET($BH$3,0,0,'Données projet'!$E$11+1,1))-AVERAGE(OFFSET($H$3,0,0,'Données projet'!$E$11+1,1))</f>
        <v>373.51596132356536</v>
      </c>
      <c r="BJ194" s="59">
        <f t="shared" si="146"/>
        <v>417.00150517020114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17.178653498303746</v>
      </c>
      <c r="BQ194" s="21">
        <f>EXP(-LN(2)/25)*BQ193+(1-EXP(-LN(2)/25))/(LN(2)/25)*Calculateur!BL194*Calculateur!BN194*VLOOKUP('Données projet'!$B$11,Paramètres!$A$1:$I$89,3,0)*0.475*44/12</f>
        <v>0</v>
      </c>
      <c r="BR194" s="21">
        <f>EXP(-LN(2)/2)*BR193+(1-EXP(-LN(2)/2))/(LN(2)/2)*BL194*BO194*VLOOKUP('Données projet'!$B$11,Paramètres!$A$1:$I$89,3,0)*0.475*44/12</f>
        <v>0</v>
      </c>
      <c r="BS194" s="22">
        <f t="shared" si="169"/>
        <v>17.178653498303746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267</v>
      </c>
      <c r="BZ194" s="13">
        <f>BY194*VLOOKUP('Données projet'!$B$12,Paramètres!$A$1:$I$89,3,0)*VLOOKUP('Données projet'!$B$12,Paramètres!$A$1:$I$89,5,0)</f>
        <v>241.58159999999998</v>
      </c>
      <c r="CA194" s="13">
        <f t="shared" si="170"/>
        <v>58.779689232021951</v>
      </c>
      <c r="CB194" s="20">
        <f t="shared" si="171"/>
        <v>523.12924541243819</v>
      </c>
      <c r="CC194" s="59">
        <f t="shared" si="119"/>
        <v>816.46257874577145</v>
      </c>
      <c r="CD194" s="59">
        <f ca="1">AVERAGE(OFFSET($CC$3,0,0,'Données projet'!$E$12+1,1))-AVERAGE(OFFSET($H$3,0,0,'Données projet'!$E$12+1,1))</f>
        <v>289.19622253646992</v>
      </c>
      <c r="CE194" s="59">
        <f t="shared" si="148"/>
        <v>191.23827338431175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>
        <f>EXP(-LN(2)/35)*CK193+(1-EXP(-LN(2)/35))/(LN(2)/35)*CG194*CH194*VLOOKUP('Données projet'!$B$12,Paramètres!$A$1:$I$89,3,0)*0.475*44/12</f>
        <v>16.77949300132887</v>
      </c>
      <c r="CL194" s="21">
        <f>EXP(-LN(2)/25)*CL193+(1-EXP(-LN(2)/25))/(LN(2)/25)*Calculateur!CG194*Calculateur!CI194*VLOOKUP('Données projet'!$B$12,Paramètres!$A$1:$I$89,3,0)*0.475*44/12</f>
        <v>0</v>
      </c>
      <c r="CM194" s="21">
        <f>EXP(-LN(2)/2)*CM193+(1-EXP(-LN(2)/2))/(LN(2)/2)*CG194*CJ194*VLOOKUP('Données projet'!$B$12,Paramètres!$A$1:$I$89,3,0)*0.475*44/12</f>
        <v>0</v>
      </c>
      <c r="CN194" s="22">
        <f t="shared" si="172"/>
        <v>16.77949300132887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3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110.8224000000003</v>
      </c>
      <c r="D195" s="11">
        <f t="shared" si="140"/>
        <v>29.524664349316183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1083.380847608759</v>
      </c>
      <c r="H195" s="67">
        <f t="shared" si="110"/>
        <v>501.1044704083929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304.99999999999983</v>
      </c>
      <c r="O195" s="13">
        <f>N195*VLOOKUP('Données projet'!$B$9,Paramètres!$A$1:$I$89,3,0)*VLOOKUP('Données projet'!$B$9,Paramètres!$A$1:$I$89,5,0)</f>
        <v>275.96399999999983</v>
      </c>
      <c r="P195" s="13">
        <f t="shared" si="141"/>
        <v>66.113366665488854</v>
      </c>
      <c r="Q195" s="20">
        <f t="shared" si="162"/>
        <v>595.78474694239264</v>
      </c>
      <c r="R195" s="59">
        <f t="shared" ref="R195:R203" si="191">Q195+(I195+J195)*44/12</f>
        <v>889.11808027572602</v>
      </c>
      <c r="S195" s="59">
        <f ca="1">AVERAGE(OFFSET($R$3,0,0,'Données projet'!$E$9+1,1))-AVERAGE(OFFSET($H$3,0,0,'Données projet'!$E$9+1,1))</f>
        <v>336.59194805061094</v>
      </c>
      <c r="T195" s="59">
        <f t="shared" si="142"/>
        <v>473.66884161123909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0.33833689515933307</v>
      </c>
      <c r="AA195" s="21">
        <f>EXP(-LN(2)/25)*AA194+(1-EXP(-LN(2)/25))/(LN(2)/25)*Calculateur!V195*Calculateur!X195*VLOOKUP('Données projet'!$B$9,Paramètres!$A$1:$I$89,3,0)*0.475*44/12</f>
        <v>0</v>
      </c>
      <c r="AB195" s="21">
        <f>EXP(-LN(2)/2)*AB194+(1-EXP(-LN(2)/2))/(LN(2)/2)*V195*Y195*VLOOKUP('Données projet'!$B$9,Paramètres!$A$1:$I$89,3,0)*0.475*44/12</f>
        <v>0</v>
      </c>
      <c r="AC195" s="22">
        <f t="shared" si="163"/>
        <v>0.33833689515933307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319</v>
      </c>
      <c r="AJ195" s="13">
        <f>AI195*VLOOKUP('Données projet'!$B$10,Paramètres!$A$1:$I$89,3,0)*VLOOKUP('Données projet'!$B$10,Paramètres!$A$1:$I$89,5,0)</f>
        <v>209.00879999999998</v>
      </c>
      <c r="AK195" s="13">
        <f t="shared" si="164"/>
        <v>51.718923953824202</v>
      </c>
      <c r="AL195" s="20">
        <f t="shared" si="165"/>
        <v>454.10078588624373</v>
      </c>
      <c r="AM195" s="59">
        <f t="shared" si="113"/>
        <v>747.43411921957704</v>
      </c>
      <c r="AN195" s="59">
        <f ca="1">AVERAGE(OFFSET($AM$3,0,0,'Données projet'!$E$10+1,1))-AVERAGE(OFFSET($H$3,0,0,'Données projet'!$E$10+1,1))</f>
        <v>244.66788784685366</v>
      </c>
      <c r="AO195" s="59">
        <f t="shared" si="144"/>
        <v>252.04429018409274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3.8656985040450351</v>
      </c>
      <c r="AV195" s="21">
        <f>EXP(-LN(2)/25)*AV194+(1-EXP(-LN(2)/25))/(LN(2)/25)*Calculateur!AQ195*Calculateur!AS195*VLOOKUP('Données projet'!$B$10,Paramètres!$A$1:$I$89,3,0)*0.475*44/12</f>
        <v>0</v>
      </c>
      <c r="AW195" s="21">
        <f>EXP(-LN(2)/2)*AW194+(1-EXP(-LN(2)/2))/(LN(2)/2)*AQ195*AT195*VLOOKUP('Données projet'!$B$10,Paramètres!$A$1:$I$89,3,0)*0.475*44/12</f>
        <v>0</v>
      </c>
      <c r="AX195" s="21">
        <f t="shared" si="166"/>
        <v>3.8656985040450351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243.99999999999989</v>
      </c>
      <c r="BE195" s="13">
        <f>BD195*VLOOKUP('Données projet'!$B$11,Paramètres!$A$1:$I$89,3,0)*VLOOKUP('Données projet'!$B$11,Paramètres!$A$1:$I$89,5,0)</f>
        <v>232.19039999999987</v>
      </c>
      <c r="BF195" s="13">
        <f t="shared" si="167"/>
        <v>56.756035639094556</v>
      </c>
      <c r="BG195" s="20">
        <f t="shared" si="168"/>
        <v>503.24837540475619</v>
      </c>
      <c r="BH195" s="59">
        <f t="shared" si="116"/>
        <v>796.58170873808945</v>
      </c>
      <c r="BI195" s="59">
        <f ca="1">AVERAGE(OFFSET($BH$3,0,0,'Données projet'!$E$11+1,1))-AVERAGE(OFFSET($H$3,0,0,'Données projet'!$E$11+1,1))</f>
        <v>373.51596132356536</v>
      </c>
      <c r="BJ195" s="59">
        <f t="shared" si="146"/>
        <v>417.00150517020114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16.841790581146032</v>
      </c>
      <c r="BQ195" s="21">
        <f>EXP(-LN(2)/25)*BQ194+(1-EXP(-LN(2)/25))/(LN(2)/25)*Calculateur!BL195*Calculateur!BN195*VLOOKUP('Données projet'!$B$11,Paramètres!$A$1:$I$89,3,0)*0.475*44/12</f>
        <v>0</v>
      </c>
      <c r="BR195" s="21">
        <f>EXP(-LN(2)/2)*BR194+(1-EXP(-LN(2)/2))/(LN(2)/2)*BL195*BO195*VLOOKUP('Données projet'!$B$11,Paramètres!$A$1:$I$89,3,0)*0.475*44/12</f>
        <v>0</v>
      </c>
      <c r="BS195" s="22">
        <f t="shared" si="169"/>
        <v>16.841790581146032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267</v>
      </c>
      <c r="BZ195" s="13">
        <f>BY195*VLOOKUP('Données projet'!$B$12,Paramètres!$A$1:$I$89,3,0)*VLOOKUP('Données projet'!$B$12,Paramètres!$A$1:$I$89,5,0)</f>
        <v>241.58159999999998</v>
      </c>
      <c r="CA195" s="13">
        <f t="shared" si="170"/>
        <v>58.779689232021951</v>
      </c>
      <c r="CB195" s="20">
        <f t="shared" si="171"/>
        <v>523.12924541243819</v>
      </c>
      <c r="CC195" s="59">
        <f t="shared" si="119"/>
        <v>816.46257874577145</v>
      </c>
      <c r="CD195" s="59">
        <f ca="1">AVERAGE(OFFSET($CC$3,0,0,'Données projet'!$E$12+1,1))-AVERAGE(OFFSET($H$3,0,0,'Données projet'!$E$12+1,1))</f>
        <v>289.19622253646992</v>
      </c>
      <c r="CE195" s="59">
        <f t="shared" si="148"/>
        <v>191.23827338431175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>
        <f>EXP(-LN(2)/35)*CK194+(1-EXP(-LN(2)/35))/(LN(2)/35)*CG195*CH195*VLOOKUP('Données projet'!$B$12,Paramètres!$A$1:$I$89,3,0)*0.475*44/12</f>
        <v>16.45045737805297</v>
      </c>
      <c r="CL195" s="21">
        <f>EXP(-LN(2)/25)*CL194+(1-EXP(-LN(2)/25))/(LN(2)/25)*Calculateur!CG195*Calculateur!CI195*VLOOKUP('Données projet'!$B$12,Paramètres!$A$1:$I$89,3,0)*0.475*44/12</f>
        <v>0</v>
      </c>
      <c r="CM195" s="21">
        <f>EXP(-LN(2)/2)*CM194+(1-EXP(-LN(2)/2))/(LN(2)/2)*CG195*CJ195*VLOOKUP('Données projet'!$B$12,Paramètres!$A$1:$I$89,3,0)*0.475*44/12</f>
        <v>0</v>
      </c>
      <c r="CN195" s="22">
        <f t="shared" si="172"/>
        <v>16.45045737805297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3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111.39960000000031</v>
      </c>
      <c r="D196" s="11">
        <f t="shared" si="140"/>
        <v>29.660498207550773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1088.8849686196927</v>
      </c>
      <c r="H196" s="67">
        <f t="shared" ref="H196:H203" si="192">(B196+E196+F196)*44/12+(C196+D196)*0.475*44/12</f>
        <v>502.34633771148481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304.99999999999983</v>
      </c>
      <c r="O196" s="13">
        <f>N196*VLOOKUP('Données projet'!$B$9,Paramètres!$A$1:$I$89,3,0)*VLOOKUP('Données projet'!$B$9,Paramètres!$A$1:$I$89,5,0)</f>
        <v>275.96399999999983</v>
      </c>
      <c r="P196" s="13">
        <f t="shared" si="141"/>
        <v>66.113366665488854</v>
      </c>
      <c r="Q196" s="20">
        <f t="shared" si="162"/>
        <v>595.78474694239264</v>
      </c>
      <c r="R196" s="59">
        <f t="shared" si="191"/>
        <v>889.11808027572602</v>
      </c>
      <c r="S196" s="59">
        <f ca="1">AVERAGE(OFFSET($R$3,0,0,'Données projet'!$E$9+1,1))-AVERAGE(OFFSET($H$3,0,0,'Données projet'!$E$9+1,1))</f>
        <v>336.59194805061094</v>
      </c>
      <c r="T196" s="59">
        <f t="shared" si="142"/>
        <v>473.66884161123909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0.33170231501038772</v>
      </c>
      <c r="AA196" s="21">
        <f>EXP(-LN(2)/25)*AA195+(1-EXP(-LN(2)/25))/(LN(2)/25)*Calculateur!V196*Calculateur!X196*VLOOKUP('Données projet'!$B$9,Paramètres!$A$1:$I$89,3,0)*0.475*44/12</f>
        <v>0</v>
      </c>
      <c r="AB196" s="21">
        <f>EXP(-LN(2)/2)*AB195+(1-EXP(-LN(2)/2))/(LN(2)/2)*V196*Y196*VLOOKUP('Données projet'!$B$9,Paramètres!$A$1:$I$89,3,0)*0.475*44/12</f>
        <v>0</v>
      </c>
      <c r="AC196" s="22">
        <f t="shared" si="163"/>
        <v>0.33170231501038772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319</v>
      </c>
      <c r="AJ196" s="13">
        <f>AI196*VLOOKUP('Données projet'!$B$10,Paramètres!$A$1:$I$89,3,0)*VLOOKUP('Données projet'!$B$10,Paramètres!$A$1:$I$89,5,0)</f>
        <v>209.00879999999998</v>
      </c>
      <c r="AK196" s="13">
        <f t="shared" si="164"/>
        <v>51.718923953824202</v>
      </c>
      <c r="AL196" s="20">
        <f t="shared" si="165"/>
        <v>454.10078588624373</v>
      </c>
      <c r="AM196" s="59">
        <f t="shared" ref="AM196:AM203" si="193">AL196+(AD196+AE196)*44/12</f>
        <v>747.43411921957704</v>
      </c>
      <c r="AN196" s="59">
        <f ca="1">AVERAGE(OFFSET($AM$3,0,0,'Données projet'!$E$10+1,1))-AVERAGE(OFFSET($H$3,0,0,'Données projet'!$E$10+1,1))</f>
        <v>244.66788784685366</v>
      </c>
      <c r="AO196" s="59">
        <f t="shared" si="144"/>
        <v>252.04429018409274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3.7898945142239819</v>
      </c>
      <c r="AV196" s="21">
        <f>EXP(-LN(2)/25)*AV195+(1-EXP(-LN(2)/25))/(LN(2)/25)*Calculateur!AQ196*Calculateur!AS196*VLOOKUP('Données projet'!$B$10,Paramètres!$A$1:$I$89,3,0)*0.475*44/12</f>
        <v>0</v>
      </c>
      <c r="AW196" s="21">
        <f>EXP(-LN(2)/2)*AW195+(1-EXP(-LN(2)/2))/(LN(2)/2)*AQ196*AT196*VLOOKUP('Données projet'!$B$10,Paramètres!$A$1:$I$89,3,0)*0.475*44/12</f>
        <v>0</v>
      </c>
      <c r="AX196" s="21">
        <f t="shared" si="166"/>
        <v>3.7898945142239819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243.99999999999989</v>
      </c>
      <c r="BE196" s="13">
        <f>BD196*VLOOKUP('Données projet'!$B$11,Paramètres!$A$1:$I$89,3,0)*VLOOKUP('Données projet'!$B$11,Paramètres!$A$1:$I$89,5,0)</f>
        <v>232.19039999999987</v>
      </c>
      <c r="BF196" s="13">
        <f t="shared" si="167"/>
        <v>56.756035639094556</v>
      </c>
      <c r="BG196" s="20">
        <f t="shared" si="168"/>
        <v>503.24837540475619</v>
      </c>
      <c r="BH196" s="59">
        <f t="shared" ref="BH196:BH203" si="194">BG196+(AY196+AZ196)*44/12</f>
        <v>796.58170873808945</v>
      </c>
      <c r="BI196" s="59">
        <f ca="1">AVERAGE(OFFSET($BH$3,0,0,'Données projet'!$E$11+1,1))-AVERAGE(OFFSET($H$3,0,0,'Données projet'!$E$11+1,1))</f>
        <v>373.51596132356536</v>
      </c>
      <c r="BJ196" s="59">
        <f t="shared" si="146"/>
        <v>417.00150517020114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16.511533340327691</v>
      </c>
      <c r="BQ196" s="21">
        <f>EXP(-LN(2)/25)*BQ195+(1-EXP(-LN(2)/25))/(LN(2)/25)*Calculateur!BL196*Calculateur!BN196*VLOOKUP('Données projet'!$B$11,Paramètres!$A$1:$I$89,3,0)*0.475*44/12</f>
        <v>0</v>
      </c>
      <c r="BR196" s="21">
        <f>EXP(-LN(2)/2)*BR195+(1-EXP(-LN(2)/2))/(LN(2)/2)*BL196*BO196*VLOOKUP('Données projet'!$B$11,Paramètres!$A$1:$I$89,3,0)*0.475*44/12</f>
        <v>0</v>
      </c>
      <c r="BS196" s="22">
        <f t="shared" si="169"/>
        <v>16.511533340327691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267</v>
      </c>
      <c r="BZ196" s="13">
        <f>BY196*VLOOKUP('Données projet'!$B$12,Paramètres!$A$1:$I$89,3,0)*VLOOKUP('Données projet'!$B$12,Paramètres!$A$1:$I$89,5,0)</f>
        <v>241.58159999999998</v>
      </c>
      <c r="CA196" s="13">
        <f t="shared" si="170"/>
        <v>58.779689232021951</v>
      </c>
      <c r="CB196" s="20">
        <f t="shared" si="171"/>
        <v>523.12924541243819</v>
      </c>
      <c r="CC196" s="59">
        <f t="shared" ref="CC196:CC203" si="195">CB196+(BT196+BU196)*44/12</f>
        <v>816.46257874577145</v>
      </c>
      <c r="CD196" s="59">
        <f ca="1">AVERAGE(OFFSET($CC$3,0,0,'Données projet'!$E$12+1,1))-AVERAGE(OFFSET($H$3,0,0,'Données projet'!$E$12+1,1))</f>
        <v>289.19622253646992</v>
      </c>
      <c r="CE196" s="59">
        <f t="shared" si="148"/>
        <v>191.23827338431175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>
        <f>EXP(-LN(2)/35)*CK195+(1-EXP(-LN(2)/35))/(LN(2)/35)*CG196*CH196*VLOOKUP('Données projet'!$B$12,Paramètres!$A$1:$I$89,3,0)*0.475*44/12</f>
        <v>16.127873942657597</v>
      </c>
      <c r="CL196" s="21">
        <f>EXP(-LN(2)/25)*CL195+(1-EXP(-LN(2)/25))/(LN(2)/25)*Calculateur!CG196*Calculateur!CI196*VLOOKUP('Données projet'!$B$12,Paramètres!$A$1:$I$89,3,0)*0.475*44/12</f>
        <v>0</v>
      </c>
      <c r="CM196" s="21">
        <f>EXP(-LN(2)/2)*CM195+(1-EXP(-LN(2)/2))/(LN(2)/2)*CG196*CJ196*VLOOKUP('Données projet'!$B$12,Paramètres!$A$1:$I$89,3,0)*0.475*44/12</f>
        <v>0</v>
      </c>
      <c r="CN196" s="22">
        <f t="shared" si="172"/>
        <v>16.127873942657597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3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111.97680000000031</v>
      </c>
      <c r="D197" s="11">
        <f t="shared" ref="D197:D203" si="202">IFERROR(EXP(-1.0587+0.8836*LN(C197)+0.284),0)</f>
        <v>29.796250167500524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1094.3884574333399</v>
      </c>
      <c r="H197" s="67">
        <f t="shared" si="192"/>
        <v>503.58806237506394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304.99999999999983</v>
      </c>
      <c r="O197" s="13">
        <f>N197*VLOOKUP('Données projet'!$B$9,Paramètres!$A$1:$I$89,3,0)*VLOOKUP('Données projet'!$B$9,Paramètres!$A$1:$I$89,5,0)</f>
        <v>275.96399999999983</v>
      </c>
      <c r="P197" s="13">
        <f t="shared" ref="P197:P203" si="203">EXP(-1.0587+0.8836*LN(O197)+0.284)</f>
        <v>66.113366665488854</v>
      </c>
      <c r="Q197" s="20">
        <f t="shared" si="162"/>
        <v>595.78474694239264</v>
      </c>
      <c r="R197" s="59">
        <f t="shared" si="191"/>
        <v>889.11808027572602</v>
      </c>
      <c r="S197" s="59">
        <f ca="1">AVERAGE(OFFSET($R$3,0,0,'Données projet'!$E$9+1,1))-AVERAGE(OFFSET($H$3,0,0,'Données projet'!$E$9+1,1))</f>
        <v>336.59194805061094</v>
      </c>
      <c r="T197" s="59">
        <f t="shared" ref="T197:T203" si="204">$T$3</f>
        <v>473.66884161123909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0.32519783493146887</v>
      </c>
      <c r="AA197" s="21">
        <f>EXP(-LN(2)/25)*AA196+(1-EXP(-LN(2)/25))/(LN(2)/25)*Calculateur!V197*Calculateur!X197*VLOOKUP('Données projet'!$B$9,Paramètres!$A$1:$I$89,3,0)*0.475*44/12</f>
        <v>0</v>
      </c>
      <c r="AB197" s="21">
        <f>EXP(-LN(2)/2)*AB196+(1-EXP(-LN(2)/2))/(LN(2)/2)*V197*Y197*VLOOKUP('Données projet'!$B$9,Paramètres!$A$1:$I$89,3,0)*0.475*44/12</f>
        <v>0</v>
      </c>
      <c r="AC197" s="22">
        <f t="shared" si="163"/>
        <v>0.32519783493146887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319</v>
      </c>
      <c r="AJ197" s="13">
        <f>AI197*VLOOKUP('Données projet'!$B$10,Paramètres!$A$1:$I$89,3,0)*VLOOKUP('Données projet'!$B$10,Paramètres!$A$1:$I$89,5,0)</f>
        <v>209.00879999999998</v>
      </c>
      <c r="AK197" s="13">
        <f t="shared" si="164"/>
        <v>51.718923953824202</v>
      </c>
      <c r="AL197" s="20">
        <f t="shared" si="165"/>
        <v>454.10078588624373</v>
      </c>
      <c r="AM197" s="59">
        <f t="shared" si="193"/>
        <v>747.43411921957704</v>
      </c>
      <c r="AN197" s="59">
        <f ca="1">AVERAGE(OFFSET($AM$3,0,0,'Données projet'!$E$10+1,1))-AVERAGE(OFFSET($H$3,0,0,'Données projet'!$E$10+1,1))</f>
        <v>244.66788784685366</v>
      </c>
      <c r="AO197" s="59">
        <f t="shared" ref="AO197:AO203" si="205">$AO$3</f>
        <v>252.04429018409274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3.715576994407451</v>
      </c>
      <c r="AV197" s="21">
        <f>EXP(-LN(2)/25)*AV196+(1-EXP(-LN(2)/25))/(LN(2)/25)*Calculateur!AQ197*Calculateur!AS197*VLOOKUP('Données projet'!$B$10,Paramètres!$A$1:$I$89,3,0)*0.475*44/12</f>
        <v>0</v>
      </c>
      <c r="AW197" s="21">
        <f>EXP(-LN(2)/2)*AW196+(1-EXP(-LN(2)/2))/(LN(2)/2)*AQ197*AT197*VLOOKUP('Données projet'!$B$10,Paramètres!$A$1:$I$89,3,0)*0.475*44/12</f>
        <v>0</v>
      </c>
      <c r="AX197" s="21">
        <f t="shared" si="166"/>
        <v>3.715576994407451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243.99999999999989</v>
      </c>
      <c r="BE197" s="13">
        <f>BD197*VLOOKUP('Données projet'!$B$11,Paramètres!$A$1:$I$89,3,0)*VLOOKUP('Données projet'!$B$11,Paramètres!$A$1:$I$89,5,0)</f>
        <v>232.19039999999987</v>
      </c>
      <c r="BF197" s="13">
        <f t="shared" si="167"/>
        <v>56.756035639094556</v>
      </c>
      <c r="BG197" s="20">
        <f t="shared" si="168"/>
        <v>503.24837540475619</v>
      </c>
      <c r="BH197" s="59">
        <f t="shared" si="194"/>
        <v>796.58170873808945</v>
      </c>
      <c r="BI197" s="59">
        <f ca="1">AVERAGE(OFFSET($BH$3,0,0,'Données projet'!$E$11+1,1))-AVERAGE(OFFSET($H$3,0,0,'Données projet'!$E$11+1,1))</f>
        <v>373.51596132356536</v>
      </c>
      <c r="BJ197" s="59">
        <f t="shared" ref="BJ197:BJ203" si="206">$BJ$3</f>
        <v>417.00150517020114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16.18775224256477</v>
      </c>
      <c r="BQ197" s="21">
        <f>EXP(-LN(2)/25)*BQ196+(1-EXP(-LN(2)/25))/(LN(2)/25)*Calculateur!BL197*Calculateur!BN197*VLOOKUP('Données projet'!$B$11,Paramètres!$A$1:$I$89,3,0)*0.475*44/12</f>
        <v>0</v>
      </c>
      <c r="BR197" s="21">
        <f>EXP(-LN(2)/2)*BR196+(1-EXP(-LN(2)/2))/(LN(2)/2)*BL197*BO197*VLOOKUP('Données projet'!$B$11,Paramètres!$A$1:$I$89,3,0)*0.475*44/12</f>
        <v>0</v>
      </c>
      <c r="BS197" s="22">
        <f t="shared" si="169"/>
        <v>16.18775224256477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267</v>
      </c>
      <c r="BZ197" s="13">
        <f>BY197*VLOOKUP('Données projet'!$B$12,Paramètres!$A$1:$I$89,3,0)*VLOOKUP('Données projet'!$B$12,Paramètres!$A$1:$I$89,5,0)</f>
        <v>241.58159999999998</v>
      </c>
      <c r="CA197" s="13">
        <f t="shared" si="170"/>
        <v>58.779689232021951</v>
      </c>
      <c r="CB197" s="20">
        <f t="shared" si="171"/>
        <v>523.12924541243819</v>
      </c>
      <c r="CC197" s="59">
        <f t="shared" si="195"/>
        <v>816.46257874577145</v>
      </c>
      <c r="CD197" s="59">
        <f ca="1">AVERAGE(OFFSET($CC$3,0,0,'Données projet'!$E$12+1,1))-AVERAGE(OFFSET($H$3,0,0,'Données projet'!$E$12+1,1))</f>
        <v>289.19622253646992</v>
      </c>
      <c r="CE197" s="59">
        <f t="shared" ref="CE197:CE203" si="207">$CE$3</f>
        <v>191.23827338431175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>
        <f>EXP(-LN(2)/35)*CK196+(1-EXP(-LN(2)/35))/(LN(2)/35)*CG197*CH197*VLOOKUP('Données projet'!$B$12,Paramètres!$A$1:$I$89,3,0)*0.475*44/12</f>
        <v>15.81161617167386</v>
      </c>
      <c r="CL197" s="21">
        <f>EXP(-LN(2)/25)*CL196+(1-EXP(-LN(2)/25))/(LN(2)/25)*Calculateur!CG197*Calculateur!CI197*VLOOKUP('Données projet'!$B$12,Paramètres!$A$1:$I$89,3,0)*0.475*44/12</f>
        <v>0</v>
      </c>
      <c r="CM197" s="21">
        <f>EXP(-LN(2)/2)*CM196+(1-EXP(-LN(2)/2))/(LN(2)/2)*CG197*CJ197*VLOOKUP('Données projet'!$B$12,Paramètres!$A$1:$I$89,3,0)*0.475*44/12</f>
        <v>0</v>
      </c>
      <c r="CN197" s="22">
        <f t="shared" si="172"/>
        <v>15.81161617167386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3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112.55400000000031</v>
      </c>
      <c r="D198" s="11">
        <f t="shared" si="202"/>
        <v>29.931920700323271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1099.8913176867084</v>
      </c>
      <c r="H198" s="67">
        <f t="shared" si="192"/>
        <v>504.82964521973025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304.99999999999983</v>
      </c>
      <c r="O198" s="13">
        <f>N198*VLOOKUP('Données projet'!$B$9,Paramètres!$A$1:$I$89,3,0)*VLOOKUP('Données projet'!$B$9,Paramètres!$A$1:$I$89,5,0)</f>
        <v>275.96399999999983</v>
      </c>
      <c r="P198" s="13">
        <f t="shared" si="203"/>
        <v>66.113366665488854</v>
      </c>
      <c r="Q198" s="20">
        <f t="shared" si="162"/>
        <v>595.78474694239264</v>
      </c>
      <c r="R198" s="59">
        <f t="shared" si="191"/>
        <v>889.11808027572602</v>
      </c>
      <c r="S198" s="59">
        <f ca="1">AVERAGE(OFFSET($R$3,0,0,'Données projet'!$E$9+1,1))-AVERAGE(OFFSET($H$3,0,0,'Données projet'!$E$9+1,1))</f>
        <v>336.59194805061094</v>
      </c>
      <c r="T198" s="59">
        <f t="shared" si="204"/>
        <v>473.66884161123909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0.31882090373955652</v>
      </c>
      <c r="AA198" s="21">
        <f>EXP(-LN(2)/25)*AA197+(1-EXP(-LN(2)/25))/(LN(2)/25)*Calculateur!V198*Calculateur!X198*VLOOKUP('Données projet'!$B$9,Paramètres!$A$1:$I$89,3,0)*0.475*44/12</f>
        <v>0</v>
      </c>
      <c r="AB198" s="21">
        <f>EXP(-LN(2)/2)*AB197+(1-EXP(-LN(2)/2))/(LN(2)/2)*V198*Y198*VLOOKUP('Données projet'!$B$9,Paramètres!$A$1:$I$89,3,0)*0.475*44/12</f>
        <v>0</v>
      </c>
      <c r="AC198" s="22">
        <f t="shared" si="163"/>
        <v>0.31882090373955652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319</v>
      </c>
      <c r="AJ198" s="13">
        <f>AI198*VLOOKUP('Données projet'!$B$10,Paramètres!$A$1:$I$89,3,0)*VLOOKUP('Données projet'!$B$10,Paramètres!$A$1:$I$89,5,0)</f>
        <v>209.00879999999998</v>
      </c>
      <c r="AK198" s="13">
        <f t="shared" si="164"/>
        <v>51.718923953824202</v>
      </c>
      <c r="AL198" s="20">
        <f t="shared" si="165"/>
        <v>454.10078588624373</v>
      </c>
      <c r="AM198" s="59">
        <f t="shared" si="193"/>
        <v>747.43411921957704</v>
      </c>
      <c r="AN198" s="59">
        <f ca="1">AVERAGE(OFFSET($AM$3,0,0,'Données projet'!$E$10+1,1))-AVERAGE(OFFSET($H$3,0,0,'Données projet'!$E$10+1,1))</f>
        <v>244.66788784685366</v>
      </c>
      <c r="AO198" s="59">
        <f t="shared" si="205"/>
        <v>252.04429018409274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3.642716795825311</v>
      </c>
      <c r="AV198" s="21">
        <f>EXP(-LN(2)/25)*AV197+(1-EXP(-LN(2)/25))/(LN(2)/25)*Calculateur!AQ198*Calculateur!AS198*VLOOKUP('Données projet'!$B$10,Paramètres!$A$1:$I$89,3,0)*0.475*44/12</f>
        <v>0</v>
      </c>
      <c r="AW198" s="21">
        <f>EXP(-LN(2)/2)*AW197+(1-EXP(-LN(2)/2))/(LN(2)/2)*AQ198*AT198*VLOOKUP('Données projet'!$B$10,Paramètres!$A$1:$I$89,3,0)*0.475*44/12</f>
        <v>0</v>
      </c>
      <c r="AX198" s="21">
        <f t="shared" si="166"/>
        <v>3.642716795825311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243.99999999999989</v>
      </c>
      <c r="BE198" s="13">
        <f>BD198*VLOOKUP('Données projet'!$B$11,Paramètres!$A$1:$I$89,3,0)*VLOOKUP('Données projet'!$B$11,Paramètres!$A$1:$I$89,5,0)</f>
        <v>232.19039999999987</v>
      </c>
      <c r="BF198" s="13">
        <f t="shared" si="167"/>
        <v>56.756035639094556</v>
      </c>
      <c r="BG198" s="20">
        <f t="shared" si="168"/>
        <v>503.24837540475619</v>
      </c>
      <c r="BH198" s="59">
        <f t="shared" si="194"/>
        <v>796.58170873808945</v>
      </c>
      <c r="BI198" s="59">
        <f ca="1">AVERAGE(OFFSET($BH$3,0,0,'Données projet'!$E$11+1,1))-AVERAGE(OFFSET($H$3,0,0,'Données projet'!$E$11+1,1))</f>
        <v>373.51596132356536</v>
      </c>
      <c r="BJ198" s="59">
        <f t="shared" si="206"/>
        <v>417.00150517020114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15.87032029464201</v>
      </c>
      <c r="BQ198" s="21">
        <f>EXP(-LN(2)/25)*BQ197+(1-EXP(-LN(2)/25))/(LN(2)/25)*Calculateur!BL198*Calculateur!BN198*VLOOKUP('Données projet'!$B$11,Paramètres!$A$1:$I$89,3,0)*0.475*44/12</f>
        <v>0</v>
      </c>
      <c r="BR198" s="21">
        <f>EXP(-LN(2)/2)*BR197+(1-EXP(-LN(2)/2))/(LN(2)/2)*BL198*BO198*VLOOKUP('Données projet'!$B$11,Paramètres!$A$1:$I$89,3,0)*0.475*44/12</f>
        <v>0</v>
      </c>
      <c r="BS198" s="22">
        <f t="shared" si="169"/>
        <v>15.87032029464201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267</v>
      </c>
      <c r="BZ198" s="13">
        <f>BY198*VLOOKUP('Données projet'!$B$12,Paramètres!$A$1:$I$89,3,0)*VLOOKUP('Données projet'!$B$12,Paramètres!$A$1:$I$89,5,0)</f>
        <v>241.58159999999998</v>
      </c>
      <c r="CA198" s="13">
        <f t="shared" si="170"/>
        <v>58.779689232021951</v>
      </c>
      <c r="CB198" s="20">
        <f t="shared" si="171"/>
        <v>523.12924541243819</v>
      </c>
      <c r="CC198" s="59">
        <f t="shared" si="195"/>
        <v>816.46257874577145</v>
      </c>
      <c r="CD198" s="59">
        <f ca="1">AVERAGE(OFFSET($CC$3,0,0,'Données projet'!$E$12+1,1))-AVERAGE(OFFSET($H$3,0,0,'Données projet'!$E$12+1,1))</f>
        <v>289.19622253646992</v>
      </c>
      <c r="CE198" s="59">
        <f t="shared" si="207"/>
        <v>191.23827338431175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>
        <f>EXP(-LN(2)/35)*CK197+(1-EXP(-LN(2)/35))/(LN(2)/35)*CG198*CH198*VLOOKUP('Données projet'!$B$12,Paramètres!$A$1:$I$89,3,0)*0.475*44/12</f>
        <v>15.501560022680922</v>
      </c>
      <c r="CL198" s="21">
        <f>EXP(-LN(2)/25)*CL197+(1-EXP(-LN(2)/25))/(LN(2)/25)*Calculateur!CG198*Calculateur!CI198*VLOOKUP('Données projet'!$B$12,Paramètres!$A$1:$I$89,3,0)*0.475*44/12</f>
        <v>0</v>
      </c>
      <c r="CM198" s="21">
        <f>EXP(-LN(2)/2)*CM197+(1-EXP(-LN(2)/2))/(LN(2)/2)*CG198*CJ198*VLOOKUP('Données projet'!$B$12,Paramètres!$A$1:$I$89,3,0)*0.475*44/12</f>
        <v>0</v>
      </c>
      <c r="CN198" s="22">
        <f t="shared" si="172"/>
        <v>15.501560022680922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3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113.13120000000032</v>
      </c>
      <c r="D199" s="11">
        <f t="shared" si="202"/>
        <v>30.067510272064766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1105.3935529773446</v>
      </c>
      <c r="H199" s="67">
        <f t="shared" si="192"/>
        <v>506.07108705718002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304.99999999999983</v>
      </c>
      <c r="O199" s="13">
        <f>N199*VLOOKUP('Données projet'!$B$9,Paramètres!$A$1:$I$89,3,0)*VLOOKUP('Données projet'!$B$9,Paramètres!$A$1:$I$89,5,0)</f>
        <v>275.96399999999983</v>
      </c>
      <c r="P199" s="13">
        <f t="shared" si="203"/>
        <v>66.113366665488854</v>
      </c>
      <c r="Q199" s="20">
        <f t="shared" si="162"/>
        <v>595.78474694239264</v>
      </c>
      <c r="R199" s="59">
        <f t="shared" si="191"/>
        <v>889.11808027572602</v>
      </c>
      <c r="S199" s="59">
        <f ca="1">AVERAGE(OFFSET($R$3,0,0,'Données projet'!$E$9+1,1))-AVERAGE(OFFSET($H$3,0,0,'Données projet'!$E$9+1,1))</f>
        <v>336.59194805061094</v>
      </c>
      <c r="T199" s="59">
        <f t="shared" si="204"/>
        <v>473.66884161123909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0.31256902027877359</v>
      </c>
      <c r="AA199" s="21">
        <f>EXP(-LN(2)/25)*AA198+(1-EXP(-LN(2)/25))/(LN(2)/25)*Calculateur!V199*Calculateur!X199*VLOOKUP('Données projet'!$B$9,Paramètres!$A$1:$I$89,3,0)*0.475*44/12</f>
        <v>0</v>
      </c>
      <c r="AB199" s="21">
        <f>EXP(-LN(2)/2)*AB198+(1-EXP(-LN(2)/2))/(LN(2)/2)*V199*Y199*VLOOKUP('Données projet'!$B$9,Paramètres!$A$1:$I$89,3,0)*0.475*44/12</f>
        <v>0</v>
      </c>
      <c r="AC199" s="22">
        <f t="shared" si="163"/>
        <v>0.31256902027877359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319</v>
      </c>
      <c r="AJ199" s="13">
        <f>AI199*VLOOKUP('Données projet'!$B$10,Paramètres!$A$1:$I$89,3,0)*VLOOKUP('Données projet'!$B$10,Paramètres!$A$1:$I$89,5,0)</f>
        <v>209.00879999999998</v>
      </c>
      <c r="AK199" s="13">
        <f t="shared" si="164"/>
        <v>51.718923953824202</v>
      </c>
      <c r="AL199" s="20">
        <f t="shared" si="165"/>
        <v>454.10078588624373</v>
      </c>
      <c r="AM199" s="59">
        <f t="shared" si="193"/>
        <v>747.43411921957704</v>
      </c>
      <c r="AN199" s="59">
        <f ca="1">AVERAGE(OFFSET($AM$3,0,0,'Données projet'!$E$10+1,1))-AVERAGE(OFFSET($H$3,0,0,'Données projet'!$E$10+1,1))</f>
        <v>244.66788784685366</v>
      </c>
      <c r="AO199" s="59">
        <f t="shared" si="205"/>
        <v>252.04429018409274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3.5712853412970338</v>
      </c>
      <c r="AV199" s="21">
        <f>EXP(-LN(2)/25)*AV198+(1-EXP(-LN(2)/25))/(LN(2)/25)*Calculateur!AQ199*Calculateur!AS199*VLOOKUP('Données projet'!$B$10,Paramètres!$A$1:$I$89,3,0)*0.475*44/12</f>
        <v>0</v>
      </c>
      <c r="AW199" s="21">
        <f>EXP(-LN(2)/2)*AW198+(1-EXP(-LN(2)/2))/(LN(2)/2)*AQ199*AT199*VLOOKUP('Données projet'!$B$10,Paramètres!$A$1:$I$89,3,0)*0.475*44/12</f>
        <v>0</v>
      </c>
      <c r="AX199" s="21">
        <f t="shared" si="166"/>
        <v>3.5712853412970338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243.99999999999989</v>
      </c>
      <c r="BE199" s="13">
        <f>BD199*VLOOKUP('Données projet'!$B$11,Paramètres!$A$1:$I$89,3,0)*VLOOKUP('Données projet'!$B$11,Paramètres!$A$1:$I$89,5,0)</f>
        <v>232.19039999999987</v>
      </c>
      <c r="BF199" s="13">
        <f t="shared" si="167"/>
        <v>56.756035639094556</v>
      </c>
      <c r="BG199" s="20">
        <f t="shared" si="168"/>
        <v>503.24837540475619</v>
      </c>
      <c r="BH199" s="59">
        <f t="shared" si="194"/>
        <v>796.58170873808945</v>
      </c>
      <c r="BI199" s="59">
        <f ca="1">AVERAGE(OFFSET($BH$3,0,0,'Données projet'!$E$11+1,1))-AVERAGE(OFFSET($H$3,0,0,'Données projet'!$E$11+1,1))</f>
        <v>373.51596132356536</v>
      </c>
      <c r="BJ199" s="59">
        <f t="shared" si="206"/>
        <v>417.00150517020114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15.559112993603645</v>
      </c>
      <c r="BQ199" s="21">
        <f>EXP(-LN(2)/25)*BQ198+(1-EXP(-LN(2)/25))/(LN(2)/25)*Calculateur!BL199*Calculateur!BN199*VLOOKUP('Données projet'!$B$11,Paramètres!$A$1:$I$89,3,0)*0.475*44/12</f>
        <v>0</v>
      </c>
      <c r="BR199" s="21">
        <f>EXP(-LN(2)/2)*BR198+(1-EXP(-LN(2)/2))/(LN(2)/2)*BL199*BO199*VLOOKUP('Données projet'!$B$11,Paramètres!$A$1:$I$89,3,0)*0.475*44/12</f>
        <v>0</v>
      </c>
      <c r="BS199" s="22">
        <f t="shared" si="169"/>
        <v>15.559112993603645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267</v>
      </c>
      <c r="BZ199" s="13">
        <f>BY199*VLOOKUP('Données projet'!$B$12,Paramètres!$A$1:$I$89,3,0)*VLOOKUP('Données projet'!$B$12,Paramètres!$A$1:$I$89,5,0)</f>
        <v>241.58159999999998</v>
      </c>
      <c r="CA199" s="13">
        <f t="shared" si="170"/>
        <v>58.779689232021951</v>
      </c>
      <c r="CB199" s="20">
        <f t="shared" si="171"/>
        <v>523.12924541243819</v>
      </c>
      <c r="CC199" s="59">
        <f t="shared" si="195"/>
        <v>816.46257874577145</v>
      </c>
      <c r="CD199" s="59">
        <f ca="1">AVERAGE(OFFSET($CC$3,0,0,'Données projet'!$E$12+1,1))-AVERAGE(OFFSET($H$3,0,0,'Données projet'!$E$12+1,1))</f>
        <v>289.19622253646992</v>
      </c>
      <c r="CE199" s="59">
        <f t="shared" si="207"/>
        <v>191.23827338431175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>
        <f>EXP(-LN(2)/35)*CK198+(1-EXP(-LN(2)/35))/(LN(2)/35)*CG199*CH199*VLOOKUP('Données projet'!$B$12,Paramètres!$A$1:$I$89,3,0)*0.475*44/12</f>
        <v>15.197583885654158</v>
      </c>
      <c r="CL199" s="21">
        <f>EXP(-LN(2)/25)*CL198+(1-EXP(-LN(2)/25))/(LN(2)/25)*Calculateur!CG199*Calculateur!CI199*VLOOKUP('Données projet'!$B$12,Paramètres!$A$1:$I$89,3,0)*0.475*44/12</f>
        <v>0</v>
      </c>
      <c r="CM199" s="21">
        <f>EXP(-LN(2)/2)*CM198+(1-EXP(-LN(2)/2))/(LN(2)/2)*CG199*CJ199*VLOOKUP('Données projet'!$B$12,Paramètres!$A$1:$I$89,3,0)*0.475*44/12</f>
        <v>0</v>
      </c>
      <c r="CN199" s="22">
        <f t="shared" si="172"/>
        <v>15.197583885654158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3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113.70840000000032</v>
      </c>
      <c r="D200" s="11">
        <f t="shared" si="202"/>
        <v>30.203019343739882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1110.8951668639595</v>
      </c>
      <c r="H200" s="67">
        <f t="shared" si="192"/>
        <v>507.31238869034746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304.99999999999983</v>
      </c>
      <c r="O200" s="13">
        <f>N200*VLOOKUP('Données projet'!$B$9,Paramètres!$A$1:$I$89,3,0)*VLOOKUP('Données projet'!$B$9,Paramètres!$A$1:$I$89,5,0)</f>
        <v>275.96399999999983</v>
      </c>
      <c r="P200" s="13">
        <f t="shared" si="203"/>
        <v>66.113366665488854</v>
      </c>
      <c r="Q200" s="20">
        <f t="shared" si="162"/>
        <v>595.78474694239264</v>
      </c>
      <c r="R200" s="59">
        <f t="shared" si="191"/>
        <v>889.11808027572602</v>
      </c>
      <c r="S200" s="59">
        <f ca="1">AVERAGE(OFFSET($R$3,0,0,'Données projet'!$E$9+1,1))-AVERAGE(OFFSET($H$3,0,0,'Données projet'!$E$9+1,1))</f>
        <v>336.59194805061094</v>
      </c>
      <c r="T200" s="59">
        <f t="shared" si="204"/>
        <v>473.66884161123909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0.30643973243938427</v>
      </c>
      <c r="AA200" s="21">
        <f>EXP(-LN(2)/25)*AA199+(1-EXP(-LN(2)/25))/(LN(2)/25)*Calculateur!V200*Calculateur!X200*VLOOKUP('Données projet'!$B$9,Paramètres!$A$1:$I$89,3,0)*0.475*44/12</f>
        <v>0</v>
      </c>
      <c r="AB200" s="21">
        <f>EXP(-LN(2)/2)*AB199+(1-EXP(-LN(2)/2))/(LN(2)/2)*V200*Y200*VLOOKUP('Données projet'!$B$9,Paramètres!$A$1:$I$89,3,0)*0.475*44/12</f>
        <v>0</v>
      </c>
      <c r="AC200" s="22">
        <f t="shared" si="163"/>
        <v>0.30643973243938427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319</v>
      </c>
      <c r="AJ200" s="13">
        <f>AI200*VLOOKUP('Données projet'!$B$10,Paramètres!$A$1:$I$89,3,0)*VLOOKUP('Données projet'!$B$10,Paramètres!$A$1:$I$89,5,0)</f>
        <v>209.00879999999998</v>
      </c>
      <c r="AK200" s="13">
        <f t="shared" si="164"/>
        <v>51.718923953824202</v>
      </c>
      <c r="AL200" s="20">
        <f t="shared" si="165"/>
        <v>454.10078588624373</v>
      </c>
      <c r="AM200" s="59">
        <f t="shared" si="193"/>
        <v>747.43411921957704</v>
      </c>
      <c r="AN200" s="59">
        <f ca="1">AVERAGE(OFFSET($AM$3,0,0,'Données projet'!$E$10+1,1))-AVERAGE(OFFSET($H$3,0,0,'Données projet'!$E$10+1,1))</f>
        <v>244.66788784685366</v>
      </c>
      <c r="AO200" s="59">
        <f t="shared" si="205"/>
        <v>252.04429018409274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3.5012546140231708</v>
      </c>
      <c r="AV200" s="21">
        <f>EXP(-LN(2)/25)*AV199+(1-EXP(-LN(2)/25))/(LN(2)/25)*Calculateur!AQ200*Calculateur!AS200*VLOOKUP('Données projet'!$B$10,Paramètres!$A$1:$I$89,3,0)*0.475*44/12</f>
        <v>0</v>
      </c>
      <c r="AW200" s="21">
        <f>EXP(-LN(2)/2)*AW199+(1-EXP(-LN(2)/2))/(LN(2)/2)*AQ200*AT200*VLOOKUP('Données projet'!$B$10,Paramètres!$A$1:$I$89,3,0)*0.475*44/12</f>
        <v>0</v>
      </c>
      <c r="AX200" s="21">
        <f t="shared" si="166"/>
        <v>3.5012546140231708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243.99999999999989</v>
      </c>
      <c r="BE200" s="13">
        <f>BD200*VLOOKUP('Données projet'!$B$11,Paramètres!$A$1:$I$89,3,0)*VLOOKUP('Données projet'!$B$11,Paramètres!$A$1:$I$89,5,0)</f>
        <v>232.19039999999987</v>
      </c>
      <c r="BF200" s="13">
        <f t="shared" si="167"/>
        <v>56.756035639094556</v>
      </c>
      <c r="BG200" s="20">
        <f t="shared" si="168"/>
        <v>503.24837540475619</v>
      </c>
      <c r="BH200" s="59">
        <f t="shared" si="194"/>
        <v>796.58170873808945</v>
      </c>
      <c r="BI200" s="59">
        <f ca="1">AVERAGE(OFFSET($BH$3,0,0,'Données projet'!$E$11+1,1))-AVERAGE(OFFSET($H$3,0,0,'Données projet'!$E$11+1,1))</f>
        <v>373.51596132356536</v>
      </c>
      <c r="BJ200" s="59">
        <f t="shared" si="206"/>
        <v>417.00150517020114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15.254008277920931</v>
      </c>
      <c r="BQ200" s="21">
        <f>EXP(-LN(2)/25)*BQ199+(1-EXP(-LN(2)/25))/(LN(2)/25)*Calculateur!BL200*Calculateur!BN200*VLOOKUP('Données projet'!$B$11,Paramètres!$A$1:$I$89,3,0)*0.475*44/12</f>
        <v>0</v>
      </c>
      <c r="BR200" s="21">
        <f>EXP(-LN(2)/2)*BR199+(1-EXP(-LN(2)/2))/(LN(2)/2)*BL200*BO200*VLOOKUP('Données projet'!$B$11,Paramètres!$A$1:$I$89,3,0)*0.475*44/12</f>
        <v>0</v>
      </c>
      <c r="BS200" s="22">
        <f t="shared" si="169"/>
        <v>15.254008277920931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267</v>
      </c>
      <c r="BZ200" s="13">
        <f>BY200*VLOOKUP('Données projet'!$B$12,Paramètres!$A$1:$I$89,3,0)*VLOOKUP('Données projet'!$B$12,Paramètres!$A$1:$I$89,5,0)</f>
        <v>241.58159999999998</v>
      </c>
      <c r="CA200" s="13">
        <f t="shared" si="170"/>
        <v>58.779689232021951</v>
      </c>
      <c r="CB200" s="20">
        <f t="shared" si="171"/>
        <v>523.12924541243819</v>
      </c>
      <c r="CC200" s="59">
        <f t="shared" si="195"/>
        <v>816.46257874577145</v>
      </c>
      <c r="CD200" s="59">
        <f ca="1">AVERAGE(OFFSET($CC$3,0,0,'Données projet'!$E$12+1,1))-AVERAGE(OFFSET($H$3,0,0,'Données projet'!$E$12+1,1))</f>
        <v>289.19622253646992</v>
      </c>
      <c r="CE200" s="59">
        <f t="shared" si="207"/>
        <v>191.23827338431175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>
        <f>EXP(-LN(2)/35)*CK199+(1-EXP(-LN(2)/35))/(LN(2)/35)*CG200*CH200*VLOOKUP('Données projet'!$B$12,Paramètres!$A$1:$I$89,3,0)*0.475*44/12</f>
        <v>14.899568535267353</v>
      </c>
      <c r="CL200" s="21">
        <f>EXP(-LN(2)/25)*CL199+(1-EXP(-LN(2)/25))/(LN(2)/25)*Calculateur!CG200*Calculateur!CI200*VLOOKUP('Données projet'!$B$12,Paramètres!$A$1:$I$89,3,0)*0.475*44/12</f>
        <v>0</v>
      </c>
      <c r="CM200" s="21">
        <f>EXP(-LN(2)/2)*CM199+(1-EXP(-LN(2)/2))/(LN(2)/2)*CG200*CJ200*VLOOKUP('Données projet'!$B$12,Paramètres!$A$1:$I$89,3,0)*0.475*44/12</f>
        <v>0</v>
      </c>
      <c r="CN200" s="22">
        <f t="shared" si="172"/>
        <v>14.899568535267353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3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114.28560000000033</v>
      </c>
      <c r="D201" s="11">
        <f t="shared" si="202"/>
        <v>30.338448371411999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1116.3961628670427</v>
      </c>
      <c r="H201" s="67">
        <f t="shared" si="192"/>
        <v>508.55355091354312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304.99999999999983</v>
      </c>
      <c r="O201" s="13">
        <f>N201*VLOOKUP('Données projet'!$B$9,Paramètres!$A$1:$I$89,3,0)*VLOOKUP('Données projet'!$B$9,Paramètres!$A$1:$I$89,5,0)</f>
        <v>275.96399999999983</v>
      </c>
      <c r="P201" s="13">
        <f t="shared" si="203"/>
        <v>66.113366665488854</v>
      </c>
      <c r="Q201" s="20">
        <f t="shared" si="162"/>
        <v>595.78474694239264</v>
      </c>
      <c r="R201" s="59">
        <f t="shared" si="191"/>
        <v>889.11808027572602</v>
      </c>
      <c r="S201" s="59">
        <f ca="1">AVERAGE(OFFSET($R$3,0,0,'Données projet'!$E$9+1,1))-AVERAGE(OFFSET($H$3,0,0,'Données projet'!$E$9+1,1))</f>
        <v>336.59194805061094</v>
      </c>
      <c r="T201" s="59">
        <f t="shared" si="204"/>
        <v>473.66884161123909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0.30043063619602894</v>
      </c>
      <c r="AA201" s="21">
        <f>EXP(-LN(2)/25)*AA200+(1-EXP(-LN(2)/25))/(LN(2)/25)*Calculateur!V201*Calculateur!X201*VLOOKUP('Données projet'!$B$9,Paramètres!$A$1:$I$89,3,0)*0.475*44/12</f>
        <v>0</v>
      </c>
      <c r="AB201" s="21">
        <f>EXP(-LN(2)/2)*AB200+(1-EXP(-LN(2)/2))/(LN(2)/2)*V201*Y201*VLOOKUP('Données projet'!$B$9,Paramètres!$A$1:$I$89,3,0)*0.475*44/12</f>
        <v>0</v>
      </c>
      <c r="AC201" s="22">
        <f t="shared" si="163"/>
        <v>0.30043063619602894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319</v>
      </c>
      <c r="AJ201" s="13">
        <f>AI201*VLOOKUP('Données projet'!$B$10,Paramètres!$A$1:$I$89,3,0)*VLOOKUP('Données projet'!$B$10,Paramètres!$A$1:$I$89,5,0)</f>
        <v>209.00879999999998</v>
      </c>
      <c r="AK201" s="13">
        <f t="shared" si="164"/>
        <v>51.718923953824202</v>
      </c>
      <c r="AL201" s="20">
        <f t="shared" si="165"/>
        <v>454.10078588624373</v>
      </c>
      <c r="AM201" s="59">
        <f t="shared" si="193"/>
        <v>747.43411921957704</v>
      </c>
      <c r="AN201" s="59">
        <f ca="1">AVERAGE(OFFSET($AM$3,0,0,'Données projet'!$E$10+1,1))-AVERAGE(OFFSET($H$3,0,0,'Données projet'!$E$10+1,1))</f>
        <v>244.66788784685366</v>
      </c>
      <c r="AO201" s="59">
        <f t="shared" si="205"/>
        <v>252.04429018409274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3.4325971465966227</v>
      </c>
      <c r="AV201" s="21">
        <f>EXP(-LN(2)/25)*AV200+(1-EXP(-LN(2)/25))/(LN(2)/25)*Calculateur!AQ201*Calculateur!AS201*VLOOKUP('Données projet'!$B$10,Paramètres!$A$1:$I$89,3,0)*0.475*44/12</f>
        <v>0</v>
      </c>
      <c r="AW201" s="21">
        <f>EXP(-LN(2)/2)*AW200+(1-EXP(-LN(2)/2))/(LN(2)/2)*AQ201*AT201*VLOOKUP('Données projet'!$B$10,Paramètres!$A$1:$I$89,3,0)*0.475*44/12</f>
        <v>0</v>
      </c>
      <c r="AX201" s="21">
        <f t="shared" si="166"/>
        <v>3.4325971465966227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243.99999999999989</v>
      </c>
      <c r="BE201" s="13">
        <f>BD201*VLOOKUP('Données projet'!$B$11,Paramètres!$A$1:$I$89,3,0)*VLOOKUP('Données projet'!$B$11,Paramètres!$A$1:$I$89,5,0)</f>
        <v>232.19039999999987</v>
      </c>
      <c r="BF201" s="13">
        <f t="shared" si="167"/>
        <v>56.756035639094556</v>
      </c>
      <c r="BG201" s="20">
        <f t="shared" si="168"/>
        <v>503.24837540475619</v>
      </c>
      <c r="BH201" s="59">
        <f t="shared" si="194"/>
        <v>796.58170873808945</v>
      </c>
      <c r="BI201" s="59">
        <f ca="1">AVERAGE(OFFSET($BH$3,0,0,'Données projet'!$E$11+1,1))-AVERAGE(OFFSET($H$3,0,0,'Données projet'!$E$11+1,1))</f>
        <v>373.51596132356536</v>
      </c>
      <c r="BJ201" s="59">
        <f t="shared" si="206"/>
        <v>417.00150517020114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14.954886479617254</v>
      </c>
      <c r="BQ201" s="21">
        <f>EXP(-LN(2)/25)*BQ200+(1-EXP(-LN(2)/25))/(LN(2)/25)*Calculateur!BL201*Calculateur!BN201*VLOOKUP('Données projet'!$B$11,Paramètres!$A$1:$I$89,3,0)*0.475*44/12</f>
        <v>0</v>
      </c>
      <c r="BR201" s="21">
        <f>EXP(-LN(2)/2)*BR200+(1-EXP(-LN(2)/2))/(LN(2)/2)*BL201*BO201*VLOOKUP('Données projet'!$B$11,Paramètres!$A$1:$I$89,3,0)*0.475*44/12</f>
        <v>0</v>
      </c>
      <c r="BS201" s="22">
        <f t="shared" si="169"/>
        <v>14.954886479617254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267</v>
      </c>
      <c r="BZ201" s="13">
        <f>BY201*VLOOKUP('Données projet'!$B$12,Paramètres!$A$1:$I$89,3,0)*VLOOKUP('Données projet'!$B$12,Paramètres!$A$1:$I$89,5,0)</f>
        <v>241.58159999999998</v>
      </c>
      <c r="CA201" s="13">
        <f t="shared" si="170"/>
        <v>58.779689232021951</v>
      </c>
      <c r="CB201" s="20">
        <f t="shared" si="171"/>
        <v>523.12924541243819</v>
      </c>
      <c r="CC201" s="59">
        <f t="shared" si="195"/>
        <v>816.46257874577145</v>
      </c>
      <c r="CD201" s="59">
        <f ca="1">AVERAGE(OFFSET($CC$3,0,0,'Données projet'!$E$12+1,1))-AVERAGE(OFFSET($H$3,0,0,'Données projet'!$E$12+1,1))</f>
        <v>289.19622253646992</v>
      </c>
      <c r="CE201" s="59">
        <f t="shared" si="207"/>
        <v>191.23827338431175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>
        <f>EXP(-LN(2)/35)*CK200+(1-EXP(-LN(2)/35))/(LN(2)/35)*CG201*CH201*VLOOKUP('Données projet'!$B$12,Paramètres!$A$1:$I$89,3,0)*0.475*44/12</f>
        <v>14.607397084130216</v>
      </c>
      <c r="CL201" s="21">
        <f>EXP(-LN(2)/25)*CL200+(1-EXP(-LN(2)/25))/(LN(2)/25)*Calculateur!CG201*Calculateur!CI201*VLOOKUP('Données projet'!$B$12,Paramètres!$A$1:$I$89,3,0)*0.475*44/12</f>
        <v>0</v>
      </c>
      <c r="CM201" s="21">
        <f>EXP(-LN(2)/2)*CM200+(1-EXP(-LN(2)/2))/(LN(2)/2)*CG201*CJ201*VLOOKUP('Données projet'!$B$12,Paramètres!$A$1:$I$89,3,0)*0.475*44/12</f>
        <v>0</v>
      </c>
      <c r="CN201" s="22">
        <f t="shared" si="172"/>
        <v>14.607397084130216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3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114.86280000000033</v>
      </c>
      <c r="D202" s="11">
        <f t="shared" si="202"/>
        <v>30.473797806271179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1121.8965444694645</v>
      </c>
      <c r="H202" s="67">
        <f t="shared" si="192"/>
        <v>509.79457451258963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304.99999999999983</v>
      </c>
      <c r="O202" s="13">
        <f>N202*VLOOKUP('Données projet'!$B$9,Paramètres!$A$1:$I$89,3,0)*VLOOKUP('Données projet'!$B$9,Paramètres!$A$1:$I$89,5,0)</f>
        <v>275.96399999999983</v>
      </c>
      <c r="P202" s="13">
        <f t="shared" si="203"/>
        <v>66.113366665488854</v>
      </c>
      <c r="Q202" s="20">
        <f t="shared" si="162"/>
        <v>595.78474694239264</v>
      </c>
      <c r="R202" s="59">
        <f t="shared" si="191"/>
        <v>889.11808027572602</v>
      </c>
      <c r="S202" s="59">
        <f ca="1">AVERAGE(OFFSET($R$3,0,0,'Données projet'!$E$9+1,1))-AVERAGE(OFFSET($H$3,0,0,'Données projet'!$E$9+1,1))</f>
        <v>336.59194805061094</v>
      </c>
      <c r="T202" s="59">
        <f t="shared" si="204"/>
        <v>473.66884161123909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0.294539374664819</v>
      </c>
      <c r="AA202" s="21">
        <f>EXP(-LN(2)/25)*AA201+(1-EXP(-LN(2)/25))/(LN(2)/25)*Calculateur!V202*Calculateur!X202*VLOOKUP('Données projet'!$B$9,Paramètres!$A$1:$I$89,3,0)*0.475*44/12</f>
        <v>0</v>
      </c>
      <c r="AB202" s="21">
        <f>EXP(-LN(2)/2)*AB201+(1-EXP(-LN(2)/2))/(LN(2)/2)*V202*Y202*VLOOKUP('Données projet'!$B$9,Paramètres!$A$1:$I$89,3,0)*0.475*44/12</f>
        <v>0</v>
      </c>
      <c r="AC202" s="22">
        <f t="shared" si="163"/>
        <v>0.294539374664819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319</v>
      </c>
      <c r="AJ202" s="13">
        <f>AI202*VLOOKUP('Données projet'!$B$10,Paramètres!$A$1:$I$89,3,0)*VLOOKUP('Données projet'!$B$10,Paramètres!$A$1:$I$89,5,0)</f>
        <v>209.00879999999998</v>
      </c>
      <c r="AK202" s="13">
        <f t="shared" si="164"/>
        <v>51.718923953824202</v>
      </c>
      <c r="AL202" s="20">
        <f t="shared" si="165"/>
        <v>454.10078588624373</v>
      </c>
      <c r="AM202" s="59">
        <f t="shared" si="193"/>
        <v>747.43411921957704</v>
      </c>
      <c r="AN202" s="59">
        <f ca="1">AVERAGE(OFFSET($AM$3,0,0,'Données projet'!$E$10+1,1))-AVERAGE(OFFSET($H$3,0,0,'Données projet'!$E$10+1,1))</f>
        <v>244.66788784685366</v>
      </c>
      <c r="AO202" s="59">
        <f t="shared" si="205"/>
        <v>252.04429018409274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3.3652860102293891</v>
      </c>
      <c r="AV202" s="21">
        <f>EXP(-LN(2)/25)*AV201+(1-EXP(-LN(2)/25))/(LN(2)/25)*Calculateur!AQ202*Calculateur!AS202*VLOOKUP('Données projet'!$B$10,Paramètres!$A$1:$I$89,3,0)*0.475*44/12</f>
        <v>0</v>
      </c>
      <c r="AW202" s="21">
        <f>EXP(-LN(2)/2)*AW201+(1-EXP(-LN(2)/2))/(LN(2)/2)*AQ202*AT202*VLOOKUP('Données projet'!$B$10,Paramètres!$A$1:$I$89,3,0)*0.475*44/12</f>
        <v>0</v>
      </c>
      <c r="AX202" s="21">
        <f t="shared" si="166"/>
        <v>3.3652860102293891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243.99999999999989</v>
      </c>
      <c r="BE202" s="13">
        <f>BD202*VLOOKUP('Données projet'!$B$11,Paramètres!$A$1:$I$89,3,0)*VLOOKUP('Données projet'!$B$11,Paramètres!$A$1:$I$89,5,0)</f>
        <v>232.19039999999987</v>
      </c>
      <c r="BF202" s="13">
        <f t="shared" si="167"/>
        <v>56.756035639094556</v>
      </c>
      <c r="BG202" s="20">
        <f t="shared" si="168"/>
        <v>503.24837540475619</v>
      </c>
      <c r="BH202" s="59">
        <f t="shared" si="194"/>
        <v>796.58170873808945</v>
      </c>
      <c r="BI202" s="59">
        <f ca="1">AVERAGE(OFFSET($BH$3,0,0,'Données projet'!$E$11+1,1))-AVERAGE(OFFSET($H$3,0,0,'Données projet'!$E$11+1,1))</f>
        <v>373.51596132356536</v>
      </c>
      <c r="BJ202" s="59">
        <f t="shared" si="206"/>
        <v>417.00150517020114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14.661630277332032</v>
      </c>
      <c r="BQ202" s="21">
        <f>EXP(-LN(2)/25)*BQ201+(1-EXP(-LN(2)/25))/(LN(2)/25)*Calculateur!BL202*Calculateur!BN202*VLOOKUP('Données projet'!$B$11,Paramètres!$A$1:$I$89,3,0)*0.475*44/12</f>
        <v>0</v>
      </c>
      <c r="BR202" s="21">
        <f>EXP(-LN(2)/2)*BR201+(1-EXP(-LN(2)/2))/(LN(2)/2)*BL202*BO202*VLOOKUP('Données projet'!$B$11,Paramètres!$A$1:$I$89,3,0)*0.475*44/12</f>
        <v>0</v>
      </c>
      <c r="BS202" s="22">
        <f t="shared" si="169"/>
        <v>14.661630277332032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267</v>
      </c>
      <c r="BZ202" s="13">
        <f>BY202*VLOOKUP('Données projet'!$B$12,Paramètres!$A$1:$I$89,3,0)*VLOOKUP('Données projet'!$B$12,Paramètres!$A$1:$I$89,5,0)</f>
        <v>241.58159999999998</v>
      </c>
      <c r="CA202" s="13">
        <f t="shared" si="170"/>
        <v>58.779689232021951</v>
      </c>
      <c r="CB202" s="20">
        <f t="shared" si="171"/>
        <v>523.12924541243819</v>
      </c>
      <c r="CC202" s="59">
        <f t="shared" si="195"/>
        <v>816.46257874577145</v>
      </c>
      <c r="CD202" s="59">
        <f ca="1">AVERAGE(OFFSET($CC$3,0,0,'Données projet'!$E$12+1,1))-AVERAGE(OFFSET($H$3,0,0,'Données projet'!$E$12+1,1))</f>
        <v>289.19622253646992</v>
      </c>
      <c r="CE202" s="59">
        <f t="shared" si="207"/>
        <v>191.23827338431175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>
        <f>EXP(-LN(2)/35)*CK201+(1-EXP(-LN(2)/35))/(LN(2)/35)*CG202*CH202*VLOOKUP('Données projet'!$B$12,Paramètres!$A$1:$I$89,3,0)*0.475*44/12</f>
        <v>14.320954936942892</v>
      </c>
      <c r="CL202" s="21">
        <f>EXP(-LN(2)/25)*CL201+(1-EXP(-LN(2)/25))/(LN(2)/25)*Calculateur!CG202*Calculateur!CI202*VLOOKUP('Données projet'!$B$12,Paramètres!$A$1:$I$89,3,0)*0.475*44/12</f>
        <v>0</v>
      </c>
      <c r="CM202" s="21">
        <f>EXP(-LN(2)/2)*CM201+(1-EXP(-LN(2)/2))/(LN(2)/2)*CG202*CJ202*VLOOKUP('Données projet'!$B$12,Paramètres!$A$1:$I$89,3,0)*0.475*44/12</f>
        <v>0</v>
      </c>
      <c r="CN202" s="22">
        <f t="shared" si="172"/>
        <v>14.320954936942892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35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115.44000000000034</v>
      </c>
      <c r="D203" s="11">
        <f t="shared" si="202"/>
        <v>30.609068094710292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1127.3963151170647</v>
      </c>
      <c r="H203" s="67">
        <f t="shared" si="192"/>
        <v>511.03546026495439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304.99999999999983</v>
      </c>
      <c r="O203" s="13">
        <f>N203*VLOOKUP('Données projet'!$B$9,Paramètres!$A$1:$I$89,3,0)*VLOOKUP('Données projet'!$B$9,Paramètres!$A$1:$I$89,5,0)</f>
        <v>275.96399999999983</v>
      </c>
      <c r="P203" s="13">
        <f t="shared" si="203"/>
        <v>66.113366665488854</v>
      </c>
      <c r="Q203" s="20">
        <f t="shared" si="162"/>
        <v>595.78474694239264</v>
      </c>
      <c r="R203" s="59">
        <f t="shared" si="191"/>
        <v>889.11808027572602</v>
      </c>
      <c r="S203" s="59">
        <f ca="1">AVERAGE(OFFSET($R$3,0,0,'Données projet'!$E$9+1,1))-AVERAGE(OFFSET($H$3,0,0,'Données projet'!$E$9+1,1))</f>
        <v>336.59194805061094</v>
      </c>
      <c r="T203" s="59">
        <f t="shared" si="204"/>
        <v>473.66884161123909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0.28876363717892134</v>
      </c>
      <c r="AA203" s="21">
        <f>EXP(-LN(2)/25)*AA202+(1-EXP(-LN(2)/25))/(LN(2)/25)*Calculateur!V203*Calculateur!X203*VLOOKUP('Données projet'!$B$9,Paramètres!$A$1:$I$89,3,0)*0.475*44/12</f>
        <v>0</v>
      </c>
      <c r="AB203" s="21">
        <f>EXP(-LN(2)/2)*AB202+(1-EXP(-LN(2)/2))/(LN(2)/2)*V203*Y203*VLOOKUP('Données projet'!$B$9,Paramètres!$A$1:$I$89,3,0)*0.475*44/12</f>
        <v>0</v>
      </c>
      <c r="AC203" s="22">
        <f t="shared" si="163"/>
        <v>0.28876363717892134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319</v>
      </c>
      <c r="AJ203" s="13">
        <f>AI203*VLOOKUP('Données projet'!$B$10,Paramètres!$A$1:$I$89,3,0)*VLOOKUP('Données projet'!$B$10,Paramètres!$A$1:$I$89,5,0)</f>
        <v>209.00879999999998</v>
      </c>
      <c r="AK203" s="13">
        <f t="shared" si="164"/>
        <v>51.718923953824202</v>
      </c>
      <c r="AL203" s="20">
        <f t="shared" si="165"/>
        <v>454.10078588624373</v>
      </c>
      <c r="AM203" s="59">
        <f t="shared" si="193"/>
        <v>747.43411921957704</v>
      </c>
      <c r="AN203" s="59">
        <f ca="1">AVERAGE(OFFSET($AM$3,0,0,'Données projet'!$E$10+1,1))-AVERAGE(OFFSET($H$3,0,0,'Données projet'!$E$10+1,1))</f>
        <v>244.66788784685366</v>
      </c>
      <c r="AO203" s="59">
        <f t="shared" si="205"/>
        <v>252.04429018409274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3.2992948041905774</v>
      </c>
      <c r="AV203" s="21">
        <f>EXP(-LN(2)/25)*AV202+(1-EXP(-LN(2)/25))/(LN(2)/25)*Calculateur!AQ203*Calculateur!AS203*VLOOKUP('Données projet'!$B$10,Paramètres!$A$1:$I$89,3,0)*0.475*44/12</f>
        <v>0</v>
      </c>
      <c r="AW203" s="21">
        <f>EXP(-LN(2)/2)*AW202+(1-EXP(-LN(2)/2))/(LN(2)/2)*AQ203*AT203*VLOOKUP('Données projet'!$B$10,Paramètres!$A$1:$I$89,3,0)*0.475*44/12</f>
        <v>0</v>
      </c>
      <c r="AX203" s="21">
        <f t="shared" si="166"/>
        <v>3.2992948041905774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243.99999999999989</v>
      </c>
      <c r="BE203" s="13">
        <f>BD203*VLOOKUP('Données projet'!$B$11,Paramètres!$A$1:$I$89,3,0)*VLOOKUP('Données projet'!$B$11,Paramètres!$A$1:$I$89,5,0)</f>
        <v>232.19039999999987</v>
      </c>
      <c r="BF203" s="13">
        <f t="shared" si="167"/>
        <v>56.756035639094556</v>
      </c>
      <c r="BG203" s="20">
        <f t="shared" si="168"/>
        <v>503.24837540475619</v>
      </c>
      <c r="BH203" s="59">
        <f t="shared" si="194"/>
        <v>796.58170873808945</v>
      </c>
      <c r="BI203" s="59">
        <f ca="1">AVERAGE(OFFSET($BH$3,0,0,'Données projet'!$E$11+1,1))-AVERAGE(OFFSET($H$3,0,0,'Données projet'!$E$11+1,1))</f>
        <v>373.51596132356536</v>
      </c>
      <c r="BJ203" s="59">
        <f t="shared" si="206"/>
        <v>417.00150517020114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14.374124650305001</v>
      </c>
      <c r="BQ203" s="21">
        <f>EXP(-LN(2)/25)*BQ202+(1-EXP(-LN(2)/25))/(LN(2)/25)*Calculateur!BL203*Calculateur!BN203*VLOOKUP('Données projet'!$B$11,Paramètres!$A$1:$I$89,3,0)*0.475*44/12</f>
        <v>0</v>
      </c>
      <c r="BR203" s="21">
        <f>EXP(-LN(2)/2)*BR202+(1-EXP(-LN(2)/2))/(LN(2)/2)*BL203*BO203*VLOOKUP('Données projet'!$B$11,Paramètres!$A$1:$I$89,3,0)*0.475*44/12</f>
        <v>0</v>
      </c>
      <c r="BS203" s="22">
        <f t="shared" si="169"/>
        <v>14.374124650305001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267</v>
      </c>
      <c r="BZ203" s="13">
        <f>BY203*VLOOKUP('Données projet'!$B$12,Paramètres!$A$1:$I$89,3,0)*VLOOKUP('Données projet'!$B$12,Paramètres!$A$1:$I$89,5,0)</f>
        <v>241.58159999999998</v>
      </c>
      <c r="CA203" s="13">
        <f t="shared" si="170"/>
        <v>58.779689232021951</v>
      </c>
      <c r="CB203" s="20">
        <f t="shared" si="171"/>
        <v>523.12924541243819</v>
      </c>
      <c r="CC203" s="59">
        <f t="shared" si="195"/>
        <v>816.46257874577145</v>
      </c>
      <c r="CD203" s="59">
        <f ca="1">AVERAGE(OFFSET($CC$3,0,0,'Données projet'!$E$12+1,1))-AVERAGE(OFFSET($H$3,0,0,'Données projet'!$E$12+1,1))</f>
        <v>289.19622253646992</v>
      </c>
      <c r="CE203" s="59">
        <f t="shared" si="207"/>
        <v>191.23827338431175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>
        <f>EXP(-LN(2)/35)*CK202+(1-EXP(-LN(2)/35))/(LN(2)/35)*CG203*CH203*VLOOKUP('Données projet'!$B$12,Paramètres!$A$1:$I$89,3,0)*0.475*44/12</f>
        <v>14.040129745549452</v>
      </c>
      <c r="CL203" s="21">
        <f>EXP(-LN(2)/25)*CL202+(1-EXP(-LN(2)/25))/(LN(2)/25)*Calculateur!CG203*Calculateur!CI203*VLOOKUP('Données projet'!$B$12,Paramètres!$A$1:$I$89,3,0)*0.475*44/12</f>
        <v>0</v>
      </c>
      <c r="CM203" s="21">
        <f>EXP(-LN(2)/2)*CM202+(1-EXP(-LN(2)/2))/(LN(2)/2)*CG203*CJ203*VLOOKUP('Données projet'!$B$12,Paramètres!$A$1:$I$89,3,0)*0.475*44/12</f>
        <v>0</v>
      </c>
      <c r="CN203" s="22">
        <f t="shared" si="172"/>
        <v>14.040129745549452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35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102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102</v>
      </c>
      <c r="BA204" s="81" t="s">
        <v>102</v>
      </c>
      <c r="BV204" s="81" t="s">
        <v>102</v>
      </c>
      <c r="CQ204" s="81" t="s">
        <v>102</v>
      </c>
      <c r="DL204" s="81" t="s">
        <v>102</v>
      </c>
      <c r="EG204" s="81" t="s">
        <v>102</v>
      </c>
      <c r="FB204" s="81" t="s">
        <v>102</v>
      </c>
      <c r="FW204" s="81" t="s">
        <v>102</v>
      </c>
      <c r="GR204" s="81" t="s">
        <v>102</v>
      </c>
    </row>
    <row r="205" spans="1:218" ht="15" thickBot="1" x14ac:dyDescent="0.35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2.0243974584998852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1.2709816152101407</v>
      </c>
      <c r="BA205" s="82">
        <f>EXP(LN('Données projet'!B88)/'Données projet'!A88)</f>
        <v>1.515716566510398</v>
      </c>
      <c r="BV205" s="82">
        <f>EXP(LN('Données projet'!B114)/'Données projet'!A114)</f>
        <v>1.2054868146447177</v>
      </c>
      <c r="CQ205" s="82" t="e">
        <f>EXP(LN('Données projet'!B140)/'Données projet'!A140)</f>
        <v>#NUM!</v>
      </c>
      <c r="DL205" s="82" t="e">
        <f>EXP(LN('Données projet'!B166)/'Données projet'!A166)</f>
        <v>#NUM!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 x14ac:dyDescent="0.3"/>
  <cols>
    <col min="1" max="1" width="23.44140625" style="4" bestFit="1" customWidth="1"/>
    <col min="2" max="2" width="27.77734375" style="4" bestFit="1" customWidth="1"/>
    <col min="3" max="3" width="11.77734375" style="4" bestFit="1" customWidth="1"/>
    <col min="4" max="4" width="40" style="4" bestFit="1" customWidth="1"/>
    <col min="5" max="5" width="11.77734375" style="4" bestFit="1" customWidth="1"/>
    <col min="6" max="6" width="13.77734375" style="4" bestFit="1" customWidth="1"/>
    <col min="7" max="7" width="11.44140625" style="4" bestFit="1" customWidth="1"/>
    <col min="8" max="8" width="39" style="4" bestFit="1" customWidth="1"/>
    <col min="9" max="9" width="16.77734375" style="4" customWidth="1"/>
    <col min="10" max="14" width="11.44140625" style="4"/>
    <col min="15" max="15" width="23.44140625" style="4" bestFit="1" customWidth="1"/>
    <col min="16" max="16384" width="11.44140625" style="4"/>
  </cols>
  <sheetData>
    <row r="1" spans="1:16" ht="43.8" thickBot="1" x14ac:dyDescent="0.35">
      <c r="A1" s="111" t="s">
        <v>103</v>
      </c>
      <c r="B1" s="112" t="s">
        <v>104</v>
      </c>
      <c r="C1" s="113" t="s">
        <v>105</v>
      </c>
      <c r="D1" s="112" t="s">
        <v>106</v>
      </c>
      <c r="E1" s="113" t="s">
        <v>107</v>
      </c>
      <c r="F1" s="113" t="s">
        <v>106</v>
      </c>
      <c r="G1" s="113" t="s">
        <v>108</v>
      </c>
      <c r="H1" s="113" t="s">
        <v>106</v>
      </c>
      <c r="I1" s="114" t="s">
        <v>109</v>
      </c>
      <c r="J1" s="78"/>
      <c r="K1" s="78"/>
      <c r="L1" s="78"/>
      <c r="M1" s="78"/>
      <c r="N1" s="78"/>
    </row>
    <row r="2" spans="1:16" x14ac:dyDescent="0.3">
      <c r="A2" s="115" t="s">
        <v>110</v>
      </c>
      <c r="B2" s="116" t="s">
        <v>111</v>
      </c>
      <c r="C2" s="117">
        <v>0.62</v>
      </c>
      <c r="D2" s="117" t="s">
        <v>112</v>
      </c>
      <c r="E2" s="117">
        <v>1.56</v>
      </c>
      <c r="F2" s="117" t="s">
        <v>113</v>
      </c>
      <c r="G2" s="118">
        <v>0.43</v>
      </c>
      <c r="H2" s="119" t="s">
        <v>114</v>
      </c>
      <c r="I2" s="120">
        <v>0.25</v>
      </c>
      <c r="J2" s="78"/>
      <c r="K2" s="78"/>
      <c r="L2" s="78"/>
      <c r="M2" s="78"/>
      <c r="N2" s="78"/>
      <c r="O2" s="281" t="s">
        <v>115</v>
      </c>
      <c r="P2" s="121">
        <v>0</v>
      </c>
    </row>
    <row r="3" spans="1:16" ht="15" thickBot="1" x14ac:dyDescent="0.35">
      <c r="A3" s="122" t="s">
        <v>116</v>
      </c>
      <c r="B3" s="123" t="s">
        <v>117</v>
      </c>
      <c r="C3" s="124">
        <v>0.64</v>
      </c>
      <c r="D3" s="124" t="s">
        <v>112</v>
      </c>
      <c r="E3" s="124">
        <v>1.56</v>
      </c>
      <c r="F3" s="125" t="s">
        <v>113</v>
      </c>
      <c r="G3" s="126">
        <v>0.43</v>
      </c>
      <c r="H3" s="124" t="s">
        <v>114</v>
      </c>
      <c r="I3" s="127">
        <v>0.25</v>
      </c>
      <c r="J3" s="78"/>
      <c r="K3" s="78"/>
      <c r="L3" s="78"/>
      <c r="M3" s="78"/>
      <c r="N3" s="78"/>
      <c r="O3" s="282"/>
      <c r="P3" s="128">
        <v>0.2</v>
      </c>
    </row>
    <row r="4" spans="1:16" ht="15" thickBot="1" x14ac:dyDescent="0.35">
      <c r="A4" s="122" t="s">
        <v>118</v>
      </c>
      <c r="B4" s="123" t="s">
        <v>119</v>
      </c>
      <c r="C4" s="124">
        <v>0.42</v>
      </c>
      <c r="D4" s="124" t="s">
        <v>112</v>
      </c>
      <c r="E4" s="124">
        <v>1.56</v>
      </c>
      <c r="F4" s="125" t="s">
        <v>113</v>
      </c>
      <c r="G4" s="126">
        <v>0.43</v>
      </c>
      <c r="H4" s="124" t="s">
        <v>114</v>
      </c>
      <c r="I4" s="127">
        <v>0.25</v>
      </c>
      <c r="J4" s="78"/>
      <c r="K4" s="78"/>
      <c r="L4" s="78"/>
      <c r="M4" s="78"/>
      <c r="N4" s="78"/>
    </row>
    <row r="5" spans="1:16" x14ac:dyDescent="0.3">
      <c r="A5" s="122" t="s">
        <v>21</v>
      </c>
      <c r="B5" s="123" t="s">
        <v>120</v>
      </c>
      <c r="C5" s="124">
        <v>0.42</v>
      </c>
      <c r="D5" s="124" t="s">
        <v>112</v>
      </c>
      <c r="E5" s="124">
        <v>1.56</v>
      </c>
      <c r="F5" s="125" t="s">
        <v>113</v>
      </c>
      <c r="G5" s="126">
        <v>0.43</v>
      </c>
      <c r="H5" s="124" t="s">
        <v>114</v>
      </c>
      <c r="I5" s="127">
        <v>0.25</v>
      </c>
      <c r="J5" s="78"/>
      <c r="K5" s="78"/>
      <c r="L5" s="78"/>
      <c r="M5" s="78"/>
      <c r="N5" s="78"/>
      <c r="O5" s="281" t="s">
        <v>121</v>
      </c>
      <c r="P5" s="121">
        <v>0</v>
      </c>
    </row>
    <row r="6" spans="1:16" x14ac:dyDescent="0.3">
      <c r="A6" s="122" t="s">
        <v>122</v>
      </c>
      <c r="B6" s="123" t="s">
        <v>123</v>
      </c>
      <c r="C6" s="124">
        <v>0.42</v>
      </c>
      <c r="D6" s="124" t="s">
        <v>112</v>
      </c>
      <c r="E6" s="124">
        <v>1.56</v>
      </c>
      <c r="F6" s="125" t="s">
        <v>113</v>
      </c>
      <c r="G6" s="126">
        <v>0.43</v>
      </c>
      <c r="H6" s="124" t="s">
        <v>114</v>
      </c>
      <c r="I6" s="127">
        <v>0.25</v>
      </c>
      <c r="J6" s="78"/>
      <c r="K6" s="78"/>
      <c r="L6" s="78"/>
      <c r="M6" s="78"/>
      <c r="N6" s="78"/>
      <c r="O6" s="283"/>
      <c r="P6" s="129">
        <v>0.05</v>
      </c>
    </row>
    <row r="7" spans="1:16" x14ac:dyDescent="0.3">
      <c r="A7" s="122" t="s">
        <v>124</v>
      </c>
      <c r="B7" s="123" t="s">
        <v>125</v>
      </c>
      <c r="C7" s="124">
        <v>0.52</v>
      </c>
      <c r="D7" s="124" t="s">
        <v>112</v>
      </c>
      <c r="E7" s="124">
        <v>1.56</v>
      </c>
      <c r="F7" s="125" t="s">
        <v>113</v>
      </c>
      <c r="G7" s="126">
        <v>0.43</v>
      </c>
      <c r="H7" s="124" t="s">
        <v>114</v>
      </c>
      <c r="I7" s="127">
        <v>0.25</v>
      </c>
      <c r="J7" s="78"/>
      <c r="K7" s="78"/>
      <c r="L7" s="78"/>
      <c r="M7" s="78"/>
      <c r="N7" s="78"/>
      <c r="O7" s="283"/>
      <c r="P7" s="129">
        <v>0.1</v>
      </c>
    </row>
    <row r="8" spans="1:16" ht="15" thickBot="1" x14ac:dyDescent="0.35">
      <c r="A8" s="122" t="s">
        <v>126</v>
      </c>
      <c r="B8" s="123" t="s">
        <v>127</v>
      </c>
      <c r="C8" s="124">
        <v>0.36</v>
      </c>
      <c r="D8" s="124" t="s">
        <v>112</v>
      </c>
      <c r="E8" s="124">
        <v>1.3</v>
      </c>
      <c r="F8" s="125" t="s">
        <v>113</v>
      </c>
      <c r="G8" s="126">
        <v>0.55000000000000004</v>
      </c>
      <c r="H8" s="124" t="s">
        <v>128</v>
      </c>
      <c r="I8" s="127">
        <v>0.43</v>
      </c>
      <c r="J8" s="78"/>
      <c r="K8" s="78"/>
      <c r="L8" s="78"/>
      <c r="M8" s="78"/>
      <c r="N8" s="78"/>
      <c r="O8" s="282"/>
      <c r="P8" s="128">
        <v>0.15</v>
      </c>
    </row>
    <row r="9" spans="1:16" ht="15" thickBot="1" x14ac:dyDescent="0.35">
      <c r="A9" s="122" t="s">
        <v>23</v>
      </c>
      <c r="B9" s="123" t="s">
        <v>129</v>
      </c>
      <c r="C9" s="124">
        <v>0.61</v>
      </c>
      <c r="D9" s="124" t="s">
        <v>112</v>
      </c>
      <c r="E9" s="124">
        <v>1.56</v>
      </c>
      <c r="F9" s="125" t="s">
        <v>113</v>
      </c>
      <c r="G9" s="126">
        <v>0.43</v>
      </c>
      <c r="H9" s="124" t="s">
        <v>114</v>
      </c>
      <c r="I9" s="127">
        <v>0.25</v>
      </c>
      <c r="J9" s="78"/>
      <c r="K9" s="78"/>
      <c r="L9" s="78"/>
      <c r="M9" s="78"/>
      <c r="N9" s="78"/>
    </row>
    <row r="10" spans="1:16" x14ac:dyDescent="0.3">
      <c r="A10" s="122" t="s">
        <v>130</v>
      </c>
      <c r="B10" s="123" t="s">
        <v>131</v>
      </c>
      <c r="C10" s="124">
        <v>0.66</v>
      </c>
      <c r="D10" s="124" t="s">
        <v>112</v>
      </c>
      <c r="E10" s="124">
        <v>1.56</v>
      </c>
      <c r="F10" s="125" t="s">
        <v>113</v>
      </c>
      <c r="G10" s="126">
        <v>0.43</v>
      </c>
      <c r="H10" s="124" t="s">
        <v>114</v>
      </c>
      <c r="I10" s="127">
        <v>0.25</v>
      </c>
      <c r="J10" s="78"/>
      <c r="K10" s="78"/>
      <c r="L10" s="78"/>
      <c r="M10" s="78"/>
      <c r="N10" s="78"/>
      <c r="O10" s="281" t="s">
        <v>132</v>
      </c>
      <c r="P10" s="121">
        <v>0</v>
      </c>
    </row>
    <row r="11" spans="1:16" ht="15" thickBot="1" x14ac:dyDescent="0.35">
      <c r="A11" s="122" t="s">
        <v>133</v>
      </c>
      <c r="B11" s="123" t="s">
        <v>134</v>
      </c>
      <c r="C11" s="124">
        <v>0.47</v>
      </c>
      <c r="D11" s="124" t="s">
        <v>112</v>
      </c>
      <c r="E11" s="124">
        <v>1.56</v>
      </c>
      <c r="F11" s="125" t="s">
        <v>113</v>
      </c>
      <c r="G11" s="126">
        <v>0.43</v>
      </c>
      <c r="H11" s="124" t="s">
        <v>114</v>
      </c>
      <c r="I11" s="127">
        <v>0.25</v>
      </c>
      <c r="J11" s="78"/>
      <c r="K11" s="78"/>
      <c r="L11" s="78"/>
      <c r="M11" s="78"/>
      <c r="N11" s="78"/>
      <c r="O11" s="282"/>
      <c r="P11" s="128">
        <v>0.1</v>
      </c>
    </row>
    <row r="12" spans="1:16" x14ac:dyDescent="0.3">
      <c r="A12" s="122" t="s">
        <v>135</v>
      </c>
      <c r="B12" s="123" t="s">
        <v>136</v>
      </c>
      <c r="C12" s="124">
        <v>0.67</v>
      </c>
      <c r="D12" s="124" t="s">
        <v>112</v>
      </c>
      <c r="E12" s="124">
        <v>1.56</v>
      </c>
      <c r="F12" s="125" t="s">
        <v>113</v>
      </c>
      <c r="G12" s="126">
        <v>0.43</v>
      </c>
      <c r="H12" s="124" t="s">
        <v>137</v>
      </c>
      <c r="I12" s="127">
        <v>0.25</v>
      </c>
      <c r="J12" s="78"/>
      <c r="K12" s="78"/>
      <c r="L12" s="78"/>
      <c r="M12" s="78"/>
      <c r="N12" s="78"/>
    </row>
    <row r="13" spans="1:16" x14ac:dyDescent="0.3">
      <c r="A13" s="122" t="s">
        <v>138</v>
      </c>
      <c r="B13" s="123" t="s">
        <v>139</v>
      </c>
      <c r="C13" s="124">
        <v>0.7</v>
      </c>
      <c r="D13" s="124" t="s">
        <v>112</v>
      </c>
      <c r="E13" s="124">
        <v>1.56</v>
      </c>
      <c r="F13" s="125" t="s">
        <v>113</v>
      </c>
      <c r="G13" s="126">
        <v>0.43</v>
      </c>
      <c r="H13" s="124" t="s">
        <v>137</v>
      </c>
      <c r="I13" s="127">
        <v>0.25</v>
      </c>
      <c r="J13" s="78"/>
      <c r="K13" s="78"/>
      <c r="L13" s="78"/>
      <c r="M13" s="78"/>
      <c r="N13" s="78"/>
    </row>
    <row r="14" spans="1:16" x14ac:dyDescent="0.3">
      <c r="A14" s="122" t="s">
        <v>140</v>
      </c>
      <c r="B14" s="123" t="s">
        <v>141</v>
      </c>
      <c r="C14" s="124">
        <v>0.54</v>
      </c>
      <c r="D14" s="124" t="s">
        <v>112</v>
      </c>
      <c r="E14" s="124">
        <v>1.56</v>
      </c>
      <c r="F14" s="125" t="s">
        <v>113</v>
      </c>
      <c r="G14" s="126">
        <v>0.43</v>
      </c>
      <c r="H14" s="124" t="s">
        <v>137</v>
      </c>
      <c r="I14" s="127">
        <v>0.25</v>
      </c>
      <c r="J14" s="78"/>
      <c r="K14" s="78"/>
      <c r="L14" s="78"/>
      <c r="M14" s="78"/>
      <c r="N14" s="78"/>
    </row>
    <row r="15" spans="1:16" x14ac:dyDescent="0.3">
      <c r="A15" s="122" t="s">
        <v>142</v>
      </c>
      <c r="B15" s="123" t="s">
        <v>143</v>
      </c>
      <c r="C15" s="124">
        <v>0.65</v>
      </c>
      <c r="D15" s="124" t="s">
        <v>112</v>
      </c>
      <c r="E15" s="124">
        <v>1.56</v>
      </c>
      <c r="F15" s="125" t="s">
        <v>113</v>
      </c>
      <c r="G15" s="126">
        <v>0.43</v>
      </c>
      <c r="H15" s="124" t="s">
        <v>137</v>
      </c>
      <c r="I15" s="127">
        <v>0.25</v>
      </c>
      <c r="J15" s="78"/>
      <c r="K15" s="78"/>
      <c r="L15" s="78"/>
      <c r="M15" s="78"/>
      <c r="N15" s="78"/>
    </row>
    <row r="16" spans="1:16" x14ac:dyDescent="0.3">
      <c r="A16" s="122" t="s">
        <v>19</v>
      </c>
      <c r="B16" s="123" t="s">
        <v>144</v>
      </c>
      <c r="C16" s="124">
        <v>0.56000000000000005</v>
      </c>
      <c r="D16" s="124" t="s">
        <v>112</v>
      </c>
      <c r="E16" s="124">
        <v>1.56</v>
      </c>
      <c r="F16" s="125" t="s">
        <v>113</v>
      </c>
      <c r="G16" s="126">
        <v>0.43</v>
      </c>
      <c r="H16" s="124" t="s">
        <v>137</v>
      </c>
      <c r="I16" s="127">
        <v>0.25</v>
      </c>
      <c r="J16" s="78"/>
      <c r="K16" s="78"/>
      <c r="L16" s="78"/>
      <c r="M16" s="78"/>
      <c r="N16" s="78"/>
    </row>
    <row r="17" spans="1:14" x14ac:dyDescent="0.3">
      <c r="A17" s="122" t="s">
        <v>25</v>
      </c>
      <c r="B17" s="123" t="s">
        <v>145</v>
      </c>
      <c r="C17" s="124">
        <v>0.57999999999999996</v>
      </c>
      <c r="D17" s="124" t="s">
        <v>112</v>
      </c>
      <c r="E17" s="124">
        <v>1.56</v>
      </c>
      <c r="F17" s="125" t="s">
        <v>113</v>
      </c>
      <c r="G17" s="126">
        <v>0.43</v>
      </c>
      <c r="H17" s="124" t="s">
        <v>137</v>
      </c>
      <c r="I17" s="127">
        <v>0.25</v>
      </c>
      <c r="J17" s="78"/>
      <c r="K17" s="78"/>
      <c r="L17" s="78"/>
      <c r="M17" s="78"/>
      <c r="N17" s="78"/>
    </row>
    <row r="18" spans="1:14" x14ac:dyDescent="0.3">
      <c r="A18" s="122" t="s">
        <v>146</v>
      </c>
      <c r="B18" s="123" t="s">
        <v>147</v>
      </c>
      <c r="C18" s="124">
        <v>0.64</v>
      </c>
      <c r="D18" s="124" t="s">
        <v>112</v>
      </c>
      <c r="E18" s="124">
        <v>1.56</v>
      </c>
      <c r="F18" s="125" t="s">
        <v>113</v>
      </c>
      <c r="G18" s="126">
        <v>0.43</v>
      </c>
      <c r="H18" s="124" t="s">
        <v>137</v>
      </c>
      <c r="I18" s="127">
        <v>0.25</v>
      </c>
      <c r="J18" s="78"/>
      <c r="K18" s="78"/>
      <c r="L18" s="78"/>
      <c r="M18" s="78"/>
      <c r="N18" s="78"/>
    </row>
    <row r="19" spans="1:14" x14ac:dyDescent="0.3">
      <c r="A19" s="122" t="s">
        <v>148</v>
      </c>
      <c r="B19" s="123" t="s">
        <v>149</v>
      </c>
      <c r="C19" s="124">
        <v>0.73</v>
      </c>
      <c r="D19" s="124" t="s">
        <v>112</v>
      </c>
      <c r="E19" s="124">
        <v>1.56</v>
      </c>
      <c r="F19" s="125" t="s">
        <v>113</v>
      </c>
      <c r="G19" s="126">
        <v>0.43</v>
      </c>
      <c r="H19" s="124" t="s">
        <v>137</v>
      </c>
      <c r="I19" s="127">
        <v>0.25</v>
      </c>
      <c r="J19" s="78"/>
      <c r="K19" s="78"/>
      <c r="L19" s="78"/>
      <c r="M19" s="78"/>
      <c r="N19" s="78"/>
    </row>
    <row r="20" spans="1:14" x14ac:dyDescent="0.3">
      <c r="A20" s="122" t="s">
        <v>150</v>
      </c>
      <c r="B20" s="123" t="s">
        <v>151</v>
      </c>
      <c r="C20" s="124">
        <v>0.69</v>
      </c>
      <c r="D20" s="124" t="s">
        <v>152</v>
      </c>
      <c r="E20" s="124">
        <v>1.56</v>
      </c>
      <c r="F20" s="125" t="s">
        <v>113</v>
      </c>
      <c r="G20" s="126">
        <v>0.43</v>
      </c>
      <c r="H20" s="124" t="s">
        <v>153</v>
      </c>
      <c r="I20" s="127">
        <v>0.25</v>
      </c>
      <c r="J20" s="78"/>
      <c r="K20" s="78"/>
      <c r="L20" s="78"/>
      <c r="M20" s="78"/>
      <c r="N20" s="78"/>
    </row>
    <row r="21" spans="1:14" x14ac:dyDescent="0.3">
      <c r="A21" s="122" t="s">
        <v>154</v>
      </c>
      <c r="B21" s="123" t="s">
        <v>155</v>
      </c>
      <c r="C21" s="124">
        <v>0.36</v>
      </c>
      <c r="D21" s="124" t="s">
        <v>112</v>
      </c>
      <c r="E21" s="124">
        <v>1.3</v>
      </c>
      <c r="F21" s="125" t="s">
        <v>113</v>
      </c>
      <c r="G21" s="126">
        <v>0.55000000000000004</v>
      </c>
      <c r="H21" s="124" t="s">
        <v>128</v>
      </c>
      <c r="I21" s="127">
        <v>0.43</v>
      </c>
      <c r="J21" s="78"/>
      <c r="K21" s="78"/>
      <c r="L21" s="78"/>
      <c r="M21" s="78"/>
      <c r="N21" s="78"/>
    </row>
    <row r="22" spans="1:14" x14ac:dyDescent="0.3">
      <c r="A22" s="122" t="s">
        <v>156</v>
      </c>
      <c r="B22" s="123" t="s">
        <v>157</v>
      </c>
      <c r="C22" s="124">
        <v>0.4</v>
      </c>
      <c r="D22" s="124" t="s">
        <v>112</v>
      </c>
      <c r="E22" s="124">
        <v>1.3</v>
      </c>
      <c r="F22" s="125" t="s">
        <v>113</v>
      </c>
      <c r="G22" s="126">
        <v>0.55000000000000004</v>
      </c>
      <c r="H22" s="124" t="s">
        <v>128</v>
      </c>
      <c r="I22" s="127">
        <v>0.43</v>
      </c>
      <c r="J22" s="78"/>
      <c r="K22" s="78"/>
      <c r="L22" s="78"/>
      <c r="M22" s="78"/>
      <c r="N22" s="78"/>
    </row>
    <row r="23" spans="1:14" x14ac:dyDescent="0.3">
      <c r="A23" s="122" t="s">
        <v>158</v>
      </c>
      <c r="B23" s="123" t="s">
        <v>159</v>
      </c>
      <c r="C23" s="124">
        <v>0.43</v>
      </c>
      <c r="D23" s="124" t="s">
        <v>112</v>
      </c>
      <c r="E23" s="124">
        <v>1.3</v>
      </c>
      <c r="F23" s="125" t="s">
        <v>113</v>
      </c>
      <c r="G23" s="126">
        <v>0.55000000000000004</v>
      </c>
      <c r="H23" s="124" t="s">
        <v>128</v>
      </c>
      <c r="I23" s="127">
        <v>0.43</v>
      </c>
      <c r="J23" s="78"/>
      <c r="K23" s="78"/>
      <c r="L23" s="78"/>
      <c r="M23" s="78"/>
      <c r="N23" s="78"/>
    </row>
    <row r="24" spans="1:14" x14ac:dyDescent="0.3">
      <c r="A24" s="122" t="s">
        <v>160</v>
      </c>
      <c r="B24" s="123" t="s">
        <v>161</v>
      </c>
      <c r="C24" s="124">
        <v>0.37</v>
      </c>
      <c r="D24" s="124" t="s">
        <v>112</v>
      </c>
      <c r="E24" s="124">
        <v>1.3</v>
      </c>
      <c r="F24" s="125" t="s">
        <v>113</v>
      </c>
      <c r="G24" s="126">
        <v>0.55000000000000004</v>
      </c>
      <c r="H24" s="124" t="s">
        <v>137</v>
      </c>
      <c r="I24" s="127">
        <v>0.43</v>
      </c>
      <c r="J24" s="78"/>
      <c r="K24" s="78"/>
      <c r="L24" s="78"/>
      <c r="M24" s="78"/>
      <c r="N24" s="78"/>
    </row>
    <row r="25" spans="1:14" x14ac:dyDescent="0.3">
      <c r="A25" s="122" t="s">
        <v>162</v>
      </c>
      <c r="B25" s="123" t="s">
        <v>163</v>
      </c>
      <c r="C25" s="124">
        <v>0.36</v>
      </c>
      <c r="D25" s="124" t="s">
        <v>112</v>
      </c>
      <c r="E25" s="124">
        <v>1.3</v>
      </c>
      <c r="F25" s="125" t="s">
        <v>113</v>
      </c>
      <c r="G25" s="126">
        <v>0.55000000000000004</v>
      </c>
      <c r="H25" s="124" t="s">
        <v>137</v>
      </c>
      <c r="I25" s="127">
        <v>0.43</v>
      </c>
      <c r="J25" s="78"/>
      <c r="K25" s="78"/>
      <c r="L25" s="78"/>
      <c r="M25" s="78"/>
      <c r="N25" s="78"/>
    </row>
    <row r="26" spans="1:14" x14ac:dyDescent="0.3">
      <c r="A26" s="122" t="s">
        <v>164</v>
      </c>
      <c r="B26" s="123" t="s">
        <v>165</v>
      </c>
      <c r="C26" s="124">
        <v>0.56000000000000005</v>
      </c>
      <c r="D26" s="124" t="s">
        <v>112</v>
      </c>
      <c r="E26" s="124">
        <v>1.56</v>
      </c>
      <c r="F26" s="125" t="s">
        <v>113</v>
      </c>
      <c r="G26" s="126">
        <v>0.53</v>
      </c>
      <c r="H26" s="124" t="s">
        <v>166</v>
      </c>
      <c r="I26" s="127">
        <v>0.25</v>
      </c>
      <c r="J26" s="78"/>
      <c r="K26" s="78"/>
      <c r="L26" s="78"/>
      <c r="M26" s="78"/>
      <c r="N26" s="78"/>
    </row>
    <row r="27" spans="1:14" x14ac:dyDescent="0.3">
      <c r="A27" s="122" t="s">
        <v>167</v>
      </c>
      <c r="B27" s="123" t="s">
        <v>168</v>
      </c>
      <c r="C27" s="124">
        <v>0.51</v>
      </c>
      <c r="D27" s="124" t="s">
        <v>112</v>
      </c>
      <c r="E27" s="124">
        <v>1.56</v>
      </c>
      <c r="F27" s="125" t="s">
        <v>113</v>
      </c>
      <c r="G27" s="126">
        <v>0.53</v>
      </c>
      <c r="H27" s="124" t="s">
        <v>166</v>
      </c>
      <c r="I27" s="127">
        <v>0.25</v>
      </c>
      <c r="J27" s="78"/>
      <c r="K27" s="78"/>
      <c r="L27" s="78"/>
      <c r="M27" s="78"/>
      <c r="N27" s="78"/>
    </row>
    <row r="28" spans="1:14" x14ac:dyDescent="0.3">
      <c r="A28" s="122" t="s">
        <v>169</v>
      </c>
      <c r="B28" s="123" t="s">
        <v>170</v>
      </c>
      <c r="C28" s="124">
        <v>0.51</v>
      </c>
      <c r="D28" s="124" t="s">
        <v>112</v>
      </c>
      <c r="E28" s="124">
        <v>1.56</v>
      </c>
      <c r="F28" s="125" t="s">
        <v>113</v>
      </c>
      <c r="G28" s="126">
        <v>0.53</v>
      </c>
      <c r="H28" s="124" t="s">
        <v>166</v>
      </c>
      <c r="I28" s="127">
        <v>0.25</v>
      </c>
      <c r="J28" s="78"/>
      <c r="K28" s="78"/>
      <c r="L28" s="78"/>
      <c r="M28" s="78"/>
      <c r="N28" s="78"/>
    </row>
    <row r="29" spans="1:14" x14ac:dyDescent="0.3">
      <c r="A29" s="122" t="s">
        <v>171</v>
      </c>
      <c r="B29" s="123" t="s">
        <v>171</v>
      </c>
      <c r="C29" s="124">
        <v>0.56000000000000005</v>
      </c>
      <c r="D29" s="124" t="s">
        <v>112</v>
      </c>
      <c r="E29" s="124">
        <v>1.56</v>
      </c>
      <c r="F29" s="125" t="s">
        <v>113</v>
      </c>
      <c r="G29" s="126">
        <v>0.53</v>
      </c>
      <c r="H29" s="124" t="s">
        <v>166</v>
      </c>
      <c r="I29" s="127">
        <v>0.25</v>
      </c>
      <c r="J29" s="78"/>
      <c r="K29" s="78"/>
      <c r="L29" s="78"/>
      <c r="M29" s="78"/>
      <c r="N29" s="78"/>
    </row>
    <row r="30" spans="1:14" x14ac:dyDescent="0.3">
      <c r="A30" s="122" t="s">
        <v>172</v>
      </c>
      <c r="B30" s="123" t="s">
        <v>173</v>
      </c>
      <c r="C30" s="124">
        <v>0.55000000000000004</v>
      </c>
      <c r="D30" s="124" t="s">
        <v>112</v>
      </c>
      <c r="E30" s="124">
        <v>1.56</v>
      </c>
      <c r="F30" s="125" t="s">
        <v>113</v>
      </c>
      <c r="G30" s="126">
        <v>0.53</v>
      </c>
      <c r="H30" s="124" t="s">
        <v>137</v>
      </c>
      <c r="I30" s="127">
        <v>0.25</v>
      </c>
      <c r="J30" s="78"/>
      <c r="K30" s="78"/>
      <c r="L30" s="78"/>
      <c r="M30" s="78"/>
      <c r="N30" s="78"/>
    </row>
    <row r="31" spans="1:14" x14ac:dyDescent="0.3">
      <c r="A31" s="122" t="s">
        <v>174</v>
      </c>
      <c r="B31" s="123" t="s">
        <v>175</v>
      </c>
      <c r="C31" s="124">
        <v>0.56000000000000005</v>
      </c>
      <c r="D31" s="124" t="s">
        <v>112</v>
      </c>
      <c r="E31" s="124">
        <v>1.56</v>
      </c>
      <c r="F31" s="125" t="s">
        <v>113</v>
      </c>
      <c r="G31" s="126">
        <v>0.43</v>
      </c>
      <c r="H31" s="124" t="s">
        <v>114</v>
      </c>
      <c r="I31" s="127">
        <v>0.25</v>
      </c>
      <c r="J31" s="78"/>
      <c r="K31" s="78"/>
      <c r="L31" s="78"/>
      <c r="M31" s="78"/>
      <c r="N31" s="78"/>
    </row>
    <row r="32" spans="1:14" x14ac:dyDescent="0.3">
      <c r="A32" s="122" t="s">
        <v>176</v>
      </c>
      <c r="B32" s="123" t="s">
        <v>177</v>
      </c>
      <c r="C32" s="124">
        <v>0.48</v>
      </c>
      <c r="D32" s="124" t="s">
        <v>112</v>
      </c>
      <c r="E32" s="124">
        <v>1.3</v>
      </c>
      <c r="F32" s="125" t="s">
        <v>113</v>
      </c>
      <c r="G32" s="126">
        <v>0.6</v>
      </c>
      <c r="H32" s="124" t="s">
        <v>178</v>
      </c>
      <c r="I32" s="127">
        <v>0.43</v>
      </c>
      <c r="J32" s="78"/>
      <c r="K32" s="78"/>
      <c r="L32" s="78"/>
      <c r="M32" s="78"/>
      <c r="N32" s="78"/>
    </row>
    <row r="33" spans="1:14" x14ac:dyDescent="0.3">
      <c r="A33" s="122" t="s">
        <v>179</v>
      </c>
      <c r="B33" s="123" t="s">
        <v>180</v>
      </c>
      <c r="C33" s="124">
        <v>0.42</v>
      </c>
      <c r="D33" s="124" t="s">
        <v>112</v>
      </c>
      <c r="E33" s="124">
        <v>1.3</v>
      </c>
      <c r="F33" s="125" t="s">
        <v>113</v>
      </c>
      <c r="G33" s="126">
        <v>0.6</v>
      </c>
      <c r="H33" s="124" t="s">
        <v>178</v>
      </c>
      <c r="I33" s="127">
        <v>0.43</v>
      </c>
      <c r="J33" s="78"/>
      <c r="K33" s="78"/>
      <c r="L33" s="78"/>
      <c r="M33" s="78"/>
      <c r="N33" s="78"/>
    </row>
    <row r="34" spans="1:14" x14ac:dyDescent="0.3">
      <c r="A34" s="122" t="s">
        <v>181</v>
      </c>
      <c r="B34" s="123" t="s">
        <v>182</v>
      </c>
      <c r="C34" s="124">
        <v>0.42</v>
      </c>
      <c r="D34" s="124" t="s">
        <v>183</v>
      </c>
      <c r="E34" s="124">
        <v>1.3</v>
      </c>
      <c r="F34" s="125" t="s">
        <v>113</v>
      </c>
      <c r="G34" s="126">
        <v>0.6</v>
      </c>
      <c r="H34" s="123" t="s">
        <v>184</v>
      </c>
      <c r="I34" s="127">
        <v>0.43</v>
      </c>
      <c r="J34" s="78"/>
      <c r="K34" s="78"/>
      <c r="L34" s="78"/>
      <c r="M34" s="78"/>
      <c r="N34" s="78"/>
    </row>
    <row r="35" spans="1:14" x14ac:dyDescent="0.3">
      <c r="A35" s="122" t="s">
        <v>185</v>
      </c>
      <c r="B35" s="123" t="s">
        <v>186</v>
      </c>
      <c r="C35" s="124">
        <v>0.5</v>
      </c>
      <c r="D35" s="124" t="s">
        <v>112</v>
      </c>
      <c r="E35" s="124">
        <v>1.56</v>
      </c>
      <c r="F35" s="125" t="s">
        <v>113</v>
      </c>
      <c r="G35" s="126">
        <v>0.43</v>
      </c>
      <c r="H35" s="124" t="s">
        <v>114</v>
      </c>
      <c r="I35" s="127">
        <v>0.25</v>
      </c>
      <c r="J35" s="78"/>
      <c r="K35" s="78"/>
      <c r="L35" s="78"/>
      <c r="M35" s="78"/>
      <c r="N35" s="78"/>
    </row>
    <row r="36" spans="1:14" x14ac:dyDescent="0.3">
      <c r="A36" s="122" t="s">
        <v>187</v>
      </c>
      <c r="B36" s="123" t="s">
        <v>188</v>
      </c>
      <c r="C36" s="124">
        <v>0.55000000000000004</v>
      </c>
      <c r="D36" s="124" t="s">
        <v>112</v>
      </c>
      <c r="E36" s="124">
        <v>1.56</v>
      </c>
      <c r="F36" s="125" t="s">
        <v>113</v>
      </c>
      <c r="G36" s="126">
        <v>0.53</v>
      </c>
      <c r="H36" s="124" t="s">
        <v>166</v>
      </c>
      <c r="I36" s="127">
        <v>0.25</v>
      </c>
      <c r="J36" s="78"/>
      <c r="K36" s="78"/>
      <c r="L36" s="78"/>
      <c r="M36" s="78"/>
      <c r="N36" s="78"/>
    </row>
    <row r="37" spans="1:14" x14ac:dyDescent="0.3">
      <c r="A37" s="122" t="s">
        <v>189</v>
      </c>
      <c r="B37" s="123" t="s">
        <v>190</v>
      </c>
      <c r="C37" s="124">
        <v>0.52</v>
      </c>
      <c r="D37" s="124" t="s">
        <v>112</v>
      </c>
      <c r="E37" s="124">
        <v>1.56</v>
      </c>
      <c r="F37" s="125" t="s">
        <v>113</v>
      </c>
      <c r="G37" s="126">
        <v>0.53</v>
      </c>
      <c r="H37" s="124" t="s">
        <v>166</v>
      </c>
      <c r="I37" s="127">
        <v>0.25</v>
      </c>
      <c r="J37" s="78"/>
      <c r="K37" s="78"/>
      <c r="L37" s="78"/>
      <c r="M37" s="78"/>
      <c r="N37" s="78"/>
    </row>
    <row r="38" spans="1:14" x14ac:dyDescent="0.3">
      <c r="A38" s="122" t="s">
        <v>191</v>
      </c>
      <c r="B38" s="123" t="s">
        <v>192</v>
      </c>
      <c r="C38" s="124">
        <v>0.52</v>
      </c>
      <c r="D38" s="124" t="s">
        <v>112</v>
      </c>
      <c r="E38" s="124">
        <v>1.56</v>
      </c>
      <c r="F38" s="125" t="s">
        <v>113</v>
      </c>
      <c r="G38" s="126">
        <v>0.43</v>
      </c>
      <c r="H38" s="124" t="s">
        <v>114</v>
      </c>
      <c r="I38" s="127">
        <v>0.25</v>
      </c>
      <c r="J38" s="78"/>
      <c r="K38" s="78"/>
      <c r="L38" s="78"/>
      <c r="M38" s="78"/>
      <c r="N38" s="78"/>
    </row>
    <row r="39" spans="1:14" x14ac:dyDescent="0.3">
      <c r="A39" s="122" t="s">
        <v>193</v>
      </c>
      <c r="B39" s="123" t="s">
        <v>194</v>
      </c>
      <c r="C39" s="124">
        <v>0.313</v>
      </c>
      <c r="D39" s="124" t="s">
        <v>195</v>
      </c>
      <c r="E39" s="124">
        <v>1.56</v>
      </c>
      <c r="F39" s="125" t="s">
        <v>113</v>
      </c>
      <c r="G39" s="126">
        <v>0.6</v>
      </c>
      <c r="H39" s="124" t="s">
        <v>196</v>
      </c>
      <c r="I39" s="127">
        <v>1.03</v>
      </c>
      <c r="J39" s="78"/>
      <c r="K39" s="78"/>
      <c r="L39" s="78"/>
      <c r="M39" s="78"/>
      <c r="N39" s="78"/>
    </row>
    <row r="40" spans="1:14" x14ac:dyDescent="0.3">
      <c r="A40" s="122" t="s">
        <v>197</v>
      </c>
      <c r="B40" s="123" t="s">
        <v>194</v>
      </c>
      <c r="C40" s="124">
        <v>0.35199999999999998</v>
      </c>
      <c r="D40" s="124" t="s">
        <v>195</v>
      </c>
      <c r="E40" s="124">
        <v>1.56</v>
      </c>
      <c r="F40" s="125" t="s">
        <v>113</v>
      </c>
      <c r="G40" s="126">
        <v>0.6</v>
      </c>
      <c r="H40" s="124" t="s">
        <v>196</v>
      </c>
      <c r="I40" s="127">
        <v>1.03</v>
      </c>
      <c r="J40" s="78"/>
      <c r="K40" s="78"/>
      <c r="L40" s="78"/>
      <c r="M40" s="78"/>
      <c r="N40" s="78"/>
    </row>
    <row r="41" spans="1:14" x14ac:dyDescent="0.3">
      <c r="A41" s="122" t="s">
        <v>198</v>
      </c>
      <c r="B41" s="123" t="s">
        <v>194</v>
      </c>
      <c r="C41" s="124">
        <v>0.32200000000000001</v>
      </c>
      <c r="D41" s="124" t="s">
        <v>195</v>
      </c>
      <c r="E41" s="124">
        <v>1.56</v>
      </c>
      <c r="F41" s="125" t="s">
        <v>113</v>
      </c>
      <c r="G41" s="126">
        <v>0.6</v>
      </c>
      <c r="H41" s="124" t="s">
        <v>196</v>
      </c>
      <c r="I41" s="127">
        <v>1.03</v>
      </c>
      <c r="J41" s="78"/>
      <c r="K41" s="78"/>
      <c r="L41" s="78"/>
      <c r="M41" s="78"/>
      <c r="N41" s="78"/>
    </row>
    <row r="42" spans="1:14" x14ac:dyDescent="0.3">
      <c r="A42" s="122" t="s">
        <v>199</v>
      </c>
      <c r="B42" s="123" t="s">
        <v>194</v>
      </c>
      <c r="C42" s="124">
        <v>0.311</v>
      </c>
      <c r="D42" s="124" t="s">
        <v>195</v>
      </c>
      <c r="E42" s="124">
        <v>1.56</v>
      </c>
      <c r="F42" s="125" t="s">
        <v>113</v>
      </c>
      <c r="G42" s="126">
        <v>0.6</v>
      </c>
      <c r="H42" s="124" t="s">
        <v>196</v>
      </c>
      <c r="I42" s="127">
        <v>1.03</v>
      </c>
      <c r="J42" s="78"/>
      <c r="K42" s="78"/>
      <c r="L42" s="78"/>
      <c r="M42" s="78"/>
      <c r="N42" s="78"/>
    </row>
    <row r="43" spans="1:14" x14ac:dyDescent="0.3">
      <c r="A43" s="122" t="s">
        <v>200</v>
      </c>
      <c r="B43" s="123" t="s">
        <v>194</v>
      </c>
      <c r="C43" s="124">
        <v>0.33900000000000002</v>
      </c>
      <c r="D43" s="124" t="s">
        <v>195</v>
      </c>
      <c r="E43" s="124">
        <v>1.56</v>
      </c>
      <c r="F43" s="125" t="s">
        <v>113</v>
      </c>
      <c r="G43" s="126">
        <v>0.6</v>
      </c>
      <c r="H43" s="124" t="s">
        <v>196</v>
      </c>
      <c r="I43" s="127">
        <v>1.03</v>
      </c>
      <c r="J43" s="78"/>
      <c r="K43" s="78"/>
      <c r="L43" s="78"/>
      <c r="M43" s="78"/>
      <c r="N43" s="78"/>
    </row>
    <row r="44" spans="1:14" x14ac:dyDescent="0.3">
      <c r="A44" s="122" t="s">
        <v>201</v>
      </c>
      <c r="B44" s="123" t="s">
        <v>194</v>
      </c>
      <c r="C44" s="124">
        <v>0.33600000000000002</v>
      </c>
      <c r="D44" s="124" t="s">
        <v>195</v>
      </c>
      <c r="E44" s="124">
        <v>1.56</v>
      </c>
      <c r="F44" s="125" t="s">
        <v>113</v>
      </c>
      <c r="G44" s="126">
        <v>0.6</v>
      </c>
      <c r="H44" s="124" t="s">
        <v>196</v>
      </c>
      <c r="I44" s="127">
        <v>1.03</v>
      </c>
      <c r="J44" s="78"/>
      <c r="K44" s="78"/>
      <c r="L44" s="78"/>
      <c r="M44" s="78"/>
      <c r="N44" s="78"/>
    </row>
    <row r="45" spans="1:14" x14ac:dyDescent="0.3">
      <c r="A45" s="122" t="s">
        <v>202</v>
      </c>
      <c r="B45" s="123" t="s">
        <v>194</v>
      </c>
      <c r="C45" s="124">
        <v>0.32900000000000001</v>
      </c>
      <c r="D45" s="124" t="s">
        <v>195</v>
      </c>
      <c r="E45" s="124">
        <v>1.56</v>
      </c>
      <c r="F45" s="125" t="s">
        <v>113</v>
      </c>
      <c r="G45" s="126">
        <v>0.6</v>
      </c>
      <c r="H45" s="124" t="s">
        <v>196</v>
      </c>
      <c r="I45" s="127">
        <v>1.03</v>
      </c>
      <c r="J45" s="78"/>
      <c r="K45" s="78"/>
      <c r="L45" s="78"/>
      <c r="M45" s="78"/>
      <c r="N45" s="78"/>
    </row>
    <row r="46" spans="1:14" x14ac:dyDescent="0.3">
      <c r="A46" s="122" t="s">
        <v>203</v>
      </c>
      <c r="B46" s="123" t="s">
        <v>194</v>
      </c>
      <c r="C46" s="124">
        <v>0.34300000000000003</v>
      </c>
      <c r="D46" s="124" t="s">
        <v>195</v>
      </c>
      <c r="E46" s="124">
        <v>1.56</v>
      </c>
      <c r="F46" s="125" t="s">
        <v>113</v>
      </c>
      <c r="G46" s="126">
        <v>0.6</v>
      </c>
      <c r="H46" s="124" t="s">
        <v>196</v>
      </c>
      <c r="I46" s="127">
        <v>1.03</v>
      </c>
      <c r="J46" s="78"/>
      <c r="K46" s="78"/>
      <c r="L46" s="78"/>
      <c r="M46" s="78"/>
      <c r="N46" s="78"/>
    </row>
    <row r="47" spans="1:14" x14ac:dyDescent="0.3">
      <c r="A47" s="122" t="s">
        <v>204</v>
      </c>
      <c r="B47" s="123" t="s">
        <v>194</v>
      </c>
      <c r="C47" s="124">
        <v>0.32500000000000001</v>
      </c>
      <c r="D47" s="124" t="s">
        <v>195</v>
      </c>
      <c r="E47" s="124">
        <v>1.56</v>
      </c>
      <c r="F47" s="125" t="s">
        <v>113</v>
      </c>
      <c r="G47" s="126">
        <v>0.6</v>
      </c>
      <c r="H47" s="124" t="s">
        <v>196</v>
      </c>
      <c r="I47" s="127">
        <v>1.03</v>
      </c>
      <c r="J47" s="78"/>
      <c r="K47" s="78"/>
      <c r="L47" s="78"/>
      <c r="M47" s="78"/>
      <c r="N47" s="78"/>
    </row>
    <row r="48" spans="1:14" x14ac:dyDescent="0.3">
      <c r="A48" s="122" t="s">
        <v>205</v>
      </c>
      <c r="B48" s="123" t="s">
        <v>194</v>
      </c>
      <c r="C48" s="124">
        <v>0.32</v>
      </c>
      <c r="D48" s="124" t="s">
        <v>195</v>
      </c>
      <c r="E48" s="124">
        <v>1.56</v>
      </c>
      <c r="F48" s="125" t="s">
        <v>113</v>
      </c>
      <c r="G48" s="126">
        <v>0.6</v>
      </c>
      <c r="H48" s="124" t="s">
        <v>196</v>
      </c>
      <c r="I48" s="127">
        <v>1.03</v>
      </c>
      <c r="J48" s="78"/>
      <c r="K48" s="78"/>
      <c r="L48" s="78"/>
      <c r="M48" s="78"/>
      <c r="N48" s="78"/>
    </row>
    <row r="49" spans="1:14" x14ac:dyDescent="0.3">
      <c r="A49" s="122" t="s">
        <v>206</v>
      </c>
      <c r="B49" s="123" t="s">
        <v>194</v>
      </c>
      <c r="C49" s="124">
        <v>0.28199999999999997</v>
      </c>
      <c r="D49" s="124" t="s">
        <v>195</v>
      </c>
      <c r="E49" s="124">
        <v>1.56</v>
      </c>
      <c r="F49" s="125" t="s">
        <v>113</v>
      </c>
      <c r="G49" s="126">
        <v>0.6</v>
      </c>
      <c r="H49" s="124" t="s">
        <v>196</v>
      </c>
      <c r="I49" s="127">
        <v>1.03</v>
      </c>
      <c r="J49" s="78"/>
      <c r="K49" s="78"/>
      <c r="L49" s="78"/>
      <c r="M49" s="78"/>
      <c r="N49" s="78"/>
    </row>
    <row r="50" spans="1:14" x14ac:dyDescent="0.3">
      <c r="A50" s="122" t="s">
        <v>207</v>
      </c>
      <c r="B50" s="123" t="s">
        <v>194</v>
      </c>
      <c r="C50" s="124">
        <v>0.32800000000000001</v>
      </c>
      <c r="D50" s="124" t="s">
        <v>195</v>
      </c>
      <c r="E50" s="124">
        <v>1.56</v>
      </c>
      <c r="F50" s="125" t="s">
        <v>113</v>
      </c>
      <c r="G50" s="126">
        <v>0.6</v>
      </c>
      <c r="H50" s="124" t="s">
        <v>196</v>
      </c>
      <c r="I50" s="127">
        <v>1.03</v>
      </c>
      <c r="J50" s="78"/>
      <c r="K50" s="78"/>
      <c r="L50" s="78"/>
      <c r="M50" s="78"/>
      <c r="N50" s="78"/>
    </row>
    <row r="51" spans="1:14" x14ac:dyDescent="0.3">
      <c r="A51" s="122" t="s">
        <v>208</v>
      </c>
      <c r="B51" s="123" t="s">
        <v>194</v>
      </c>
      <c r="C51" s="124">
        <v>0.32600000000000001</v>
      </c>
      <c r="D51" s="124" t="s">
        <v>195</v>
      </c>
      <c r="E51" s="124">
        <v>1.56</v>
      </c>
      <c r="F51" s="125" t="s">
        <v>113</v>
      </c>
      <c r="G51" s="126">
        <v>0.6</v>
      </c>
      <c r="H51" s="124" t="s">
        <v>196</v>
      </c>
      <c r="I51" s="127">
        <v>1.03</v>
      </c>
      <c r="J51" s="78"/>
      <c r="K51" s="78"/>
      <c r="L51" s="78"/>
      <c r="M51" s="78"/>
      <c r="N51" s="78"/>
    </row>
    <row r="52" spans="1:14" x14ac:dyDescent="0.3">
      <c r="A52" s="122" t="s">
        <v>209</v>
      </c>
      <c r="B52" s="123" t="s">
        <v>194</v>
      </c>
      <c r="C52" s="124">
        <v>0.35899999999999999</v>
      </c>
      <c r="D52" s="124" t="s">
        <v>195</v>
      </c>
      <c r="E52" s="124">
        <v>1.56</v>
      </c>
      <c r="F52" s="125" t="s">
        <v>113</v>
      </c>
      <c r="G52" s="126">
        <v>0.6</v>
      </c>
      <c r="H52" s="124" t="s">
        <v>196</v>
      </c>
      <c r="I52" s="127">
        <v>1.03</v>
      </c>
      <c r="J52" s="78"/>
      <c r="K52" s="78"/>
      <c r="L52" s="78"/>
      <c r="M52" s="78"/>
      <c r="N52" s="78"/>
    </row>
    <row r="53" spans="1:14" x14ac:dyDescent="0.3">
      <c r="A53" s="122" t="s">
        <v>210</v>
      </c>
      <c r="B53" s="123" t="s">
        <v>194</v>
      </c>
      <c r="C53" s="124">
        <v>0.34599999999999997</v>
      </c>
      <c r="D53" s="124" t="s">
        <v>195</v>
      </c>
      <c r="E53" s="124">
        <v>1.56</v>
      </c>
      <c r="F53" s="125" t="s">
        <v>113</v>
      </c>
      <c r="G53" s="126">
        <v>0.6</v>
      </c>
      <c r="H53" s="124" t="s">
        <v>196</v>
      </c>
      <c r="I53" s="127">
        <v>1.03</v>
      </c>
      <c r="J53" s="78"/>
      <c r="K53" s="78"/>
      <c r="L53" s="78"/>
      <c r="M53" s="78"/>
      <c r="N53" s="78"/>
    </row>
    <row r="54" spans="1:14" x14ac:dyDescent="0.3">
      <c r="A54" s="122" t="s">
        <v>211</v>
      </c>
      <c r="B54" s="123" t="s">
        <v>194</v>
      </c>
      <c r="C54" s="124">
        <v>0.32600000000000001</v>
      </c>
      <c r="D54" s="124" t="s">
        <v>195</v>
      </c>
      <c r="E54" s="124">
        <v>1.56</v>
      </c>
      <c r="F54" s="125" t="s">
        <v>113</v>
      </c>
      <c r="G54" s="126">
        <v>0.6</v>
      </c>
      <c r="H54" s="124" t="s">
        <v>196</v>
      </c>
      <c r="I54" s="127">
        <v>1.03</v>
      </c>
      <c r="J54" s="78"/>
      <c r="K54" s="78"/>
      <c r="L54" s="78"/>
      <c r="M54" s="78"/>
      <c r="N54" s="78"/>
    </row>
    <row r="55" spans="1:14" x14ac:dyDescent="0.3">
      <c r="A55" s="122" t="s">
        <v>212</v>
      </c>
      <c r="B55" s="123" t="s">
        <v>194</v>
      </c>
      <c r="C55" s="124">
        <v>0.30499999999999999</v>
      </c>
      <c r="D55" s="124" t="s">
        <v>195</v>
      </c>
      <c r="E55" s="124">
        <v>1.56</v>
      </c>
      <c r="F55" s="125" t="s">
        <v>113</v>
      </c>
      <c r="G55" s="126">
        <v>0.6</v>
      </c>
      <c r="H55" s="124" t="s">
        <v>196</v>
      </c>
      <c r="I55" s="127">
        <v>1.03</v>
      </c>
      <c r="J55" s="78"/>
      <c r="K55" s="78"/>
      <c r="L55" s="78"/>
      <c r="M55" s="78"/>
      <c r="N55" s="78"/>
    </row>
    <row r="56" spans="1:14" x14ac:dyDescent="0.3">
      <c r="A56" s="122" t="s">
        <v>213</v>
      </c>
      <c r="B56" s="123" t="s">
        <v>194</v>
      </c>
      <c r="C56" s="124">
        <v>0.32300000000000001</v>
      </c>
      <c r="D56" s="124" t="s">
        <v>195</v>
      </c>
      <c r="E56" s="124">
        <v>1.56</v>
      </c>
      <c r="F56" s="125" t="s">
        <v>113</v>
      </c>
      <c r="G56" s="126">
        <v>0.6</v>
      </c>
      <c r="H56" s="124" t="s">
        <v>196</v>
      </c>
      <c r="I56" s="127">
        <v>1.03</v>
      </c>
      <c r="J56" s="78"/>
      <c r="K56" s="78"/>
      <c r="L56" s="78"/>
      <c r="M56" s="78"/>
      <c r="N56" s="78"/>
    </row>
    <row r="57" spans="1:14" x14ac:dyDescent="0.3">
      <c r="A57" s="122" t="s">
        <v>214</v>
      </c>
      <c r="B57" s="123" t="s">
        <v>194</v>
      </c>
      <c r="C57" s="124">
        <v>0.36699999999999999</v>
      </c>
      <c r="D57" s="124" t="s">
        <v>195</v>
      </c>
      <c r="E57" s="124">
        <v>1.56</v>
      </c>
      <c r="F57" s="125" t="s">
        <v>113</v>
      </c>
      <c r="G57" s="126">
        <v>0.6</v>
      </c>
      <c r="H57" s="124" t="s">
        <v>196</v>
      </c>
      <c r="I57" s="127">
        <v>1.03</v>
      </c>
      <c r="J57" s="78"/>
      <c r="K57" s="78"/>
      <c r="L57" s="78"/>
      <c r="M57" s="78"/>
      <c r="N57" s="78"/>
    </row>
    <row r="58" spans="1:14" x14ac:dyDescent="0.3">
      <c r="A58" s="122" t="s">
        <v>215</v>
      </c>
      <c r="B58" s="123" t="s">
        <v>194</v>
      </c>
      <c r="C58" s="124">
        <v>0.36</v>
      </c>
      <c r="D58" s="124" t="s">
        <v>195</v>
      </c>
      <c r="E58" s="124">
        <v>1.56</v>
      </c>
      <c r="F58" s="125" t="s">
        <v>113</v>
      </c>
      <c r="G58" s="126">
        <v>0.6</v>
      </c>
      <c r="H58" s="124" t="s">
        <v>196</v>
      </c>
      <c r="I58" s="127">
        <v>1.03</v>
      </c>
      <c r="J58" s="78"/>
      <c r="K58" s="78"/>
      <c r="L58" s="78"/>
      <c r="M58" s="78"/>
      <c r="N58" s="78"/>
    </row>
    <row r="59" spans="1:14" x14ac:dyDescent="0.3">
      <c r="A59" s="122" t="s">
        <v>216</v>
      </c>
      <c r="B59" s="123" t="s">
        <v>194</v>
      </c>
      <c r="C59" s="124">
        <v>0.36799999999999999</v>
      </c>
      <c r="D59" s="124" t="s">
        <v>195</v>
      </c>
      <c r="E59" s="124">
        <v>1.56</v>
      </c>
      <c r="F59" s="125" t="s">
        <v>113</v>
      </c>
      <c r="G59" s="126">
        <v>0.6</v>
      </c>
      <c r="H59" s="124" t="s">
        <v>196</v>
      </c>
      <c r="I59" s="127">
        <v>1.03</v>
      </c>
      <c r="J59" s="78"/>
      <c r="K59" s="78"/>
      <c r="L59" s="78"/>
      <c r="M59" s="78"/>
      <c r="N59" s="78"/>
    </row>
    <row r="60" spans="1:14" x14ac:dyDescent="0.3">
      <c r="A60" s="122" t="s">
        <v>217</v>
      </c>
      <c r="B60" s="123" t="s">
        <v>194</v>
      </c>
      <c r="C60" s="124">
        <v>0.30599999999999999</v>
      </c>
      <c r="D60" s="124" t="s">
        <v>195</v>
      </c>
      <c r="E60" s="124">
        <v>1.56</v>
      </c>
      <c r="F60" s="125" t="s">
        <v>113</v>
      </c>
      <c r="G60" s="126">
        <v>0.6</v>
      </c>
      <c r="H60" s="124" t="s">
        <v>196</v>
      </c>
      <c r="I60" s="127">
        <v>1.03</v>
      </c>
      <c r="J60" s="78"/>
      <c r="K60" s="78"/>
      <c r="L60" s="78"/>
      <c r="M60" s="78"/>
      <c r="N60" s="78"/>
    </row>
    <row r="61" spans="1:14" x14ac:dyDescent="0.3">
      <c r="A61" s="122" t="s">
        <v>218</v>
      </c>
      <c r="B61" s="123" t="s">
        <v>194</v>
      </c>
      <c r="C61" s="124">
        <v>0.313</v>
      </c>
      <c r="D61" s="124" t="s">
        <v>195</v>
      </c>
      <c r="E61" s="124">
        <v>1.56</v>
      </c>
      <c r="F61" s="125" t="s">
        <v>113</v>
      </c>
      <c r="G61" s="126">
        <v>0.6</v>
      </c>
      <c r="H61" s="124" t="s">
        <v>196</v>
      </c>
      <c r="I61" s="127">
        <v>1.03</v>
      </c>
      <c r="J61" s="78"/>
      <c r="K61" s="78"/>
      <c r="L61" s="78"/>
      <c r="M61" s="78"/>
      <c r="N61" s="78"/>
    </row>
    <row r="62" spans="1:14" x14ac:dyDescent="0.3">
      <c r="A62" s="122" t="s">
        <v>219</v>
      </c>
      <c r="B62" s="123" t="s">
        <v>220</v>
      </c>
      <c r="C62" s="124">
        <v>0.37</v>
      </c>
      <c r="D62" s="124" t="s">
        <v>112</v>
      </c>
      <c r="E62" s="124">
        <v>1.56</v>
      </c>
      <c r="F62" s="125" t="s">
        <v>113</v>
      </c>
      <c r="G62" s="126">
        <v>0.6</v>
      </c>
      <c r="H62" s="124" t="s">
        <v>196</v>
      </c>
      <c r="I62" s="127">
        <v>1.03</v>
      </c>
      <c r="J62" s="78"/>
      <c r="K62" s="78"/>
      <c r="L62" s="78"/>
      <c r="M62" s="78"/>
      <c r="N62" s="78"/>
    </row>
    <row r="63" spans="1:14" x14ac:dyDescent="0.3">
      <c r="A63" s="122" t="s">
        <v>221</v>
      </c>
      <c r="B63" s="123" t="s">
        <v>222</v>
      </c>
      <c r="C63" s="124">
        <v>0.45</v>
      </c>
      <c r="D63" s="124" t="s">
        <v>112</v>
      </c>
      <c r="E63" s="124">
        <v>1.3</v>
      </c>
      <c r="F63" s="125" t="s">
        <v>113</v>
      </c>
      <c r="G63" s="126">
        <v>0.45</v>
      </c>
      <c r="H63" s="124" t="s">
        <v>223</v>
      </c>
      <c r="I63" s="127">
        <v>0.43</v>
      </c>
      <c r="J63" s="78"/>
      <c r="K63" s="78"/>
      <c r="L63" s="78"/>
      <c r="M63" s="78"/>
      <c r="N63" s="78"/>
    </row>
    <row r="64" spans="1:14" x14ac:dyDescent="0.3">
      <c r="A64" s="122" t="s">
        <v>224</v>
      </c>
      <c r="B64" s="123" t="s">
        <v>225</v>
      </c>
      <c r="C64" s="124">
        <v>0.39</v>
      </c>
      <c r="D64" s="124" t="s">
        <v>112</v>
      </c>
      <c r="E64" s="124">
        <v>1.3</v>
      </c>
      <c r="F64" s="125" t="s">
        <v>113</v>
      </c>
      <c r="G64" s="126">
        <v>0.45</v>
      </c>
      <c r="H64" s="124" t="s">
        <v>223</v>
      </c>
      <c r="I64" s="127">
        <v>0.43</v>
      </c>
      <c r="J64" s="78"/>
      <c r="K64" s="78"/>
      <c r="L64" s="78"/>
      <c r="M64" s="78"/>
      <c r="N64" s="78"/>
    </row>
    <row r="65" spans="1:14" x14ac:dyDescent="0.3">
      <c r="A65" s="122" t="s">
        <v>226</v>
      </c>
      <c r="B65" s="123" t="s">
        <v>227</v>
      </c>
      <c r="C65" s="124">
        <v>0.44</v>
      </c>
      <c r="D65" s="124" t="s">
        <v>112</v>
      </c>
      <c r="E65" s="124">
        <v>1.3</v>
      </c>
      <c r="F65" s="125" t="s">
        <v>113</v>
      </c>
      <c r="G65" s="126">
        <v>0.45</v>
      </c>
      <c r="H65" s="124" t="s">
        <v>223</v>
      </c>
      <c r="I65" s="127">
        <v>0.43</v>
      </c>
      <c r="J65" s="78"/>
      <c r="K65" s="78"/>
      <c r="L65" s="78"/>
      <c r="M65" s="78"/>
      <c r="N65" s="78"/>
    </row>
    <row r="66" spans="1:14" x14ac:dyDescent="0.3">
      <c r="A66" s="122" t="s">
        <v>228</v>
      </c>
      <c r="B66" s="123" t="s">
        <v>229</v>
      </c>
      <c r="C66" s="124">
        <v>0.46</v>
      </c>
      <c r="D66" s="124" t="s">
        <v>112</v>
      </c>
      <c r="E66" s="124">
        <v>1.3</v>
      </c>
      <c r="F66" s="125" t="s">
        <v>113</v>
      </c>
      <c r="G66" s="126">
        <v>0.45</v>
      </c>
      <c r="H66" s="124" t="s">
        <v>223</v>
      </c>
      <c r="I66" s="127">
        <v>0.43</v>
      </c>
      <c r="J66" s="78"/>
      <c r="K66" s="78"/>
      <c r="L66" s="78"/>
      <c r="M66" s="78"/>
      <c r="N66" s="78"/>
    </row>
    <row r="67" spans="1:14" x14ac:dyDescent="0.3">
      <c r="A67" s="122" t="s">
        <v>230</v>
      </c>
      <c r="B67" s="123" t="s">
        <v>231</v>
      </c>
      <c r="C67" s="124">
        <v>0.46</v>
      </c>
      <c r="D67" s="124" t="s">
        <v>112</v>
      </c>
      <c r="E67" s="124">
        <v>1.3</v>
      </c>
      <c r="F67" s="125" t="s">
        <v>113</v>
      </c>
      <c r="G67" s="126">
        <v>0.45</v>
      </c>
      <c r="H67" s="124" t="s">
        <v>137</v>
      </c>
      <c r="I67" s="127">
        <v>0.59</v>
      </c>
      <c r="J67" s="78"/>
      <c r="K67" s="78"/>
      <c r="L67" s="78"/>
      <c r="M67" s="78"/>
      <c r="N67" s="78"/>
    </row>
    <row r="68" spans="1:14" x14ac:dyDescent="0.3">
      <c r="A68" s="122" t="s">
        <v>232</v>
      </c>
      <c r="B68" s="123" t="s">
        <v>233</v>
      </c>
      <c r="C68" s="124">
        <v>0.44</v>
      </c>
      <c r="D68" s="124" t="s">
        <v>112</v>
      </c>
      <c r="E68" s="124">
        <v>1.3</v>
      </c>
      <c r="F68" s="125" t="s">
        <v>113</v>
      </c>
      <c r="G68" s="126">
        <v>0.45</v>
      </c>
      <c r="H68" s="124" t="s">
        <v>223</v>
      </c>
      <c r="I68" s="127">
        <v>0.43</v>
      </c>
      <c r="J68" s="78"/>
      <c r="K68" s="78"/>
      <c r="L68" s="78"/>
      <c r="M68" s="78"/>
      <c r="N68" s="78"/>
    </row>
    <row r="69" spans="1:14" x14ac:dyDescent="0.3">
      <c r="A69" s="122" t="s">
        <v>234</v>
      </c>
      <c r="B69" s="123" t="s">
        <v>235</v>
      </c>
      <c r="C69" s="124">
        <v>0.46</v>
      </c>
      <c r="D69" s="124" t="s">
        <v>112</v>
      </c>
      <c r="E69" s="124">
        <v>1.3</v>
      </c>
      <c r="F69" s="125" t="s">
        <v>113</v>
      </c>
      <c r="G69" s="126">
        <v>0.45</v>
      </c>
      <c r="H69" s="124" t="s">
        <v>223</v>
      </c>
      <c r="I69" s="127">
        <v>0.43</v>
      </c>
      <c r="J69" s="78"/>
      <c r="K69" s="78"/>
      <c r="L69" s="78"/>
      <c r="M69" s="78"/>
      <c r="N69" s="78"/>
    </row>
    <row r="70" spans="1:14" x14ac:dyDescent="0.3">
      <c r="A70" s="122" t="s">
        <v>236</v>
      </c>
      <c r="B70" s="123" t="s">
        <v>237</v>
      </c>
      <c r="C70" s="124">
        <v>0.48</v>
      </c>
      <c r="D70" s="124" t="s">
        <v>112</v>
      </c>
      <c r="E70" s="124">
        <v>2.4</v>
      </c>
      <c r="F70" s="124" t="s">
        <v>238</v>
      </c>
      <c r="G70" s="126">
        <v>0.45</v>
      </c>
      <c r="H70" s="124" t="s">
        <v>223</v>
      </c>
      <c r="I70" s="127">
        <v>0.43</v>
      </c>
      <c r="J70" s="78"/>
      <c r="K70" s="78"/>
      <c r="L70" s="78"/>
      <c r="M70" s="78"/>
      <c r="N70" s="78"/>
    </row>
    <row r="71" spans="1:14" x14ac:dyDescent="0.3">
      <c r="A71" s="122" t="s">
        <v>239</v>
      </c>
      <c r="B71" s="123" t="s">
        <v>240</v>
      </c>
      <c r="C71" s="124">
        <v>0.46</v>
      </c>
      <c r="D71" s="124" t="s">
        <v>241</v>
      </c>
      <c r="E71" s="124">
        <v>1.3</v>
      </c>
      <c r="F71" s="125" t="s">
        <v>113</v>
      </c>
      <c r="G71" s="126">
        <v>0.45</v>
      </c>
      <c r="H71" s="124" t="s">
        <v>223</v>
      </c>
      <c r="I71" s="127">
        <v>0.43</v>
      </c>
      <c r="J71" s="78"/>
      <c r="K71" s="78"/>
      <c r="L71" s="78"/>
      <c r="M71" s="78"/>
      <c r="N71" s="78"/>
    </row>
    <row r="72" spans="1:14" x14ac:dyDescent="0.3">
      <c r="A72" s="122" t="s">
        <v>242</v>
      </c>
      <c r="B72" s="123" t="s">
        <v>243</v>
      </c>
      <c r="C72" s="124">
        <v>0.44</v>
      </c>
      <c r="D72" s="124" t="s">
        <v>112</v>
      </c>
      <c r="E72" s="124">
        <v>1.3</v>
      </c>
      <c r="F72" s="125" t="s">
        <v>113</v>
      </c>
      <c r="G72" s="126">
        <v>0.45</v>
      </c>
      <c r="H72" s="124" t="s">
        <v>223</v>
      </c>
      <c r="I72" s="127">
        <v>0.43</v>
      </c>
      <c r="J72" s="78"/>
      <c r="K72" s="78"/>
      <c r="L72" s="78"/>
      <c r="M72" s="78"/>
      <c r="N72" s="78"/>
    </row>
    <row r="73" spans="1:14" x14ac:dyDescent="0.3">
      <c r="A73" s="122" t="s">
        <v>244</v>
      </c>
      <c r="B73" s="123" t="s">
        <v>245</v>
      </c>
      <c r="C73" s="124">
        <v>0.46</v>
      </c>
      <c r="D73" s="124" t="s">
        <v>246</v>
      </c>
      <c r="E73" s="124">
        <v>1.3</v>
      </c>
      <c r="F73" s="125" t="s">
        <v>113</v>
      </c>
      <c r="G73" s="126">
        <v>0.45</v>
      </c>
      <c r="H73" s="124" t="s">
        <v>223</v>
      </c>
      <c r="I73" s="127">
        <v>0.43</v>
      </c>
      <c r="J73" s="78"/>
      <c r="K73" s="78"/>
      <c r="L73" s="78"/>
      <c r="M73" s="78"/>
      <c r="N73" s="78"/>
    </row>
    <row r="74" spans="1:14" x14ac:dyDescent="0.3">
      <c r="A74" s="122" t="s">
        <v>247</v>
      </c>
      <c r="B74" s="123" t="s">
        <v>248</v>
      </c>
      <c r="C74" s="124">
        <v>0.34</v>
      </c>
      <c r="D74" s="124" t="s">
        <v>112</v>
      </c>
      <c r="E74" s="124">
        <v>1.3</v>
      </c>
      <c r="F74" s="125" t="s">
        <v>113</v>
      </c>
      <c r="G74" s="126">
        <v>0.45</v>
      </c>
      <c r="H74" s="124" t="s">
        <v>223</v>
      </c>
      <c r="I74" s="127">
        <v>0.43</v>
      </c>
      <c r="J74" s="78"/>
      <c r="K74" s="78"/>
      <c r="L74" s="78"/>
      <c r="M74" s="78"/>
      <c r="N74" s="78"/>
    </row>
    <row r="75" spans="1:14" x14ac:dyDescent="0.3">
      <c r="A75" s="122" t="s">
        <v>249</v>
      </c>
      <c r="B75" s="123" t="s">
        <v>250</v>
      </c>
      <c r="C75" s="124">
        <v>0.5</v>
      </c>
      <c r="D75" s="124" t="s">
        <v>112</v>
      </c>
      <c r="E75" s="124">
        <v>1.56</v>
      </c>
      <c r="F75" s="125" t="s">
        <v>113</v>
      </c>
      <c r="G75" s="126">
        <v>0.53</v>
      </c>
      <c r="H75" s="124" t="s">
        <v>166</v>
      </c>
      <c r="I75" s="127">
        <v>0.25</v>
      </c>
      <c r="J75" s="78"/>
      <c r="K75" s="78"/>
      <c r="L75" s="78"/>
      <c r="M75" s="78"/>
      <c r="N75" s="78"/>
    </row>
    <row r="76" spans="1:14" x14ac:dyDescent="0.3">
      <c r="A76" s="122" t="s">
        <v>16</v>
      </c>
      <c r="B76" s="123" t="s">
        <v>251</v>
      </c>
      <c r="C76" s="124">
        <v>0.57999999999999996</v>
      </c>
      <c r="D76" s="124" t="s">
        <v>112</v>
      </c>
      <c r="E76" s="124">
        <v>1.56</v>
      </c>
      <c r="F76" s="125" t="s">
        <v>113</v>
      </c>
      <c r="G76" s="126">
        <v>0.3</v>
      </c>
      <c r="H76" s="124" t="s">
        <v>252</v>
      </c>
      <c r="I76" s="127">
        <v>0.25</v>
      </c>
      <c r="J76" s="78"/>
      <c r="K76" s="78"/>
      <c r="L76" s="78"/>
      <c r="M76" s="78"/>
      <c r="N76" s="78"/>
    </row>
    <row r="77" spans="1:14" x14ac:dyDescent="0.3">
      <c r="A77" s="122" t="s">
        <v>253</v>
      </c>
      <c r="B77" s="123" t="s">
        <v>254</v>
      </c>
      <c r="C77" s="124">
        <v>0.37</v>
      </c>
      <c r="D77" s="124" t="s">
        <v>112</v>
      </c>
      <c r="E77" s="124">
        <v>1.3</v>
      </c>
      <c r="F77" s="125" t="s">
        <v>113</v>
      </c>
      <c r="G77" s="126">
        <v>0.55000000000000004</v>
      </c>
      <c r="H77" s="124" t="s">
        <v>137</v>
      </c>
      <c r="I77" s="127">
        <v>0.43</v>
      </c>
      <c r="J77" s="78"/>
      <c r="K77" s="78"/>
      <c r="L77" s="78"/>
      <c r="M77" s="78"/>
      <c r="N77" s="78"/>
    </row>
    <row r="78" spans="1:14" x14ac:dyDescent="0.3">
      <c r="A78" s="122" t="s">
        <v>255</v>
      </c>
      <c r="B78" s="123" t="s">
        <v>256</v>
      </c>
      <c r="C78" s="124">
        <v>0.37</v>
      </c>
      <c r="D78" s="124" t="s">
        <v>112</v>
      </c>
      <c r="E78" s="124">
        <v>1.3</v>
      </c>
      <c r="F78" s="125" t="s">
        <v>113</v>
      </c>
      <c r="G78" s="126">
        <v>0.55000000000000004</v>
      </c>
      <c r="H78" s="124" t="s">
        <v>137</v>
      </c>
      <c r="I78" s="127">
        <v>0.43</v>
      </c>
      <c r="J78" s="78"/>
      <c r="K78" s="78"/>
      <c r="L78" s="78"/>
      <c r="M78" s="78"/>
      <c r="N78" s="78"/>
    </row>
    <row r="79" spans="1:14" x14ac:dyDescent="0.3">
      <c r="A79" s="122" t="s">
        <v>257</v>
      </c>
      <c r="B79" s="123" t="s">
        <v>258</v>
      </c>
      <c r="C79" s="124">
        <v>0.38</v>
      </c>
      <c r="D79" s="124" t="s">
        <v>112</v>
      </c>
      <c r="E79" s="124">
        <v>1.3</v>
      </c>
      <c r="F79" s="125" t="s">
        <v>113</v>
      </c>
      <c r="G79" s="126">
        <v>0.55000000000000004</v>
      </c>
      <c r="H79" s="124" t="s">
        <v>128</v>
      </c>
      <c r="I79" s="127">
        <v>0.43</v>
      </c>
      <c r="J79" s="78"/>
      <c r="K79" s="78"/>
      <c r="L79" s="78"/>
      <c r="M79" s="78"/>
      <c r="N79" s="78"/>
    </row>
    <row r="80" spans="1:14" x14ac:dyDescent="0.3">
      <c r="A80" s="122" t="s">
        <v>259</v>
      </c>
      <c r="B80" s="123" t="s">
        <v>260</v>
      </c>
      <c r="C80" s="124">
        <v>0.36</v>
      </c>
      <c r="D80" s="124" t="s">
        <v>112</v>
      </c>
      <c r="E80" s="124">
        <v>1.3</v>
      </c>
      <c r="F80" s="125" t="s">
        <v>113</v>
      </c>
      <c r="G80" s="126">
        <v>0.55000000000000004</v>
      </c>
      <c r="H80" s="124" t="s">
        <v>128</v>
      </c>
      <c r="I80" s="127">
        <v>0.43</v>
      </c>
      <c r="J80" s="78"/>
      <c r="K80" s="78"/>
      <c r="L80" s="78"/>
      <c r="M80" s="78"/>
      <c r="N80" s="78"/>
    </row>
    <row r="81" spans="1:14" x14ac:dyDescent="0.3">
      <c r="A81" s="122" t="s">
        <v>72</v>
      </c>
      <c r="B81" s="123" t="s">
        <v>261</v>
      </c>
      <c r="C81" s="124">
        <v>0.37</v>
      </c>
      <c r="D81" s="124" t="s">
        <v>112</v>
      </c>
      <c r="E81" s="124">
        <v>1.56</v>
      </c>
      <c r="F81" s="125" t="s">
        <v>113</v>
      </c>
      <c r="G81" s="126">
        <v>0.43</v>
      </c>
      <c r="H81" s="124" t="s">
        <v>114</v>
      </c>
      <c r="I81" s="127">
        <v>0.25</v>
      </c>
      <c r="J81" s="78"/>
      <c r="K81" s="78"/>
      <c r="L81" s="78"/>
      <c r="M81" s="78"/>
      <c r="N81" s="78"/>
    </row>
    <row r="82" spans="1:14" x14ac:dyDescent="0.3">
      <c r="A82" s="122" t="s">
        <v>262</v>
      </c>
      <c r="B82" s="123" t="s">
        <v>263</v>
      </c>
      <c r="C82" s="124">
        <v>0.35</v>
      </c>
      <c r="D82" s="124" t="s">
        <v>264</v>
      </c>
      <c r="E82" s="124">
        <v>1.3</v>
      </c>
      <c r="F82" s="125" t="s">
        <v>113</v>
      </c>
      <c r="G82" s="126">
        <v>0.55000000000000004</v>
      </c>
      <c r="H82" s="124" t="s">
        <v>128</v>
      </c>
      <c r="I82" s="127">
        <v>0.43</v>
      </c>
      <c r="J82" s="78"/>
      <c r="K82" s="78"/>
      <c r="L82" s="78"/>
      <c r="M82" s="78"/>
      <c r="N82" s="78"/>
    </row>
    <row r="83" spans="1:14" x14ac:dyDescent="0.3">
      <c r="A83" s="122" t="s">
        <v>265</v>
      </c>
      <c r="B83" s="123" t="s">
        <v>266</v>
      </c>
      <c r="C83" s="124">
        <v>0.34</v>
      </c>
      <c r="D83" s="124" t="s">
        <v>112</v>
      </c>
      <c r="E83" s="124">
        <v>1.3</v>
      </c>
      <c r="F83" s="125" t="s">
        <v>113</v>
      </c>
      <c r="G83" s="126">
        <v>0.55000000000000004</v>
      </c>
      <c r="H83" s="124" t="s">
        <v>128</v>
      </c>
      <c r="I83" s="127">
        <v>0.43</v>
      </c>
      <c r="J83" s="78"/>
      <c r="K83" s="78"/>
      <c r="L83" s="78"/>
      <c r="M83" s="78"/>
      <c r="N83" s="78"/>
    </row>
    <row r="84" spans="1:14" x14ac:dyDescent="0.3">
      <c r="A84" s="122" t="s">
        <v>267</v>
      </c>
      <c r="B84" s="123" t="s">
        <v>268</v>
      </c>
      <c r="C84" s="124">
        <v>0.31</v>
      </c>
      <c r="D84" s="124" t="s">
        <v>112</v>
      </c>
      <c r="E84" s="124">
        <v>1.3</v>
      </c>
      <c r="F84" s="125" t="s">
        <v>113</v>
      </c>
      <c r="G84" s="126">
        <v>0.55000000000000004</v>
      </c>
      <c r="H84" s="124" t="s">
        <v>128</v>
      </c>
      <c r="I84" s="127">
        <v>0.43</v>
      </c>
      <c r="J84" s="78"/>
      <c r="K84" s="78"/>
      <c r="L84" s="78"/>
      <c r="M84" s="78"/>
      <c r="N84" s="78"/>
    </row>
    <row r="85" spans="1:14" x14ac:dyDescent="0.3">
      <c r="A85" s="122" t="s">
        <v>269</v>
      </c>
      <c r="B85" s="123" t="s">
        <v>270</v>
      </c>
      <c r="C85" s="124">
        <v>0.43</v>
      </c>
      <c r="D85" s="124" t="s">
        <v>112</v>
      </c>
      <c r="E85" s="124">
        <v>1.56</v>
      </c>
      <c r="F85" s="125" t="s">
        <v>113</v>
      </c>
      <c r="G85" s="126">
        <v>0.53</v>
      </c>
      <c r="H85" s="124" t="s">
        <v>166</v>
      </c>
      <c r="I85" s="127">
        <v>0.25</v>
      </c>
      <c r="J85" s="78"/>
      <c r="K85" s="78"/>
      <c r="L85" s="78"/>
      <c r="M85" s="78"/>
      <c r="N85" s="78"/>
    </row>
    <row r="86" spans="1:14" x14ac:dyDescent="0.3">
      <c r="A86" s="122" t="s">
        <v>271</v>
      </c>
      <c r="B86" s="123" t="s">
        <v>272</v>
      </c>
      <c r="C86" s="124">
        <v>0.38</v>
      </c>
      <c r="D86" s="124" t="s">
        <v>112</v>
      </c>
      <c r="E86" s="124">
        <v>1.56</v>
      </c>
      <c r="F86" s="125" t="s">
        <v>113</v>
      </c>
      <c r="G86" s="126">
        <v>0.6</v>
      </c>
      <c r="H86" s="124" t="s">
        <v>273</v>
      </c>
      <c r="I86" s="127">
        <v>0.25</v>
      </c>
      <c r="J86" s="78"/>
      <c r="K86" s="78"/>
      <c r="L86" s="78"/>
      <c r="M86" s="78"/>
      <c r="N86" s="78"/>
    </row>
    <row r="87" spans="1:14" x14ac:dyDescent="0.3">
      <c r="A87" s="251" t="s">
        <v>274</v>
      </c>
      <c r="B87" s="252" t="s">
        <v>275</v>
      </c>
      <c r="C87" s="253">
        <v>0.41</v>
      </c>
      <c r="D87" s="253" t="s">
        <v>276</v>
      </c>
      <c r="E87" s="253">
        <v>1.56</v>
      </c>
      <c r="F87" s="254" t="s">
        <v>113</v>
      </c>
      <c r="G87" s="255">
        <v>0.43</v>
      </c>
      <c r="H87" s="253" t="s">
        <v>114</v>
      </c>
      <c r="I87" s="256">
        <v>0.25</v>
      </c>
      <c r="J87" s="78"/>
      <c r="K87" s="78"/>
      <c r="L87" s="78"/>
      <c r="M87" s="78"/>
      <c r="N87" s="78"/>
    </row>
    <row r="88" spans="1:14" x14ac:dyDescent="0.3">
      <c r="A88" s="122" t="s">
        <v>277</v>
      </c>
      <c r="B88" s="130"/>
      <c r="C88" s="124">
        <v>0.42</v>
      </c>
      <c r="D88" s="124" t="s">
        <v>112</v>
      </c>
      <c r="E88" s="124">
        <v>1.3</v>
      </c>
      <c r="F88" s="125" t="s">
        <v>113</v>
      </c>
      <c r="G88" s="131"/>
      <c r="H88" s="130"/>
      <c r="I88" s="132"/>
    </row>
    <row r="89" spans="1:14" ht="15" thickBot="1" x14ac:dyDescent="0.35">
      <c r="A89" s="133" t="s">
        <v>278</v>
      </c>
      <c r="B89" s="134"/>
      <c r="C89" s="135">
        <v>0.56999999999999995</v>
      </c>
      <c r="D89" s="136" t="s">
        <v>112</v>
      </c>
      <c r="E89" s="135">
        <v>1.56</v>
      </c>
      <c r="F89" s="135" t="s">
        <v>113</v>
      </c>
      <c r="G89" s="134"/>
      <c r="H89" s="134"/>
      <c r="I89" s="137"/>
    </row>
    <row r="93" spans="1:14" x14ac:dyDescent="0.3">
      <c r="A93" s="122" t="s">
        <v>73</v>
      </c>
    </row>
    <row r="94" spans="1:14" x14ac:dyDescent="0.3">
      <c r="A94" s="122" t="s">
        <v>74</v>
      </c>
    </row>
    <row r="95" spans="1:14" x14ac:dyDescent="0.3">
      <c r="A95" s="122" t="s">
        <v>75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opLeftCell="A4" workbookViewId="0">
      <selection activeCell="E17" sqref="E17"/>
    </sheetView>
  </sheetViews>
  <sheetFormatPr baseColWidth="10" defaultColWidth="11.44140625" defaultRowHeight="14.4" x14ac:dyDescent="0.3"/>
  <cols>
    <col min="1" max="1" width="22.77734375" style="1" bestFit="1" customWidth="1"/>
    <col min="2" max="2" width="10.5546875" style="1" bestFit="1" customWidth="1"/>
    <col min="3" max="3" width="15.5546875" style="1" bestFit="1" customWidth="1"/>
    <col min="4" max="4" width="13.44140625" style="1" bestFit="1" customWidth="1"/>
    <col min="5" max="8" width="11.44140625" style="1"/>
    <col min="9" max="13" width="11.44140625" style="62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4" thickBot="1" x14ac:dyDescent="0.55000000000000004">
      <c r="A2" s="272" t="s">
        <v>279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4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3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2.599999999999994" thickBot="1" x14ac:dyDescent="0.35">
      <c r="A5" s="138" t="s">
        <v>280</v>
      </c>
      <c r="B5" s="139" t="s">
        <v>281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282</v>
      </c>
      <c r="F5" s="140" t="s">
        <v>283</v>
      </c>
      <c r="G5" s="140" t="s">
        <v>284</v>
      </c>
      <c r="H5" s="141" t="s">
        <v>285</v>
      </c>
      <c r="I5" s="142" t="s">
        <v>286</v>
      </c>
      <c r="J5" s="143" t="s">
        <v>287</v>
      </c>
      <c r="K5" s="144" t="s">
        <v>288</v>
      </c>
      <c r="L5" s="84" t="s">
        <v>289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">
      <c r="A6" s="145" t="str">
        <f>IF('Données projet'!$B$9="","",'Données projet'!$B$9)</f>
        <v>Robinier faux-acacia</v>
      </c>
      <c r="B6" s="146">
        <f>'Données projet'!D9</f>
        <v>0.51469999997078997</v>
      </c>
      <c r="C6" s="147">
        <f ca="1">IF(OR('Données projet'!B9="",'Données projet'!C9="",'Données projet'!C9=0%),0,Calculateur!S3)</f>
        <v>336.59194805061094</v>
      </c>
      <c r="D6" s="147">
        <f>IF(OR('Données projet'!B9="",'Données projet'!C9="",'Données projet'!C9=0%),0,Calculateur!T3)</f>
        <v>473.66884161123909</v>
      </c>
      <c r="E6" s="147">
        <f ca="1">MIN(C6,D6)</f>
        <v>336.59194805061094</v>
      </c>
      <c r="F6" s="147">
        <f ca="1">E6*B6</f>
        <v>173.24387565181758</v>
      </c>
      <c r="G6" s="147">
        <f ca="1">F6*(100%-'Données projet'!$C$24)*(100%-'Données projet'!$C$25)*(100%-'Données projet'!$C$26)*(100%-'Données projet'!$C$27)</f>
        <v>132.53156487364043</v>
      </c>
      <c r="H6" s="148">
        <f>IF(OR('Données projet'!B9="",'Données projet'!C9="",'Données projet'!C9=0%),0,AVERAGE(Calculateur!$AC$3:$AC$33)*B6)</f>
        <v>0</v>
      </c>
      <c r="I6" s="149">
        <f>H6*(100%-'Données projet'!$C$24)*(100%-'Données projet'!$C$25)*(100%-'Données projet'!$C$26)*(100%-'Données projet'!$C$27)</f>
        <v>0</v>
      </c>
      <c r="J6" s="150">
        <f>IF(OR('Données projet'!B9="",'Données projet'!C9="",'Données projet'!C9=0%),0,SUM(Calculateur!$V$3:$V$33)*VLOOKUP('Données projet'!$B$9,Paramètres!$A$1:$I$89,9,0)*B6)</f>
        <v>12.996174999262447</v>
      </c>
      <c r="K6" s="151">
        <f>J6*(100%-'Données projet'!$C$24)*(100%-'Données projet'!$C$25)*(100%-'Données projet'!$C$26)*(100%-'Données projet'!$C$27)</f>
        <v>9.9420738744357724</v>
      </c>
      <c r="L6" s="152">
        <f ca="1">G6+I6+K6</f>
        <v>142.47363874807621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">
      <c r="A7" s="153" t="str">
        <f>IF('Données projet'!$B$10="","",'Données projet'!$B$10)</f>
        <v>Aulne glutineux</v>
      </c>
      <c r="B7" s="154">
        <f>'Données projet'!D10</f>
        <v>0.15000000001122998</v>
      </c>
      <c r="C7" s="147">
        <f ca="1">IF(OR('Données projet'!B10="",'Données projet'!C10="",'Données projet'!C10=0%),0,Calculateur!AN3)</f>
        <v>244.66788784685366</v>
      </c>
      <c r="D7" s="147">
        <f>IF(OR('Données projet'!B10="",'Données projet'!C10="",'Données projet'!C10=0%),0,Calculateur!AO3)</f>
        <v>252.04429018409274</v>
      </c>
      <c r="E7" s="147">
        <f t="shared" ref="E7:E15" ca="1" si="0">MIN(C7,D7)</f>
        <v>244.66788784685366</v>
      </c>
      <c r="F7" s="147">
        <f t="shared" ref="F7:F15" ca="1" si="1">E7*B7</f>
        <v>36.700183179775664</v>
      </c>
      <c r="G7" s="147">
        <f ca="1">F7*(100%-'Données projet'!$C$24)*(100%-'Données projet'!$C$25)*(100%-'Données projet'!$C$26)*(100%-'Données projet'!$C$27)</f>
        <v>28.075640132528385</v>
      </c>
      <c r="H7" s="155">
        <f>IF(OR('Données projet'!B10="",'Données projet'!C10="",'Données projet'!C10=0%),0,AVERAGE(Calculateur!$AX$3:$AX$33)*B7)</f>
        <v>0</v>
      </c>
      <c r="I7" s="149">
        <f>H7*(100%-'Données projet'!$C$24)*(100%-'Données projet'!$C$25)*(100%-'Données projet'!$C$26)*(100%-'Données projet'!$C$27)</f>
        <v>0</v>
      </c>
      <c r="J7" s="150">
        <f>IF(OR('Données projet'!B10="",'Données projet'!C10="",'Données projet'!C10=0%),0,SUM(Calculateur!$AQ$3:$AQ$33)*VLOOKUP('Données projet'!$B$10,Paramètres!$A$1:$I$89,9,0)*B7)</f>
        <v>5.1375000003846267</v>
      </c>
      <c r="K7" s="151">
        <f>J7*(100%-'Données projet'!$C$24)*(100%-'Données projet'!$C$25)*(100%-'Données projet'!$C$26)*(100%-'Données projet'!$C$27)</f>
        <v>3.9301875002942395</v>
      </c>
      <c r="L7" s="152">
        <f t="shared" ref="L7:L15" ca="1" si="2">G7+I7+K7</f>
        <v>32.005827632822623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">
      <c r="A8" s="153" t="str">
        <f>IF('Données projet'!$B$11="","",'Données projet'!$B$11)</f>
        <v>Charme</v>
      </c>
      <c r="B8" s="154">
        <f>'Données projet'!D11</f>
        <v>0.14218906581217</v>
      </c>
      <c r="C8" s="147">
        <f ca="1">IF(OR('Données projet'!B11="",'Données projet'!C11="",'Données projet'!C11=0%),0,Calculateur!BI3)</f>
        <v>373.51596132356536</v>
      </c>
      <c r="D8" s="147">
        <f>IF(OR('Données projet'!B11="",'Données projet'!C11="",'Données projet'!C11=0%),0,Calculateur!BJ3)</f>
        <v>417.00150517020114</v>
      </c>
      <c r="E8" s="147">
        <f t="shared" ca="1" si="0"/>
        <v>373.51596132356536</v>
      </c>
      <c r="F8" s="147">
        <f t="shared" ca="1" si="1"/>
        <v>53.10988560653238</v>
      </c>
      <c r="G8" s="147">
        <f ca="1">F8*(100%-'Données projet'!$C$24)*(100%-'Données projet'!$C$25)*(100%-'Données projet'!$C$26)*(100%-'Données projet'!$C$27)</f>
        <v>40.62906248899727</v>
      </c>
      <c r="H8" s="155">
        <f>IF(OR('Données projet'!B11="",'Données projet'!C11="",'Données projet'!C11=0%),0,AVERAGE(Calculateur!$BS$3:$BS$33)*B8)</f>
        <v>0</v>
      </c>
      <c r="I8" s="149">
        <f>H8*(100%-'Données projet'!$C$24)*(100%-'Données projet'!$C$25)*(100%-'Données projet'!$C$26)*(100%-'Données projet'!$C$27)</f>
        <v>0</v>
      </c>
      <c r="J8" s="150">
        <f>IF(OR('Données projet'!B11="",'Données projet'!C11="",'Données projet'!C11=0%),0,SUM(Calculateur!$BL$3:$BL$33)*VLOOKUP('Données projet'!$B$11,Paramètres!$A$1:$I$89,9,0)*B8)</f>
        <v>3.5191793788512076</v>
      </c>
      <c r="K8" s="151">
        <f>J8*(100%-'Données projet'!$C$24)*(100%-'Données projet'!$C$25)*(100%-'Données projet'!$C$26)*(100%-'Données projet'!$C$27)</f>
        <v>2.6921722248211739</v>
      </c>
      <c r="L8" s="152">
        <f t="shared" ca="1" si="2"/>
        <v>43.321234713818441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">
      <c r="A9" s="153" t="str">
        <f>IF('Données projet'!$B$12="","",'Données projet'!$B$12)</f>
        <v>Chêne sessile</v>
      </c>
      <c r="B9" s="154">
        <f>'Données projet'!D12</f>
        <v>0.42749999995174998</v>
      </c>
      <c r="C9" s="147">
        <f ca="1">IF(OR('Données projet'!B12="",'Données projet'!C12="",'Données projet'!C12=0%),0,Calculateur!CD3)</f>
        <v>289.19622253646992</v>
      </c>
      <c r="D9" s="147">
        <f>IF(OR('Données projet'!B12="",'Données projet'!C12="",'Données projet'!C12=0%),0,Calculateur!CE3)</f>
        <v>191.23827338431175</v>
      </c>
      <c r="E9" s="147">
        <f t="shared" ca="1" si="0"/>
        <v>191.23827338431175</v>
      </c>
      <c r="F9" s="147">
        <f t="shared" ca="1" si="1"/>
        <v>81.754361862566029</v>
      </c>
      <c r="G9" s="147">
        <f ca="1">F9*(100%-'Données projet'!$C$24)*(100%-'Données projet'!$C$25)*(100%-'Données projet'!$C$26)*(100%-'Données projet'!$C$27)</f>
        <v>62.542086824863006</v>
      </c>
      <c r="H9" s="155">
        <f>IF(OR('Données projet'!B12="",'Données projet'!C12="",'Données projet'!C12=0%),0,AVERAGE(Calculateur!$CN$3:$CN$33)*B9)</f>
        <v>0</v>
      </c>
      <c r="I9" s="149">
        <f>H9*(100%-'Données projet'!$C$24)*(100%-'Données projet'!$C$25)*(100%-'Données projet'!$C$26)*(100%-'Données projet'!$C$27)</f>
        <v>0</v>
      </c>
      <c r="J9" s="150">
        <f>IF(OR('Données projet'!B12="",'Données projet'!C12="",'Données projet'!C12=0%),0,SUM(Calculateur!$CG$3:$CG$33)*VLOOKUP('Données projet'!$B$12,Paramètres!$A$1:$I$89,9,0)*B9)</f>
        <v>3.0993749996501871</v>
      </c>
      <c r="K9" s="151">
        <f>J9*(100%-'Données projet'!$C$24)*(100%-'Données projet'!$C$25)*(100%-'Données projet'!$C$26)*(100%-'Données projet'!$C$27)</f>
        <v>2.371021874732393</v>
      </c>
      <c r="L9" s="152">
        <f t="shared" ca="1" si="2"/>
        <v>64.913108699595398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">
      <c r="A10" s="153" t="str">
        <f>IF('Données projet'!$B$13="","",'Données projet'!$B$13)</f>
        <v/>
      </c>
      <c r="B10" s="154">
        <f>'Données projet'!D13</f>
        <v>0</v>
      </c>
      <c r="C10" s="147">
        <f>IF(OR('Données projet'!B13="",'Données projet'!C13="",'Données projet'!C13=0%),0,Calculateur!CY3)</f>
        <v>0</v>
      </c>
      <c r="D10" s="147">
        <f>IF(OR('Données projet'!B13="",'Données projet'!C13="",'Données projet'!C13=0%),0,Calculateur!CZ3)</f>
        <v>0</v>
      </c>
      <c r="E10" s="147">
        <f t="shared" si="0"/>
        <v>0</v>
      </c>
      <c r="F10" s="147">
        <f t="shared" si="1"/>
        <v>0</v>
      </c>
      <c r="G10" s="147">
        <f>F10*(100%-'Données projet'!$C$24)*(100%-'Données projet'!$C$25)*(100%-'Données projet'!$C$26)*(100%-'Données projet'!$C$27)</f>
        <v>0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0</v>
      </c>
      <c r="K10" s="151">
        <f>J10*(100%-'Données projet'!$C$24)*(100%-'Données projet'!$C$25)*(100%-'Données projet'!$C$26)*(100%-'Données projet'!$C$27)</f>
        <v>0</v>
      </c>
      <c r="L10" s="152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">
      <c r="A11" s="153" t="str">
        <f>IF('Données projet'!$B$14="","",'Données projet'!$B$14)</f>
        <v/>
      </c>
      <c r="B11" s="154">
        <f>'Données projet'!D14</f>
        <v>0</v>
      </c>
      <c r="C11" s="147">
        <f>IF(OR('Données projet'!B14="",'Données projet'!C14="",'Données projet'!C14=0%),0,Calculateur!DT3)</f>
        <v>0</v>
      </c>
      <c r="D11" s="147">
        <f>IF(OR('Données projet'!B14="",'Données projet'!C14="",'Données projet'!C14=0%),0,Calculateur!DU3)</f>
        <v>0</v>
      </c>
      <c r="E11" s="147">
        <f t="shared" si="0"/>
        <v>0</v>
      </c>
      <c r="F11" s="147">
        <f t="shared" si="1"/>
        <v>0</v>
      </c>
      <c r="G11" s="147">
        <f>F11*(100%-'Données projet'!$C$24)*(100%-'Données projet'!$C$25)*(100%-'Données projet'!$C$26)*(100%-'Données projet'!$C$27)</f>
        <v>0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35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35">
      <c r="A16" s="209"/>
      <c r="B16" s="213"/>
      <c r="C16" s="214"/>
      <c r="D16" s="23"/>
      <c r="E16" s="23"/>
      <c r="F16" s="165">
        <f t="shared" ref="F16:L16" ca="1" si="3">SUM(F6:F15)</f>
        <v>344.80830630069164</v>
      </c>
      <c r="G16" s="166">
        <f t="shared" ca="1" si="3"/>
        <v>263.77835432002911</v>
      </c>
      <c r="H16" s="167">
        <f t="shared" si="3"/>
        <v>0</v>
      </c>
      <c r="I16" s="167">
        <f t="shared" si="3"/>
        <v>0</v>
      </c>
      <c r="J16" s="168">
        <f t="shared" si="3"/>
        <v>24.752229378148471</v>
      </c>
      <c r="K16" s="168">
        <f t="shared" si="3"/>
        <v>18.935455474283579</v>
      </c>
      <c r="L16" s="169">
        <f t="shared" ca="1" si="3"/>
        <v>282.71380979431268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">
      <c r="A17" s="209"/>
      <c r="B17" s="213"/>
      <c r="C17" s="214"/>
      <c r="D17" s="23"/>
      <c r="E17" s="23"/>
      <c r="F17" s="284" t="s">
        <v>290</v>
      </c>
      <c r="G17" s="285"/>
      <c r="H17" s="285"/>
      <c r="I17" s="285"/>
      <c r="J17" s="285"/>
      <c r="K17" s="285"/>
      <c r="L17" s="285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">
      <c r="A18" s="209"/>
      <c r="B18" s="213"/>
      <c r="C18" s="214"/>
      <c r="D18" s="23"/>
      <c r="E18" s="23"/>
      <c r="F18" s="271"/>
      <c r="G18" s="271"/>
      <c r="H18" s="271"/>
      <c r="I18" s="271"/>
      <c r="J18" s="271"/>
      <c r="K18" s="271"/>
      <c r="L18" s="271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3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35">
      <c r="A21" s="170" t="str">
        <f>A6</f>
        <v>Robinier faux-acacia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35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35">
      <c r="A39" s="170" t="str">
        <f>A7</f>
        <v>Aulne glutineux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35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35">
      <c r="A57" s="170" t="str">
        <f>A8</f>
        <v>Charme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35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35">
      <c r="A76" s="170" t="str">
        <f>A9</f>
        <v>Chêne sessile</v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35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35">
      <c r="A94" s="170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35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35">
      <c r="A112" s="170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35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35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35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35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35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35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35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35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abSelected="1" topLeftCell="A3" zoomScale="90" zoomScaleNormal="90" workbookViewId="0">
      <selection activeCell="I20" sqref="I20"/>
    </sheetView>
  </sheetViews>
  <sheetFormatPr baseColWidth="10" defaultColWidth="11.44140625" defaultRowHeight="14.4" x14ac:dyDescent="0.3"/>
  <cols>
    <col min="1" max="1" width="11.44140625" style="1"/>
    <col min="2" max="2" width="30.77734375" style="1" bestFit="1" customWidth="1"/>
    <col min="3" max="3" width="18.21875" style="1" bestFit="1" customWidth="1"/>
    <col min="4" max="5" width="11.44140625" style="1"/>
    <col min="6" max="6" width="14" style="1" customWidth="1"/>
    <col min="7" max="7" width="17.5546875" style="1" customWidth="1"/>
    <col min="8" max="8" width="21.77734375" style="1" customWidth="1"/>
    <col min="9" max="9" width="37" style="1" customWidth="1"/>
    <col min="10" max="10" width="11.44140625" style="1"/>
    <col min="11" max="11" width="8.777343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21875" style="1" customWidth="1"/>
    <col min="21" max="21" width="16.44140625" style="1" customWidth="1"/>
    <col min="22" max="22" width="17.77734375" style="1" customWidth="1"/>
    <col min="23" max="16384" width="11.44140625" style="1"/>
  </cols>
  <sheetData>
    <row r="1" spans="1:4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4" thickBot="1" x14ac:dyDescent="0.55000000000000004">
      <c r="A2" s="4"/>
      <c r="B2" s="272" t="s">
        <v>291</v>
      </c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">
      <c r="A4" s="4"/>
      <c r="B4" s="4"/>
      <c r="C4" s="4"/>
      <c r="D4" s="4"/>
      <c r="E4" s="4"/>
      <c r="G4" s="4"/>
      <c r="H4" s="258" t="s">
        <v>292</v>
      </c>
      <c r="I4" s="258"/>
      <c r="K4" s="300" t="s">
        <v>293</v>
      </c>
      <c r="L4" s="301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35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55000000000000004">
      <c r="A7" s="242"/>
      <c r="B7" s="243"/>
      <c r="C7" s="243"/>
      <c r="D7" s="243"/>
      <c r="E7" s="244"/>
      <c r="F7" s="244" t="s">
        <v>4</v>
      </c>
      <c r="G7" s="245"/>
      <c r="H7" s="243"/>
      <c r="I7" s="243"/>
      <c r="J7" s="246"/>
      <c r="K7" s="240"/>
      <c r="L7" s="241"/>
      <c r="M7" s="241"/>
      <c r="N7" s="247" t="s">
        <v>58</v>
      </c>
      <c r="O7" s="247"/>
      <c r="P7" s="248"/>
      <c r="Q7" s="249"/>
      <c r="R7" s="292" t="s">
        <v>294</v>
      </c>
      <c r="S7" s="293"/>
      <c r="T7" s="293"/>
      <c r="U7" s="293"/>
      <c r="V7" s="29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">
      <c r="A9" s="93" t="s">
        <v>295</v>
      </c>
      <c r="C9" s="23"/>
      <c r="D9" s="23"/>
      <c r="E9" s="23"/>
      <c r="F9" s="230"/>
      <c r="G9" s="93" t="s">
        <v>296</v>
      </c>
      <c r="J9" s="200"/>
      <c r="K9" s="208"/>
      <c r="O9" s="23"/>
      <c r="P9" s="23"/>
      <c r="Q9" s="234"/>
      <c r="R9" s="23"/>
      <c r="S9" s="4"/>
      <c r="T9" s="36" t="s">
        <v>297</v>
      </c>
      <c r="U9" s="176" t="s">
        <v>298</v>
      </c>
      <c r="V9" s="36" t="s">
        <v>299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">
      <c r="A10" s="93" t="s">
        <v>300</v>
      </c>
      <c r="C10" s="23"/>
      <c r="D10" s="23"/>
      <c r="E10" s="23"/>
      <c r="F10" s="230"/>
      <c r="G10" s="93" t="s">
        <v>301</v>
      </c>
      <c r="J10" s="200"/>
      <c r="K10" s="208"/>
      <c r="O10" s="23"/>
      <c r="P10" s="23"/>
      <c r="Q10" s="234"/>
      <c r="R10" s="23"/>
      <c r="S10" s="36" t="str">
        <f>B14</f>
        <v>Robinier faux-acacia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-1356.8342838922522</v>
      </c>
      <c r="U10" s="178">
        <f>'Données projet'!D9</f>
        <v>0.51469999997078997</v>
      </c>
      <c r="V10" s="177">
        <f>U10*T10</f>
        <v>-698.36260587970901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">
      <c r="A11" s="93" t="s">
        <v>302</v>
      </c>
      <c r="B11" s="23"/>
      <c r="C11" s="23"/>
      <c r="D11" s="23"/>
      <c r="E11" s="23"/>
      <c r="F11" s="230"/>
      <c r="G11" s="93" t="s">
        <v>303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Aulne glutineux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-1709.2996272685023</v>
      </c>
      <c r="U11" s="178">
        <f>'Données projet'!D10</f>
        <v>0.15000000001122998</v>
      </c>
      <c r="V11" s="177">
        <f t="shared" ref="V11" si="0">U11*T11</f>
        <v>-256.39494410947077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>Charme</v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-1661.2236330396868</v>
      </c>
      <c r="U12" s="178">
        <f>'Données projet'!D11</f>
        <v>0.14218906581217</v>
      </c>
      <c r="V12" s="177">
        <f t="shared" ref="V12:V19" si="1">U12*T12</f>
        <v>-236.20783648701217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">
      <c r="B13" s="23"/>
      <c r="C13" s="23"/>
      <c r="D13" s="23"/>
      <c r="E13" s="23"/>
      <c r="F13" s="230"/>
      <c r="J13" s="23"/>
      <c r="K13" s="208"/>
      <c r="L13" s="93" t="s">
        <v>304</v>
      </c>
      <c r="M13" s="23"/>
      <c r="N13" s="23"/>
      <c r="O13" s="23"/>
      <c r="P13" s="23"/>
      <c r="Q13" s="234"/>
      <c r="R13" s="23"/>
      <c r="S13" s="36" t="str">
        <f>B107</f>
        <v>Chêne sessile</v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-2117.9585235139421</v>
      </c>
      <c r="U13" s="178">
        <f>'Données projet'!D12</f>
        <v>0.42749999995174998</v>
      </c>
      <c r="V13" s="177">
        <f t="shared" si="1"/>
        <v>-905.42726870001866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">
      <c r="A14" s="46" t="s">
        <v>15</v>
      </c>
      <c r="B14" s="174" t="str">
        <f>IF('Données projet'!$B$9="","",'Données projet'!$B$9)</f>
        <v>Robinier faux-acacia</v>
      </c>
      <c r="C14" s="4"/>
      <c r="D14" s="4"/>
      <c r="E14" s="4"/>
      <c r="F14" s="230"/>
      <c r="G14" s="23"/>
      <c r="H14" s="36" t="s">
        <v>77</v>
      </c>
      <c r="I14" s="36" t="s">
        <v>305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/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8">
        <f>'Données projet'!D13</f>
        <v>0</v>
      </c>
      <c r="V14" s="177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">
      <c r="A15" s="4"/>
      <c r="B15" s="4"/>
      <c r="C15" s="4"/>
      <c r="D15" s="4"/>
      <c r="E15" s="4"/>
      <c r="F15" s="230"/>
      <c r="G15" s="303" t="s">
        <v>306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/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8">
        <f>'Données projet'!D14</f>
        <v>0</v>
      </c>
      <c r="V15" s="177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">
      <c r="A16" s="36" t="s">
        <v>49</v>
      </c>
      <c r="B16" s="48" t="s">
        <v>307</v>
      </c>
      <c r="C16" s="48" t="s">
        <v>308</v>
      </c>
      <c r="D16" s="36" t="s">
        <v>309</v>
      </c>
      <c r="E16" s="36" t="s">
        <v>310</v>
      </c>
      <c r="F16" s="230"/>
      <c r="G16" s="303"/>
      <c r="H16" s="190"/>
      <c r="I16" s="191"/>
      <c r="J16" s="202"/>
      <c r="K16" s="208"/>
      <c r="L16" s="300" t="s">
        <v>311</v>
      </c>
      <c r="M16" s="301"/>
      <c r="N16" s="2">
        <v>30</v>
      </c>
      <c r="O16" s="23"/>
      <c r="P16" s="23"/>
      <c r="Q16" s="234"/>
      <c r="R16" s="23"/>
      <c r="S16" s="36" t="str">
        <f>B200</f>
        <v/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">
      <c r="A17" s="49">
        <v>0</v>
      </c>
      <c r="B17" s="199" t="s">
        <v>194</v>
      </c>
      <c r="C17" s="198" t="s">
        <v>194</v>
      </c>
      <c r="D17" s="197" t="s">
        <v>194</v>
      </c>
      <c r="E17" s="193">
        <v>2109.8746999999998</v>
      </c>
      <c r="F17" s="230"/>
      <c r="G17" s="303"/>
      <c r="J17" s="202"/>
      <c r="K17" s="208"/>
      <c r="L17" s="260" t="s">
        <v>312</v>
      </c>
      <c r="M17" s="262"/>
      <c r="N17" s="175">
        <f>VLOOKUP(N16,Calculateur!$A$2:$H$153,3,0)/VLOOKUP('Scénario référence'!$G$15,Paramètres!A1:I89,3,0)/VLOOKUP('Scénario référence'!$G$15,Paramètres!A1:I89,5,0)</f>
        <v>29.999999999999996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">
      <c r="A18" s="49">
        <v>1</v>
      </c>
      <c r="B18" s="199" t="s">
        <v>194</v>
      </c>
      <c r="C18" s="198" t="s">
        <v>194</v>
      </c>
      <c r="D18" s="197" t="s">
        <v>194</v>
      </c>
      <c r="E18" s="193"/>
      <c r="F18" s="230"/>
      <c r="G18" s="303"/>
      <c r="J18" s="202"/>
      <c r="K18" s="208"/>
      <c r="L18" s="260" t="s">
        <v>308</v>
      </c>
      <c r="M18" s="262"/>
      <c r="N18" s="192">
        <v>9</v>
      </c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">
      <c r="A19" s="49">
        <v>2</v>
      </c>
      <c r="B19" s="199" t="s">
        <v>194</v>
      </c>
      <c r="C19" s="198" t="s">
        <v>194</v>
      </c>
      <c r="D19" s="197" t="s">
        <v>194</v>
      </c>
      <c r="E19" s="193"/>
      <c r="F19" s="230"/>
      <c r="G19" s="303"/>
      <c r="H19" s="212" t="s">
        <v>77</v>
      </c>
      <c r="I19" s="212" t="s">
        <v>313</v>
      </c>
      <c r="J19" s="93"/>
      <c r="K19" s="173"/>
      <c r="L19" s="300" t="s">
        <v>314</v>
      </c>
      <c r="M19" s="301"/>
      <c r="N19" s="179">
        <f>N17*N18</f>
        <v>269.99999999999994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">
      <c r="A20" s="49">
        <v>3</v>
      </c>
      <c r="B20" s="199" t="s">
        <v>194</v>
      </c>
      <c r="C20" s="198" t="s">
        <v>194</v>
      </c>
      <c r="D20" s="197" t="s">
        <v>194</v>
      </c>
      <c r="E20" s="193"/>
      <c r="F20" s="230"/>
      <c r="G20" s="303"/>
      <c r="H20" s="190">
        <v>0</v>
      </c>
      <c r="I20" s="191">
        <v>5196.71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">
      <c r="A21" s="49">
        <v>4</v>
      </c>
      <c r="B21" s="199" t="s">
        <v>194</v>
      </c>
      <c r="C21" s="198" t="s">
        <v>194</v>
      </c>
      <c r="D21" s="197" t="s">
        <v>194</v>
      </c>
      <c r="E21" s="193"/>
      <c r="F21" s="230"/>
      <c r="H21" s="190">
        <v>1</v>
      </c>
      <c r="I21" s="191">
        <f>250+125</f>
        <v>375</v>
      </c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">
      <c r="A22" s="49">
        <v>5</v>
      </c>
      <c r="B22" s="199" t="s">
        <v>194</v>
      </c>
      <c r="C22" s="198" t="s">
        <v>194</v>
      </c>
      <c r="D22" s="197" t="s">
        <v>194</v>
      </c>
      <c r="E22" s="193"/>
      <c r="F22" s="230"/>
      <c r="H22" s="190">
        <v>2</v>
      </c>
      <c r="I22" s="191">
        <f>250+125</f>
        <v>375</v>
      </c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">
      <c r="A23" s="180">
        <f>'Données projet'!A36</f>
        <v>5</v>
      </c>
      <c r="B23" s="181">
        <f>'Données projet'!D36</f>
        <v>6</v>
      </c>
      <c r="C23" s="193">
        <v>15</v>
      </c>
      <c r="D23" s="182">
        <f>B23*C23</f>
        <v>90</v>
      </c>
      <c r="E23" s="193"/>
      <c r="F23" s="230"/>
      <c r="H23" s="190">
        <v>4</v>
      </c>
      <c r="I23" s="191">
        <v>110</v>
      </c>
      <c r="K23" s="208"/>
      <c r="L23" s="302" t="s">
        <v>315</v>
      </c>
      <c r="M23" s="302"/>
      <c r="N23" s="302"/>
      <c r="O23" s="23"/>
      <c r="P23" s="23"/>
      <c r="Q23" s="234"/>
      <c r="R23" s="23"/>
      <c r="S23" s="36" t="s">
        <v>316</v>
      </c>
      <c r="T23" s="297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-9760.3603802112812</v>
      </c>
      <c r="U23" s="297"/>
      <c r="V23" s="297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">
      <c r="A24" s="180">
        <f>'Données projet'!A37</f>
        <v>10</v>
      </c>
      <c r="B24" s="181">
        <f>'Données projet'!D37</f>
        <v>28</v>
      </c>
      <c r="C24" s="193">
        <v>15</v>
      </c>
      <c r="D24" s="182">
        <f t="shared" ref="D24:D42" si="2">B24*C24</f>
        <v>420</v>
      </c>
      <c r="E24" s="193"/>
      <c r="F24" s="233"/>
      <c r="H24" s="190">
        <v>7</v>
      </c>
      <c r="I24" s="191">
        <v>110</v>
      </c>
      <c r="K24" s="208"/>
      <c r="O24" s="23"/>
      <c r="P24" s="23"/>
      <c r="Q24" s="234"/>
      <c r="R24" s="23"/>
      <c r="S24" s="36" t="s">
        <v>317</v>
      </c>
      <c r="T24" s="298">
        <f ca="1">'Scénario référence'!$B$8*$M$30*'Données projet'!$C$5+('Scénario référence'!B9+'Scénario référence'!B10+'Scénario référence'!F8+'Scénario référence'!F9)*$N$19/(1+M4)^N16*'Données projet'!$C$5</f>
        <v>89.009528169554059</v>
      </c>
      <c r="U24" s="298"/>
      <c r="V24" s="298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">
      <c r="A25" s="180">
        <f>'Données projet'!A38</f>
        <v>15</v>
      </c>
      <c r="B25" s="181">
        <f>'Données projet'!D38</f>
        <v>23</v>
      </c>
      <c r="C25" s="193">
        <v>15</v>
      </c>
      <c r="D25" s="182">
        <f t="shared" si="2"/>
        <v>345</v>
      </c>
      <c r="E25" s="193"/>
      <c r="F25" s="233"/>
      <c r="H25" s="190">
        <v>14</v>
      </c>
      <c r="I25" s="191">
        <v>110</v>
      </c>
      <c r="K25" s="208"/>
      <c r="L25" s="130" t="s">
        <v>318</v>
      </c>
      <c r="M25" s="130"/>
      <c r="N25" s="130"/>
      <c r="O25" s="130"/>
      <c r="P25" s="192"/>
      <c r="Q25" s="234"/>
      <c r="R25" s="23"/>
      <c r="S25" s="186" t="s">
        <v>319</v>
      </c>
      <c r="T25" s="299">
        <f ca="1">T23-T24</f>
        <v>-9849.3699083808351</v>
      </c>
      <c r="U25" s="299"/>
      <c r="V25" s="299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">
      <c r="A26" s="180">
        <f>'Données projet'!A39</f>
        <v>20</v>
      </c>
      <c r="B26" s="181">
        <f>'Données projet'!D39</f>
        <v>19</v>
      </c>
      <c r="C26" s="193">
        <v>15</v>
      </c>
      <c r="D26" s="182">
        <f t="shared" si="2"/>
        <v>285</v>
      </c>
      <c r="E26" s="193"/>
      <c r="F26" s="233"/>
      <c r="G26" s="229"/>
      <c r="H26" s="190">
        <v>21</v>
      </c>
      <c r="I26" s="191">
        <v>110</v>
      </c>
      <c r="K26" s="208"/>
      <c r="L26" s="286" t="s">
        <v>320</v>
      </c>
      <c r="M26" s="287"/>
      <c r="N26" s="287"/>
      <c r="O26" s="287"/>
      <c r="P26" s="288"/>
      <c r="Q26" s="234"/>
      <c r="R26" s="23"/>
      <c r="S26" s="186" t="s">
        <v>321</v>
      </c>
      <c r="T26" s="296" t="str">
        <f ca="1">IF(T25&lt;0,"Votre projet est additionnel","Votre projet n'est pas additionnel")</f>
        <v>Votre projet est additionnel</v>
      </c>
      <c r="U26" s="296"/>
      <c r="V26" s="296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">
      <c r="A27" s="180">
        <f>'Données projet'!A40</f>
        <v>25</v>
      </c>
      <c r="B27" s="181">
        <f>'Données projet'!D40</f>
        <v>14</v>
      </c>
      <c r="C27" s="193">
        <v>15</v>
      </c>
      <c r="D27" s="182">
        <f t="shared" si="2"/>
        <v>210</v>
      </c>
      <c r="E27" s="193"/>
      <c r="F27" s="233"/>
      <c r="G27" s="229"/>
      <c r="H27" s="190">
        <v>28</v>
      </c>
      <c r="I27" s="191">
        <v>110</v>
      </c>
      <c r="K27" s="208"/>
      <c r="L27" s="289"/>
      <c r="M27" s="290"/>
      <c r="N27" s="290"/>
      <c r="O27" s="290"/>
      <c r="P27" s="291"/>
      <c r="Q27" s="234"/>
      <c r="R27" s="23"/>
      <c r="S27" s="295" t="s">
        <v>322</v>
      </c>
      <c r="T27" s="295"/>
      <c r="U27" s="295"/>
      <c r="V27" s="295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">
      <c r="A28" s="180">
        <f>'Données projet'!A41</f>
        <v>30</v>
      </c>
      <c r="B28" s="181">
        <f>'Données projet'!D41</f>
        <v>11</v>
      </c>
      <c r="C28" s="193">
        <v>15</v>
      </c>
      <c r="D28" s="182">
        <f t="shared" si="2"/>
        <v>165</v>
      </c>
      <c r="E28" s="193"/>
      <c r="F28" s="233"/>
      <c r="G28" s="205"/>
      <c r="H28" s="190"/>
      <c r="I28" s="191"/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">
      <c r="A29" s="180">
        <f>'Données projet'!A42</f>
        <v>35</v>
      </c>
      <c r="B29" s="181">
        <f>'Données projet'!D42</f>
        <v>9</v>
      </c>
      <c r="C29" s="193"/>
      <c r="D29" s="182">
        <f t="shared" si="2"/>
        <v>0</v>
      </c>
      <c r="E29" s="193"/>
      <c r="F29" s="233"/>
      <c r="G29" s="203"/>
      <c r="H29" s="190"/>
      <c r="I29" s="191"/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">
      <c r="A30" s="180">
        <f>'Données projet'!A43</f>
        <v>40</v>
      </c>
      <c r="B30" s="181">
        <f>'Données projet'!D43</f>
        <v>7</v>
      </c>
      <c r="C30" s="193"/>
      <c r="D30" s="182">
        <f t="shared" si="2"/>
        <v>0</v>
      </c>
      <c r="E30" s="193"/>
      <c r="F30" s="233"/>
      <c r="G30" s="203"/>
      <c r="H30" s="190"/>
      <c r="I30" s="191"/>
      <c r="K30" s="183"/>
      <c r="L30" s="36" t="s">
        <v>323</v>
      </c>
      <c r="M30" s="184">
        <f ca="1">SUM(OFFSET($P$33,0,0,MIN('Données projet'!$E$9:$E$18)+1,1))</f>
        <v>0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">
      <c r="A31" s="180">
        <f>'Données projet'!A44</f>
        <v>45</v>
      </c>
      <c r="B31" s="181">
        <f>'Données projet'!D44</f>
        <v>7</v>
      </c>
      <c r="C31" s="193"/>
      <c r="D31" s="182">
        <f t="shared" si="2"/>
        <v>0</v>
      </c>
      <c r="E31" s="193"/>
      <c r="F31" s="233"/>
      <c r="G31" s="203"/>
      <c r="H31" s="190"/>
      <c r="I31" s="191"/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">
      <c r="A32" s="180">
        <f>'Données projet'!A45</f>
        <v>0</v>
      </c>
      <c r="B32" s="181">
        <f>'Données projet'!D45</f>
        <v>0</v>
      </c>
      <c r="C32" s="193"/>
      <c r="D32" s="182">
        <f t="shared" si="2"/>
        <v>0</v>
      </c>
      <c r="E32" s="193"/>
      <c r="F32" s="233"/>
      <c r="G32" s="203"/>
      <c r="H32" s="190"/>
      <c r="I32" s="191"/>
      <c r="K32" s="173"/>
      <c r="N32" s="4"/>
      <c r="O32" s="85" t="s">
        <v>77</v>
      </c>
      <c r="P32" s="85" t="s">
        <v>309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">
      <c r="A33" s="180">
        <f>'Données projet'!A46</f>
        <v>0</v>
      </c>
      <c r="B33" s="181">
        <f>'Données projet'!D46</f>
        <v>0</v>
      </c>
      <c r="C33" s="193"/>
      <c r="D33" s="182">
        <f t="shared" si="2"/>
        <v>0</v>
      </c>
      <c r="E33" s="193"/>
      <c r="F33" s="233"/>
      <c r="G33" s="203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">
      <c r="A34" s="180">
        <f>'Données projet'!A47</f>
        <v>0</v>
      </c>
      <c r="B34" s="181">
        <f>'Données projet'!D47</f>
        <v>0</v>
      </c>
      <c r="C34" s="193"/>
      <c r="D34" s="182">
        <f t="shared" si="2"/>
        <v>0</v>
      </c>
      <c r="E34" s="193"/>
      <c r="F34" s="233"/>
      <c r="G34" s="203"/>
      <c r="H34" s="190"/>
      <c r="I34" s="191"/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0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">
      <c r="A35" s="180">
        <f>'Données projet'!A48</f>
        <v>0</v>
      </c>
      <c r="B35" s="181">
        <f>'Données projet'!D48</f>
        <v>0</v>
      </c>
      <c r="C35" s="193"/>
      <c r="D35" s="182">
        <f t="shared" si="2"/>
        <v>0</v>
      </c>
      <c r="E35" s="193"/>
      <c r="F35" s="233"/>
      <c r="G35" s="203"/>
      <c r="H35" s="190"/>
      <c r="I35" s="191"/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0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">
      <c r="A36" s="180">
        <f>'Données projet'!A49</f>
        <v>0</v>
      </c>
      <c r="B36" s="181">
        <f>'Données projet'!D49</f>
        <v>0</v>
      </c>
      <c r="C36" s="193"/>
      <c r="D36" s="182">
        <f t="shared" si="2"/>
        <v>0</v>
      </c>
      <c r="E36" s="193"/>
      <c r="F36" s="233"/>
      <c r="G36" s="203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0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">
      <c r="A37" s="180">
        <f>'Données projet'!A50</f>
        <v>0</v>
      </c>
      <c r="B37" s="181">
        <f>'Données projet'!D50</f>
        <v>0</v>
      </c>
      <c r="C37" s="193"/>
      <c r="D37" s="182">
        <f t="shared" si="2"/>
        <v>0</v>
      </c>
      <c r="E37" s="193"/>
      <c r="F37" s="233"/>
      <c r="G37" s="203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0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">
      <c r="A38" s="180">
        <f>'Données projet'!A51</f>
        <v>0</v>
      </c>
      <c r="B38" s="181">
        <f>'Données projet'!D51</f>
        <v>0</v>
      </c>
      <c r="C38" s="193"/>
      <c r="D38" s="182">
        <f t="shared" si="2"/>
        <v>0</v>
      </c>
      <c r="E38" s="193"/>
      <c r="F38" s="233"/>
      <c r="G38" s="203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0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3"/>
      <c r="G39" s="203"/>
      <c r="H39" s="190"/>
      <c r="I39" s="191"/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0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/>
      <c r="I40" s="191"/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0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/>
      <c r="I41" s="191"/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0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/>
      <c r="I42" s="191"/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0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">
      <c r="A43" s="187"/>
      <c r="B43" s="187"/>
      <c r="C43" s="187"/>
      <c r="D43" s="227"/>
      <c r="E43" s="227"/>
      <c r="F43" s="238"/>
      <c r="G43" s="203"/>
      <c r="H43" s="190"/>
      <c r="I43" s="191"/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0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">
      <c r="A44" s="4"/>
      <c r="B44" s="4"/>
      <c r="C44" s="4"/>
      <c r="D44" s="4"/>
      <c r="E44" s="4"/>
      <c r="F44" s="230"/>
      <c r="G44" s="203"/>
      <c r="H44" s="190"/>
      <c r="I44" s="191"/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0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">
      <c r="A45" s="46" t="s">
        <v>18</v>
      </c>
      <c r="B45" s="174" t="str">
        <f>IF('Données projet'!$B$10="","",'Données projet'!$B$10)</f>
        <v>Aulne glutineux</v>
      </c>
      <c r="C45" s="4"/>
      <c r="D45" s="4"/>
      <c r="E45" s="4"/>
      <c r="F45" s="230"/>
      <c r="G45" s="203"/>
      <c r="H45" s="190"/>
      <c r="I45" s="191"/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0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">
      <c r="A46" s="4"/>
      <c r="B46" s="4"/>
      <c r="C46" s="4"/>
      <c r="D46" s="4"/>
      <c r="E46" s="4"/>
      <c r="F46" s="230"/>
      <c r="G46" s="203"/>
      <c r="H46" s="190"/>
      <c r="I46" s="191"/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0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">
      <c r="A47" s="36" t="s">
        <v>49</v>
      </c>
      <c r="B47" s="48" t="s">
        <v>307</v>
      </c>
      <c r="C47" s="48" t="s">
        <v>308</v>
      </c>
      <c r="D47" s="36" t="s">
        <v>309</v>
      </c>
      <c r="E47" s="36" t="s">
        <v>310</v>
      </c>
      <c r="F47" s="231"/>
      <c r="G47" s="203"/>
      <c r="H47" s="190"/>
      <c r="I47" s="191"/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0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">
      <c r="A48" s="49">
        <v>0</v>
      </c>
      <c r="B48" s="199" t="s">
        <v>194</v>
      </c>
      <c r="C48" s="198" t="s">
        <v>194</v>
      </c>
      <c r="D48" s="197" t="s">
        <v>194</v>
      </c>
      <c r="E48" s="193">
        <v>2241.8456999999999</v>
      </c>
      <c r="F48" s="231"/>
      <c r="G48" s="203"/>
      <c r="H48" s="190"/>
      <c r="I48" s="191"/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0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3">
      <c r="A49" s="49">
        <v>1</v>
      </c>
      <c r="B49" s="199" t="s">
        <v>194</v>
      </c>
      <c r="C49" s="198" t="s">
        <v>194</v>
      </c>
      <c r="D49" s="197" t="s">
        <v>194</v>
      </c>
      <c r="E49" s="193"/>
      <c r="F49" s="231"/>
      <c r="G49" s="204"/>
      <c r="H49" s="190"/>
      <c r="I49" s="191"/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0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3">
      <c r="A50" s="49">
        <v>2</v>
      </c>
      <c r="B50" s="199" t="s">
        <v>194</v>
      </c>
      <c r="C50" s="198" t="s">
        <v>194</v>
      </c>
      <c r="D50" s="197" t="s">
        <v>194</v>
      </c>
      <c r="E50" s="193"/>
      <c r="F50" s="231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0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">
      <c r="A51" s="49">
        <v>3</v>
      </c>
      <c r="B51" s="199" t="s">
        <v>194</v>
      </c>
      <c r="C51" s="198" t="s">
        <v>194</v>
      </c>
      <c r="D51" s="197" t="s">
        <v>194</v>
      </c>
      <c r="E51" s="193"/>
      <c r="F51" s="231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0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">
      <c r="A52" s="49">
        <v>4</v>
      </c>
      <c r="B52" s="199" t="s">
        <v>194</v>
      </c>
      <c r="C52" s="198" t="s">
        <v>194</v>
      </c>
      <c r="D52" s="197" t="s">
        <v>194</v>
      </c>
      <c r="E52" s="193"/>
      <c r="F52" s="231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0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">
      <c r="A53" s="49">
        <v>5</v>
      </c>
      <c r="B53" s="199" t="s">
        <v>194</v>
      </c>
      <c r="C53" s="198" t="s">
        <v>194</v>
      </c>
      <c r="D53" s="197" t="s">
        <v>194</v>
      </c>
      <c r="E53" s="193"/>
      <c r="F53" s="231"/>
      <c r="G53" s="205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0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">
      <c r="A54" s="180">
        <f>'Données projet'!A62</f>
        <v>10</v>
      </c>
      <c r="B54" s="181">
        <f>'Données projet'!D62</f>
        <v>0</v>
      </c>
      <c r="C54" s="191"/>
      <c r="D54" s="179">
        <f>B54*C54</f>
        <v>0</v>
      </c>
      <c r="E54" s="193"/>
      <c r="F54" s="232"/>
      <c r="G54" s="205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0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">
      <c r="A55" s="180">
        <f>'Données projet'!A63</f>
        <v>15</v>
      </c>
      <c r="B55" s="181">
        <f>'Données projet'!D63</f>
        <v>32</v>
      </c>
      <c r="C55" s="191">
        <v>15</v>
      </c>
      <c r="D55" s="179">
        <f t="shared" ref="D55:D73" si="4">B55*C55</f>
        <v>480</v>
      </c>
      <c r="E55" s="193"/>
      <c r="F55" s="232"/>
      <c r="G55" s="205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0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">
      <c r="A56" s="180">
        <f>'Données projet'!A64</f>
        <v>20</v>
      </c>
      <c r="B56" s="181">
        <f>'Données projet'!D64</f>
        <v>35</v>
      </c>
      <c r="C56" s="191">
        <v>15</v>
      </c>
      <c r="D56" s="179">
        <f t="shared" si="4"/>
        <v>525</v>
      </c>
      <c r="E56" s="193"/>
      <c r="F56" s="232"/>
      <c r="G56" s="205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0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">
      <c r="A57" s="180">
        <f>'Données projet'!A65</f>
        <v>25</v>
      </c>
      <c r="B57" s="181">
        <f>'Données projet'!D65</f>
        <v>35</v>
      </c>
      <c r="C57" s="191">
        <v>15</v>
      </c>
      <c r="D57" s="179">
        <f t="shared" si="4"/>
        <v>525</v>
      </c>
      <c r="E57" s="193"/>
      <c r="F57" s="232"/>
      <c r="G57" s="205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0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">
      <c r="A58" s="180">
        <f>'Données projet'!A66</f>
        <v>30</v>
      </c>
      <c r="B58" s="181">
        <f>'Données projet'!D66</f>
        <v>35</v>
      </c>
      <c r="C58" s="191">
        <v>15</v>
      </c>
      <c r="D58" s="179">
        <f t="shared" si="4"/>
        <v>525</v>
      </c>
      <c r="E58" s="193"/>
      <c r="F58" s="232"/>
      <c r="G58" s="205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0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">
      <c r="A59" s="180">
        <f>'Données projet'!A67</f>
        <v>35</v>
      </c>
      <c r="B59" s="181">
        <f>'Données projet'!D67</f>
        <v>35</v>
      </c>
      <c r="C59" s="191"/>
      <c r="D59" s="179">
        <f t="shared" si="4"/>
        <v>0</v>
      </c>
      <c r="E59" s="193"/>
      <c r="F59" s="232"/>
      <c r="G59" s="205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0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">
      <c r="A60" s="180">
        <f>'Données projet'!A68</f>
        <v>40</v>
      </c>
      <c r="B60" s="181">
        <f>'Données projet'!D68</f>
        <v>35</v>
      </c>
      <c r="C60" s="191"/>
      <c r="D60" s="179">
        <f t="shared" si="4"/>
        <v>0</v>
      </c>
      <c r="E60" s="193"/>
      <c r="F60" s="232"/>
      <c r="G60" s="206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0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">
      <c r="A61" s="180">
        <f>'Données projet'!A69</f>
        <v>45</v>
      </c>
      <c r="B61" s="181">
        <f>'Données projet'!D69</f>
        <v>24</v>
      </c>
      <c r="C61" s="191"/>
      <c r="D61" s="179">
        <f t="shared" si="4"/>
        <v>0</v>
      </c>
      <c r="E61" s="193"/>
      <c r="F61" s="232"/>
      <c r="G61" s="206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0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">
      <c r="A62" s="180">
        <f>'Données projet'!A70</f>
        <v>50</v>
      </c>
      <c r="B62" s="181">
        <f>'Données projet'!D70</f>
        <v>19</v>
      </c>
      <c r="C62" s="191"/>
      <c r="D62" s="179">
        <f t="shared" si="4"/>
        <v>0</v>
      </c>
      <c r="E62" s="193"/>
      <c r="F62" s="232"/>
      <c r="G62" s="206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0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">
      <c r="A63" s="180">
        <f>'Données projet'!A71</f>
        <v>55</v>
      </c>
      <c r="B63" s="181">
        <f>'Données projet'!D71</f>
        <v>16</v>
      </c>
      <c r="C63" s="191"/>
      <c r="D63" s="179">
        <f t="shared" si="4"/>
        <v>0</v>
      </c>
      <c r="E63" s="193"/>
      <c r="F63" s="232"/>
      <c r="G63" s="206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0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">
      <c r="A64" s="180">
        <f>'Données projet'!A72</f>
        <v>60</v>
      </c>
      <c r="B64" s="181">
        <f>'Données projet'!D72</f>
        <v>14</v>
      </c>
      <c r="C64" s="191"/>
      <c r="D64" s="179">
        <f t="shared" si="4"/>
        <v>0</v>
      </c>
      <c r="E64" s="193"/>
      <c r="F64" s="232"/>
      <c r="G64" s="206"/>
      <c r="H64" s="190"/>
      <c r="I64" s="191"/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0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">
      <c r="A65" s="180">
        <f>'Données projet'!A73</f>
        <v>65</v>
      </c>
      <c r="B65" s="181">
        <f>'Données projet'!D73</f>
        <v>13</v>
      </c>
      <c r="C65" s="191"/>
      <c r="D65" s="179">
        <f t="shared" si="4"/>
        <v>0</v>
      </c>
      <c r="E65" s="193"/>
      <c r="F65" s="232"/>
      <c r="G65" s="206"/>
      <c r="H65" s="190"/>
      <c r="I65" s="191"/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0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">
      <c r="A66" s="180">
        <f>'Données projet'!A74</f>
        <v>70</v>
      </c>
      <c r="B66" s="181">
        <f>'Données projet'!D74</f>
        <v>13</v>
      </c>
      <c r="C66" s="191"/>
      <c r="D66" s="179">
        <f t="shared" si="4"/>
        <v>0</v>
      </c>
      <c r="E66" s="193"/>
      <c r="F66" s="232"/>
      <c r="G66" s="206"/>
      <c r="H66" s="190"/>
      <c r="I66" s="191"/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0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">
      <c r="A67" s="180">
        <f>'Données projet'!A75</f>
        <v>75</v>
      </c>
      <c r="B67" s="181">
        <f>'Données projet'!D75</f>
        <v>12</v>
      </c>
      <c r="C67" s="191"/>
      <c r="D67" s="179">
        <f t="shared" si="4"/>
        <v>0</v>
      </c>
      <c r="E67" s="193"/>
      <c r="F67" s="232"/>
      <c r="G67" s="206"/>
      <c r="H67" s="190"/>
      <c r="I67" s="191"/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0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">
      <c r="A68" s="180">
        <f>'Données projet'!A76</f>
        <v>80</v>
      </c>
      <c r="B68" s="181">
        <f>'Données projet'!D76</f>
        <v>11</v>
      </c>
      <c r="C68" s="191"/>
      <c r="D68" s="179">
        <f t="shared" si="4"/>
        <v>0</v>
      </c>
      <c r="E68" s="193"/>
      <c r="F68" s="232"/>
      <c r="G68" s="206"/>
      <c r="H68" s="190"/>
      <c r="I68" s="191"/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0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">
      <c r="A69" s="180">
        <f>'Données projet'!A77</f>
        <v>0</v>
      </c>
      <c r="B69" s="181">
        <f>'Données projet'!D77</f>
        <v>0</v>
      </c>
      <c r="C69" s="191"/>
      <c r="D69" s="179">
        <f t="shared" si="4"/>
        <v>0</v>
      </c>
      <c r="E69" s="193"/>
      <c r="F69" s="232"/>
      <c r="G69" s="206"/>
      <c r="H69" s="190"/>
      <c r="I69" s="191"/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0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">
      <c r="A70" s="180">
        <f>'Données projet'!A78</f>
        <v>0</v>
      </c>
      <c r="B70" s="181">
        <f>'Données projet'!D78</f>
        <v>0</v>
      </c>
      <c r="C70" s="191"/>
      <c r="D70" s="179">
        <f t="shared" si="4"/>
        <v>0</v>
      </c>
      <c r="E70" s="193"/>
      <c r="F70" s="232"/>
      <c r="G70" s="206"/>
      <c r="H70" s="190"/>
      <c r="I70" s="191"/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0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">
      <c r="A71" s="180">
        <f>'Données projet'!A79</f>
        <v>0</v>
      </c>
      <c r="B71" s="181">
        <f>'Données projet'!D79</f>
        <v>0</v>
      </c>
      <c r="C71" s="191"/>
      <c r="D71" s="179">
        <f t="shared" si="4"/>
        <v>0</v>
      </c>
      <c r="E71" s="193"/>
      <c r="F71" s="232"/>
      <c r="G71" s="206"/>
      <c r="H71" s="190"/>
      <c r="I71" s="191"/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0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/>
      <c r="I72" s="191"/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0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0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5"/>
        <v>0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5"/>
        <v>0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">
      <c r="A76" s="46" t="s">
        <v>20</v>
      </c>
      <c r="B76" s="174" t="str">
        <f>IF('Données projet'!B11="","",'Données projet'!B11)</f>
        <v>Charme</v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5"/>
        <v>0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5"/>
        <v>0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">
      <c r="A78" s="36" t="s">
        <v>49</v>
      </c>
      <c r="B78" s="48" t="s">
        <v>307</v>
      </c>
      <c r="C78" s="48" t="s">
        <v>308</v>
      </c>
      <c r="D78" s="36" t="s">
        <v>309</v>
      </c>
      <c r="E78" s="36" t="s">
        <v>310</v>
      </c>
      <c r="F78" s="231"/>
      <c r="G78" s="206"/>
      <c r="H78" s="190"/>
      <c r="I78" s="191"/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5"/>
        <v>0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">
      <c r="A79" s="49">
        <v>0</v>
      </c>
      <c r="B79" s="199" t="s">
        <v>194</v>
      </c>
      <c r="C79" s="198" t="s">
        <v>194</v>
      </c>
      <c r="D79" s="197" t="s">
        <v>194</v>
      </c>
      <c r="E79" s="193">
        <v>2241.9079000000002</v>
      </c>
      <c r="F79" s="231"/>
      <c r="G79" s="206"/>
      <c r="H79" s="190"/>
      <c r="I79" s="191"/>
      <c r="J79" s="4"/>
      <c r="K79" s="173"/>
      <c r="L79" s="4"/>
      <c r="M79" s="4"/>
      <c r="N79" s="4"/>
      <c r="O79" s="194" t="str">
        <f>IF(O78+1&lt;=MIN('Données projet'!$E$9:$E$18),O78+1,"STOP")</f>
        <v>STOP</v>
      </c>
      <c r="P79" s="185" t="e">
        <f t="shared" si="5"/>
        <v>#VALUE!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">
      <c r="A80" s="49">
        <v>1</v>
      </c>
      <c r="B80" s="199" t="s">
        <v>194</v>
      </c>
      <c r="C80" s="198" t="s">
        <v>194</v>
      </c>
      <c r="D80" s="197" t="s">
        <v>194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 t="e">
        <f>IF(O79+1&lt;=MIN('Données projet'!$E$9:$E$18),O79+1,"STOP")</f>
        <v>#VALUE!</v>
      </c>
      <c r="P80" s="185" t="e">
        <f t="shared" si="5"/>
        <v>#VALUE!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">
      <c r="A81" s="49">
        <v>2</v>
      </c>
      <c r="B81" s="199" t="s">
        <v>194</v>
      </c>
      <c r="C81" s="198" t="s">
        <v>194</v>
      </c>
      <c r="D81" s="197" t="s">
        <v>194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 t="e">
        <f>IF(O80+1&lt;=MIN('Données projet'!$E$9:$E$18),O80+1,"STOP")</f>
        <v>#VALUE!</v>
      </c>
      <c r="P81" s="185" t="e">
        <f t="shared" si="5"/>
        <v>#VALUE!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">
      <c r="A82" s="49">
        <v>3</v>
      </c>
      <c r="B82" s="199" t="s">
        <v>194</v>
      </c>
      <c r="C82" s="198" t="s">
        <v>194</v>
      </c>
      <c r="D82" s="197" t="s">
        <v>194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 t="e">
        <f>IF(O81+1&lt;=MIN('Données projet'!$E$9:$E$18),O81+1,"STOP")</f>
        <v>#VALUE!</v>
      </c>
      <c r="P82" s="185" t="e">
        <f t="shared" si="5"/>
        <v>#VALUE!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">
      <c r="A83" s="49">
        <v>4</v>
      </c>
      <c r="B83" s="199" t="s">
        <v>194</v>
      </c>
      <c r="C83" s="198" t="s">
        <v>194</v>
      </c>
      <c r="D83" s="197" t="s">
        <v>194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 t="e">
        <f>IF(O82+1&lt;=MIN('Données projet'!$E$9:$E$18),O82+1,"STOP")</f>
        <v>#VALUE!</v>
      </c>
      <c r="P83" s="185" t="e">
        <f t="shared" si="5"/>
        <v>#VALUE!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">
      <c r="A84" s="49">
        <v>5</v>
      </c>
      <c r="B84" s="199" t="s">
        <v>194</v>
      </c>
      <c r="C84" s="198" t="s">
        <v>194</v>
      </c>
      <c r="D84" s="197" t="s">
        <v>194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 t="e">
        <f>IF(O83+1&lt;=MIN('Données projet'!$E$9:$E$18),O83+1,"STOP")</f>
        <v>#VALUE!</v>
      </c>
      <c r="P84" s="185" t="e">
        <f t="shared" si="5"/>
        <v>#VALUE!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">
      <c r="A85" s="180">
        <f>'Données projet'!A88</f>
        <v>10</v>
      </c>
      <c r="B85" s="181">
        <f>'Données projet'!D88</f>
        <v>9</v>
      </c>
      <c r="C85" s="191">
        <v>15</v>
      </c>
      <c r="D85" s="179">
        <f>B85*C85</f>
        <v>135</v>
      </c>
      <c r="E85" s="193"/>
      <c r="F85" s="232"/>
      <c r="G85" s="205"/>
      <c r="H85" s="190"/>
      <c r="I85" s="191"/>
      <c r="J85" s="4"/>
      <c r="K85" s="173"/>
      <c r="L85" s="4"/>
      <c r="M85" s="4"/>
      <c r="N85" s="4"/>
      <c r="O85" s="194" t="e">
        <f>IF(O84+1&lt;=MIN('Données projet'!$E$9:$E$18),O84+1,"STOP")</f>
        <v>#VALUE!</v>
      </c>
      <c r="P85" s="185" t="e">
        <f t="shared" si="5"/>
        <v>#VALUE!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">
      <c r="A86" s="180">
        <f>'Données projet'!A89</f>
        <v>15</v>
      </c>
      <c r="B86" s="181">
        <f>'Données projet'!D89</f>
        <v>16</v>
      </c>
      <c r="C86" s="191">
        <v>15</v>
      </c>
      <c r="D86" s="179">
        <f t="shared" ref="D86:D104" si="6">B86*C86</f>
        <v>240</v>
      </c>
      <c r="E86" s="193"/>
      <c r="F86" s="232"/>
      <c r="G86" s="205"/>
      <c r="H86" s="190"/>
      <c r="I86" s="191"/>
      <c r="J86" s="4"/>
      <c r="K86" s="173"/>
      <c r="L86" s="4"/>
      <c r="M86" s="4"/>
      <c r="N86" s="4"/>
      <c r="O86" s="194" t="e">
        <f>IF(O85+1&lt;=MIN('Données projet'!$E$9:$E$18),O85+1,"STOP")</f>
        <v>#VALUE!</v>
      </c>
      <c r="P86" s="185" t="e">
        <f t="shared" si="5"/>
        <v>#VALUE!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">
      <c r="A87" s="180">
        <f>'Données projet'!A90</f>
        <v>20</v>
      </c>
      <c r="B87" s="181">
        <f>'Données projet'!D90</f>
        <v>22</v>
      </c>
      <c r="C87" s="191">
        <v>15</v>
      </c>
      <c r="D87" s="179">
        <f t="shared" si="6"/>
        <v>330</v>
      </c>
      <c r="E87" s="193"/>
      <c r="F87" s="232"/>
      <c r="G87" s="205"/>
      <c r="H87" s="190"/>
      <c r="I87" s="191"/>
      <c r="J87" s="4"/>
      <c r="K87" s="173"/>
      <c r="L87" s="4"/>
      <c r="M87" s="4"/>
      <c r="N87" s="4"/>
      <c r="O87" s="194" t="e">
        <f>IF(O86+1&lt;=MIN('Données projet'!$E$9:$E$18),O86+1,"STOP")</f>
        <v>#VALUE!</v>
      </c>
      <c r="P87" s="185" t="e">
        <f t="shared" si="5"/>
        <v>#VALUE!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">
      <c r="A88" s="180">
        <f>'Données projet'!A91</f>
        <v>25</v>
      </c>
      <c r="B88" s="181">
        <f>'Données projet'!D91</f>
        <v>25</v>
      </c>
      <c r="C88" s="191">
        <v>15</v>
      </c>
      <c r="D88" s="179">
        <f t="shared" si="6"/>
        <v>375</v>
      </c>
      <c r="E88" s="193"/>
      <c r="F88" s="232"/>
      <c r="G88" s="205"/>
      <c r="H88" s="190"/>
      <c r="I88" s="191"/>
      <c r="J88" s="4"/>
      <c r="K88" s="173"/>
      <c r="L88" s="4"/>
      <c r="M88" s="4"/>
      <c r="N88" s="4"/>
      <c r="O88" s="194" t="e">
        <f>IF(O87+1&lt;=MIN('Données projet'!$E$9:$E$18),O87+1,"STOP")</f>
        <v>#VALUE!</v>
      </c>
      <c r="P88" s="185" t="e">
        <f t="shared" si="5"/>
        <v>#VALUE!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">
      <c r="A89" s="180">
        <f>'Données projet'!A92</f>
        <v>30</v>
      </c>
      <c r="B89" s="181">
        <f>'Données projet'!D92</f>
        <v>27</v>
      </c>
      <c r="C89" s="191">
        <v>15</v>
      </c>
      <c r="D89" s="179">
        <f t="shared" si="6"/>
        <v>405</v>
      </c>
      <c r="E89" s="193"/>
      <c r="F89" s="232"/>
      <c r="G89" s="205"/>
      <c r="H89" s="190"/>
      <c r="I89" s="191"/>
      <c r="J89" s="4"/>
      <c r="K89" s="173"/>
      <c r="L89" s="4"/>
      <c r="M89" s="4"/>
      <c r="N89" s="4"/>
      <c r="O89" s="194" t="e">
        <f>IF(O88+1&lt;=MIN('Données projet'!$E$9:$E$18),O88+1,"STOP")</f>
        <v>#VALUE!</v>
      </c>
      <c r="P89" s="185" t="e">
        <f t="shared" si="5"/>
        <v>#VALUE!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">
      <c r="A90" s="180">
        <f>'Données projet'!A93</f>
        <v>35</v>
      </c>
      <c r="B90" s="181">
        <f>'Données projet'!D93</f>
        <v>29</v>
      </c>
      <c r="C90" s="191"/>
      <c r="D90" s="179">
        <f t="shared" si="6"/>
        <v>0</v>
      </c>
      <c r="E90" s="193"/>
      <c r="F90" s="232"/>
      <c r="G90" s="205"/>
      <c r="H90" s="190"/>
      <c r="I90" s="191"/>
      <c r="J90" s="4"/>
      <c r="K90" s="173"/>
      <c r="L90" s="4"/>
      <c r="M90" s="4"/>
      <c r="N90" s="4"/>
      <c r="O90" s="194" t="e">
        <f>IF(O89+1&lt;=MIN('Données projet'!$E$9:$E$18),O89+1,"STOP")</f>
        <v>#VALUE!</v>
      </c>
      <c r="P90" s="185" t="e">
        <f t="shared" si="5"/>
        <v>#VALUE!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">
      <c r="A91" s="180">
        <f>'Données projet'!A94</f>
        <v>40</v>
      </c>
      <c r="B91" s="181">
        <f>'Données projet'!D94</f>
        <v>29</v>
      </c>
      <c r="C91" s="191"/>
      <c r="D91" s="179">
        <f t="shared" si="6"/>
        <v>0</v>
      </c>
      <c r="E91" s="193"/>
      <c r="F91" s="232"/>
      <c r="G91" s="206"/>
      <c r="H91" s="190"/>
      <c r="I91" s="191"/>
      <c r="J91" s="4"/>
      <c r="K91" s="173"/>
      <c r="L91" s="4"/>
      <c r="M91" s="4"/>
      <c r="N91" s="4"/>
      <c r="O91" s="194" t="e">
        <f>IF(O90+1&lt;=MIN('Données projet'!$E$9:$E$18),O90+1,"STOP")</f>
        <v>#VALUE!</v>
      </c>
      <c r="P91" s="185" t="e">
        <f t="shared" si="5"/>
        <v>#VALUE!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">
      <c r="A92" s="180">
        <f>'Données projet'!A95</f>
        <v>45</v>
      </c>
      <c r="B92" s="181">
        <f>'Données projet'!D95</f>
        <v>30</v>
      </c>
      <c r="C92" s="191"/>
      <c r="D92" s="179">
        <f t="shared" si="6"/>
        <v>0</v>
      </c>
      <c r="E92" s="193"/>
      <c r="F92" s="232"/>
      <c r="G92" s="206"/>
      <c r="H92" s="190"/>
      <c r="I92" s="191"/>
      <c r="J92" s="4"/>
      <c r="K92" s="173"/>
      <c r="L92" s="4"/>
      <c r="M92" s="4"/>
      <c r="N92" s="4"/>
      <c r="O92" s="194" t="e">
        <f>IF(O91+1&lt;=MIN('Données projet'!$E$9:$E$18),O91+1,"STOP")</f>
        <v>#VALUE!</v>
      </c>
      <c r="P92" s="185" t="e">
        <f t="shared" si="5"/>
        <v>#VALUE!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">
      <c r="A93" s="180">
        <f>'Données projet'!A96</f>
        <v>50</v>
      </c>
      <c r="B93" s="181">
        <f>'Données projet'!D96</f>
        <v>30</v>
      </c>
      <c r="C93" s="191"/>
      <c r="D93" s="179">
        <f t="shared" si="6"/>
        <v>0</v>
      </c>
      <c r="E93" s="193"/>
      <c r="F93" s="232"/>
      <c r="G93" s="206"/>
      <c r="H93" s="190"/>
      <c r="I93" s="191"/>
      <c r="J93" s="4"/>
      <c r="K93" s="173"/>
      <c r="L93" s="4"/>
      <c r="M93" s="4"/>
      <c r="N93" s="4"/>
      <c r="O93" s="194" t="e">
        <f>IF(O92+1&lt;=MIN('Données projet'!$E$9:$E$18),O92+1,"STOP")</f>
        <v>#VALUE!</v>
      </c>
      <c r="P93" s="185" t="e">
        <f t="shared" si="5"/>
        <v>#VALUE!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">
      <c r="A94" s="180">
        <f>'Données projet'!A97</f>
        <v>55</v>
      </c>
      <c r="B94" s="181">
        <f>'Données projet'!D97</f>
        <v>29</v>
      </c>
      <c r="C94" s="191"/>
      <c r="D94" s="179">
        <f t="shared" si="6"/>
        <v>0</v>
      </c>
      <c r="E94" s="193"/>
      <c r="F94" s="232"/>
      <c r="G94" s="206"/>
      <c r="H94" s="190"/>
      <c r="I94" s="191"/>
      <c r="J94" s="4"/>
      <c r="K94" s="173"/>
      <c r="L94" s="4"/>
      <c r="M94" s="4"/>
      <c r="N94" s="4"/>
      <c r="O94" s="194" t="e">
        <f>IF(O93+1&lt;=MIN('Données projet'!$E$9:$E$18),O93+1,"STOP")</f>
        <v>#VALUE!</v>
      </c>
      <c r="P94" s="185" t="e">
        <f t="shared" si="5"/>
        <v>#VALUE!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">
      <c r="A95" s="180">
        <f>'Données projet'!A98</f>
        <v>60</v>
      </c>
      <c r="B95" s="181">
        <f>'Données projet'!D98</f>
        <v>29</v>
      </c>
      <c r="C95" s="191"/>
      <c r="D95" s="179">
        <f t="shared" si="6"/>
        <v>0</v>
      </c>
      <c r="E95" s="193"/>
      <c r="F95" s="232"/>
      <c r="G95" s="206"/>
      <c r="H95" s="190"/>
      <c r="I95" s="191"/>
      <c r="J95" s="4"/>
      <c r="K95" s="173"/>
      <c r="L95" s="4"/>
      <c r="M95" s="4"/>
      <c r="N95" s="4"/>
      <c r="O95" s="194" t="e">
        <f>IF(O94+1&lt;=MIN('Données projet'!$E$9:$E$18),O94+1,"STOP")</f>
        <v>#VALUE!</v>
      </c>
      <c r="P95" s="185" t="e">
        <f t="shared" si="5"/>
        <v>#VALUE!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">
      <c r="A96" s="180">
        <f>'Données projet'!A99</f>
        <v>65</v>
      </c>
      <c r="B96" s="181">
        <f>'Données projet'!D99</f>
        <v>28</v>
      </c>
      <c r="C96" s="191"/>
      <c r="D96" s="179">
        <f t="shared" si="6"/>
        <v>0</v>
      </c>
      <c r="E96" s="193"/>
      <c r="F96" s="232"/>
      <c r="G96" s="206"/>
      <c r="H96" s="190"/>
      <c r="I96" s="191"/>
      <c r="J96" s="4"/>
      <c r="K96" s="173"/>
      <c r="L96" s="4"/>
      <c r="M96" s="4"/>
      <c r="N96" s="4"/>
      <c r="O96" s="194" t="e">
        <f>IF(O95+1&lt;=MIN('Données projet'!$E$9:$E$18),O95+1,"STOP")</f>
        <v>#VALUE!</v>
      </c>
      <c r="P96" s="185" t="e">
        <f t="shared" si="5"/>
        <v>#VALUE!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">
      <c r="A97" s="180">
        <f>'Données projet'!A100</f>
        <v>70</v>
      </c>
      <c r="B97" s="181">
        <f>'Données projet'!D100</f>
        <v>27</v>
      </c>
      <c r="C97" s="191"/>
      <c r="D97" s="179">
        <f t="shared" si="6"/>
        <v>0</v>
      </c>
      <c r="E97" s="193"/>
      <c r="F97" s="232"/>
      <c r="G97" s="206"/>
      <c r="H97" s="190"/>
      <c r="I97" s="191"/>
      <c r="J97" s="4"/>
      <c r="K97" s="173"/>
      <c r="L97" s="4"/>
      <c r="M97" s="4"/>
      <c r="N97" s="4"/>
      <c r="O97" s="194" t="e">
        <f>IF(O96+1&lt;=MIN('Données projet'!$E$9:$E$18),O96+1,"STOP")</f>
        <v>#VALUE!</v>
      </c>
      <c r="P97" s="185" t="e">
        <f t="shared" ref="P97:P128" si="7">$P$25/(1+$M$4)^O97</f>
        <v>#VALUE!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">
      <c r="A98" s="180">
        <f>'Données projet'!A101</f>
        <v>75</v>
      </c>
      <c r="B98" s="181">
        <f>'Données projet'!D101</f>
        <v>27</v>
      </c>
      <c r="C98" s="191"/>
      <c r="D98" s="179">
        <f t="shared" si="6"/>
        <v>0</v>
      </c>
      <c r="E98" s="193"/>
      <c r="F98" s="232"/>
      <c r="G98" s="206"/>
      <c r="H98" s="190"/>
      <c r="I98" s="191"/>
      <c r="J98" s="4"/>
      <c r="K98" s="173"/>
      <c r="L98" s="4"/>
      <c r="M98" s="4"/>
      <c r="N98" s="4"/>
      <c r="O98" s="194" t="e">
        <f>IF(O97+1&lt;=MIN('Données projet'!$E$9:$E$18),O97+1,"STOP")</f>
        <v>#VALUE!</v>
      </c>
      <c r="P98" s="185" t="e">
        <f t="shared" si="7"/>
        <v>#VALUE!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">
      <c r="A99" s="180">
        <f>'Données projet'!A102</f>
        <v>80</v>
      </c>
      <c r="B99" s="181">
        <f>'Données projet'!D102</f>
        <v>26</v>
      </c>
      <c r="C99" s="191"/>
      <c r="D99" s="179">
        <f t="shared" si="6"/>
        <v>0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 t="e">
        <f>IF(O98+1&lt;=MIN('Données projet'!$E$9:$E$18),O98+1,"STOP")</f>
        <v>#VALUE!</v>
      </c>
      <c r="P99" s="185" t="e">
        <f t="shared" si="7"/>
        <v>#VALUE!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">
      <c r="A100" s="180">
        <f>'Données projet'!A103</f>
        <v>85</v>
      </c>
      <c r="B100" s="181">
        <f>'Données projet'!D103</f>
        <v>25</v>
      </c>
      <c r="C100" s="191"/>
      <c r="D100" s="179">
        <f t="shared" si="6"/>
        <v>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 t="e">
        <f>IF(O99+1&lt;=MIN('Données projet'!$E$9:$E$18),O99+1,"STOP")</f>
        <v>#VALUE!</v>
      </c>
      <c r="P100" s="185" t="e">
        <f t="shared" si="7"/>
        <v>#VALUE!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">
      <c r="A101" s="180">
        <f>'Données projet'!A104</f>
        <v>90</v>
      </c>
      <c r="B101" s="181">
        <f>'Données projet'!D104</f>
        <v>24</v>
      </c>
      <c r="C101" s="191"/>
      <c r="D101" s="179">
        <f t="shared" si="6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 t="e">
        <f>IF(O100+1&lt;=MIN('Données projet'!$E$9:$E$18),O100+1,"STOP")</f>
        <v>#VALUE!</v>
      </c>
      <c r="P101" s="185" t="e">
        <f t="shared" si="7"/>
        <v>#VALUE!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">
      <c r="A102" s="180">
        <f>'Données projet'!A105</f>
        <v>95</v>
      </c>
      <c r="B102" s="181">
        <f>'Données projet'!D105</f>
        <v>23</v>
      </c>
      <c r="C102" s="191"/>
      <c r="D102" s="179">
        <f t="shared" si="6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 t="e">
        <f>IF(O101+1&lt;=MIN('Données projet'!$E$9:$E$18),O101+1,"STOP")</f>
        <v>#VALUE!</v>
      </c>
      <c r="P102" s="185" t="e">
        <f t="shared" si="7"/>
        <v>#VALUE!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">
      <c r="A103" s="180">
        <f>'Données projet'!A106</f>
        <v>100</v>
      </c>
      <c r="B103" s="181">
        <f>'Données projet'!D106</f>
        <v>22</v>
      </c>
      <c r="C103" s="191"/>
      <c r="D103" s="179">
        <f t="shared" si="6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 t="e">
        <f>IF(O102+1&lt;=MIN('Données projet'!$E$9:$E$18),O102+1,"STOP")</f>
        <v>#VALUE!</v>
      </c>
      <c r="P103" s="185" t="e">
        <f t="shared" si="7"/>
        <v>#VALUE!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">
      <c r="A104" s="180">
        <f>'Données projet'!A107</f>
        <v>105</v>
      </c>
      <c r="B104" s="181">
        <f>'Données projet'!D107</f>
        <v>21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7"/>
        <v>#VALUE!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7"/>
        <v>#VALUE!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7"/>
        <v>#VALUE!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">
      <c r="A107" s="46" t="s">
        <v>22</v>
      </c>
      <c r="B107" s="174" t="str">
        <f>IF('Données projet'!B12="","",'Données projet'!B12)</f>
        <v>Chêne sessile</v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7"/>
        <v>#VALUE!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7"/>
        <v>#VALUE!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">
      <c r="A109" s="36" t="s">
        <v>49</v>
      </c>
      <c r="B109" s="48" t="s">
        <v>307</v>
      </c>
      <c r="C109" s="48" t="s">
        <v>308</v>
      </c>
      <c r="D109" s="36" t="s">
        <v>309</v>
      </c>
      <c r="E109" s="36" t="s">
        <v>310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7"/>
        <v>#VALUE!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">
      <c r="A110" s="49">
        <v>0</v>
      </c>
      <c r="B110" s="199" t="s">
        <v>194</v>
      </c>
      <c r="C110" s="198" t="s">
        <v>194</v>
      </c>
      <c r="D110" s="197" t="s">
        <v>194</v>
      </c>
      <c r="E110" s="193">
        <v>2241.9911999999999</v>
      </c>
      <c r="F110" s="231"/>
      <c r="G110" s="206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7"/>
        <v>#VALUE!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">
      <c r="A111" s="49">
        <v>1</v>
      </c>
      <c r="B111" s="199" t="s">
        <v>194</v>
      </c>
      <c r="C111" s="198" t="s">
        <v>194</v>
      </c>
      <c r="D111" s="197" t="s">
        <v>194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7"/>
        <v>#VALUE!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">
      <c r="A112" s="49">
        <v>2</v>
      </c>
      <c r="B112" s="199" t="s">
        <v>194</v>
      </c>
      <c r="C112" s="198" t="s">
        <v>194</v>
      </c>
      <c r="D112" s="197" t="s">
        <v>194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7"/>
        <v>#VALUE!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">
      <c r="A113" s="49">
        <v>3</v>
      </c>
      <c r="B113" s="199" t="s">
        <v>194</v>
      </c>
      <c r="C113" s="198" t="s">
        <v>194</v>
      </c>
      <c r="D113" s="197" t="s">
        <v>194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7"/>
        <v>#VALUE!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">
      <c r="A114" s="49">
        <v>4</v>
      </c>
      <c r="B114" s="199" t="s">
        <v>194</v>
      </c>
      <c r="C114" s="198" t="s">
        <v>194</v>
      </c>
      <c r="D114" s="197" t="s">
        <v>194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">
      <c r="A115" s="49">
        <v>5</v>
      </c>
      <c r="B115" s="199" t="s">
        <v>194</v>
      </c>
      <c r="C115" s="198" t="s">
        <v>194</v>
      </c>
      <c r="D115" s="197" t="s">
        <v>194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">
      <c r="A116" s="180">
        <f>'Données projet'!A114</f>
        <v>20</v>
      </c>
      <c r="B116" s="181">
        <f>'Données projet'!D114</f>
        <v>0</v>
      </c>
      <c r="C116" s="191"/>
      <c r="D116" s="179">
        <f>B116*C116</f>
        <v>0</v>
      </c>
      <c r="E116" s="193"/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">
      <c r="A117" s="180">
        <f>'Données projet'!A115</f>
        <v>25</v>
      </c>
      <c r="B117" s="181">
        <f>'Données projet'!D115</f>
        <v>8</v>
      </c>
      <c r="C117" s="191">
        <v>15</v>
      </c>
      <c r="D117" s="179">
        <f t="shared" ref="D117:D135" si="8">B117*C117</f>
        <v>120</v>
      </c>
      <c r="E117" s="193"/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">
      <c r="A118" s="180">
        <f>'Données projet'!A116</f>
        <v>30</v>
      </c>
      <c r="B118" s="181">
        <f>'Données projet'!D116</f>
        <v>21</v>
      </c>
      <c r="C118" s="191">
        <v>15</v>
      </c>
      <c r="D118" s="179">
        <f t="shared" si="8"/>
        <v>315</v>
      </c>
      <c r="E118" s="193"/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">
      <c r="A119" s="180">
        <f>'Données projet'!A117</f>
        <v>35</v>
      </c>
      <c r="B119" s="181">
        <f>'Données projet'!D117</f>
        <v>21</v>
      </c>
      <c r="C119" s="191"/>
      <c r="D119" s="179">
        <f t="shared" si="8"/>
        <v>0</v>
      </c>
      <c r="E119" s="193"/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">
      <c r="A120" s="180">
        <f>'Données projet'!A118</f>
        <v>40</v>
      </c>
      <c r="B120" s="181">
        <f>'Données projet'!D118</f>
        <v>21</v>
      </c>
      <c r="C120" s="191"/>
      <c r="D120" s="179">
        <f t="shared" si="8"/>
        <v>0</v>
      </c>
      <c r="E120" s="193"/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">
      <c r="A121" s="180">
        <f>'Données projet'!A119</f>
        <v>45</v>
      </c>
      <c r="B121" s="181">
        <f>'Données projet'!D119</f>
        <v>21</v>
      </c>
      <c r="C121" s="191"/>
      <c r="D121" s="179">
        <f t="shared" si="8"/>
        <v>0</v>
      </c>
      <c r="E121" s="193"/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">
      <c r="A122" s="180">
        <f>'Données projet'!A120</f>
        <v>50</v>
      </c>
      <c r="B122" s="181">
        <f>'Données projet'!D120</f>
        <v>21</v>
      </c>
      <c r="C122" s="191"/>
      <c r="D122" s="179">
        <f t="shared" si="8"/>
        <v>0</v>
      </c>
      <c r="E122" s="193"/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">
      <c r="A123" s="180">
        <f>'Données projet'!A121</f>
        <v>55</v>
      </c>
      <c r="B123" s="181">
        <f>'Données projet'!D121</f>
        <v>21</v>
      </c>
      <c r="C123" s="191"/>
      <c r="D123" s="179">
        <f t="shared" si="8"/>
        <v>0</v>
      </c>
      <c r="E123" s="193"/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">
      <c r="A124" s="180">
        <f>'Données projet'!A122</f>
        <v>60</v>
      </c>
      <c r="B124" s="181">
        <f>'Données projet'!D122</f>
        <v>21</v>
      </c>
      <c r="C124" s="191"/>
      <c r="D124" s="179">
        <f t="shared" si="8"/>
        <v>0</v>
      </c>
      <c r="E124" s="193"/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">
      <c r="A125" s="180">
        <f>'Données projet'!A123</f>
        <v>65</v>
      </c>
      <c r="B125" s="181">
        <f>'Données projet'!D123</f>
        <v>21</v>
      </c>
      <c r="C125" s="191"/>
      <c r="D125" s="179">
        <f t="shared" si="8"/>
        <v>0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">
      <c r="A126" s="180">
        <f>'Données projet'!A124</f>
        <v>70</v>
      </c>
      <c r="B126" s="181">
        <f>'Données projet'!D124</f>
        <v>21</v>
      </c>
      <c r="C126" s="191"/>
      <c r="D126" s="179">
        <f t="shared" si="8"/>
        <v>0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">
      <c r="A127" s="180">
        <f>'Données projet'!A125</f>
        <v>75</v>
      </c>
      <c r="B127" s="181">
        <f>'Données projet'!D125</f>
        <v>21</v>
      </c>
      <c r="C127" s="191"/>
      <c r="D127" s="179">
        <f t="shared" si="8"/>
        <v>0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">
      <c r="A128" s="180">
        <f>'Données projet'!A126</f>
        <v>80</v>
      </c>
      <c r="B128" s="181">
        <f>'Données projet'!D126</f>
        <v>21</v>
      </c>
      <c r="C128" s="191"/>
      <c r="D128" s="179">
        <f t="shared" si="8"/>
        <v>0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">
      <c r="A129" s="180">
        <f>'Données projet'!A127</f>
        <v>85</v>
      </c>
      <c r="B129" s="181">
        <f>'Données projet'!D127</f>
        <v>21</v>
      </c>
      <c r="C129" s="191"/>
      <c r="D129" s="179">
        <f t="shared" si="8"/>
        <v>0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">
      <c r="A130" s="180">
        <f>'Données projet'!A128</f>
        <v>90</v>
      </c>
      <c r="B130" s="181">
        <f>'Données projet'!D128</f>
        <v>21</v>
      </c>
      <c r="C130" s="191"/>
      <c r="D130" s="179">
        <f t="shared" si="8"/>
        <v>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">
      <c r="A131" s="180">
        <f>'Données projet'!A129</f>
        <v>95</v>
      </c>
      <c r="B131" s="181">
        <f>'Données projet'!D129</f>
        <v>21</v>
      </c>
      <c r="C131" s="191"/>
      <c r="D131" s="179">
        <f t="shared" si="8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">
      <c r="A132" s="180">
        <f>'Données projet'!A130</f>
        <v>100</v>
      </c>
      <c r="B132" s="181">
        <f>'Données projet'!D130</f>
        <v>21</v>
      </c>
      <c r="C132" s="191"/>
      <c r="D132" s="179">
        <f t="shared" si="8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">
      <c r="A133" s="180">
        <f>'Données projet'!A131</f>
        <v>105</v>
      </c>
      <c r="B133" s="181">
        <f>'Données projet'!D131</f>
        <v>20</v>
      </c>
      <c r="C133" s="191"/>
      <c r="D133" s="179">
        <f t="shared" si="8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">
      <c r="A134" s="180">
        <f>'Données projet'!A132</f>
        <v>110</v>
      </c>
      <c r="B134" s="181">
        <f>'Données projet'!D132</f>
        <v>19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">
      <c r="A135" s="180">
        <f>'Données projet'!A133</f>
        <v>115</v>
      </c>
      <c r="B135" s="181">
        <f>'Données projet'!D133</f>
        <v>18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">
      <c r="A138" s="46" t="s">
        <v>24</v>
      </c>
      <c r="B138" s="174" t="str">
        <f>IF('Données projet'!B13="","",'Données projet'!B13)</f>
        <v/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">
      <c r="A140" s="36" t="s">
        <v>49</v>
      </c>
      <c r="B140" s="48" t="s">
        <v>307</v>
      </c>
      <c r="C140" s="48" t="s">
        <v>308</v>
      </c>
      <c r="D140" s="36" t="s">
        <v>309</v>
      </c>
      <c r="E140" s="36" t="s">
        <v>310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">
      <c r="A141" s="49">
        <v>0</v>
      </c>
      <c r="B141" s="199" t="s">
        <v>194</v>
      </c>
      <c r="C141" s="198" t="s">
        <v>194</v>
      </c>
      <c r="D141" s="197" t="s">
        <v>194</v>
      </c>
      <c r="E141" s="193"/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">
      <c r="A142" s="49">
        <v>1</v>
      </c>
      <c r="B142" s="199" t="s">
        <v>194</v>
      </c>
      <c r="C142" s="198" t="s">
        <v>194</v>
      </c>
      <c r="D142" s="197" t="s">
        <v>194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">
      <c r="A143" s="49">
        <v>2</v>
      </c>
      <c r="B143" s="199" t="s">
        <v>194</v>
      </c>
      <c r="C143" s="198" t="s">
        <v>194</v>
      </c>
      <c r="D143" s="197" t="s">
        <v>194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">
      <c r="A144" s="49">
        <v>3</v>
      </c>
      <c r="B144" s="199" t="s">
        <v>194</v>
      </c>
      <c r="C144" s="198" t="s">
        <v>194</v>
      </c>
      <c r="D144" s="197" t="s">
        <v>194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">
      <c r="A145" s="49">
        <v>4</v>
      </c>
      <c r="B145" s="199" t="s">
        <v>194</v>
      </c>
      <c r="C145" s="198" t="s">
        <v>194</v>
      </c>
      <c r="D145" s="197" t="s">
        <v>194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">
      <c r="A146" s="49">
        <v>5</v>
      </c>
      <c r="B146" s="199" t="s">
        <v>194</v>
      </c>
      <c r="C146" s="198" t="s">
        <v>194</v>
      </c>
      <c r="D146" s="197" t="s">
        <v>194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">
      <c r="A147" s="42">
        <f>'Données projet'!A140</f>
        <v>0</v>
      </c>
      <c r="B147" s="175">
        <f>'Données projet'!D140</f>
        <v>0</v>
      </c>
      <c r="C147" s="191"/>
      <c r="D147" s="182">
        <f>B147*C147</f>
        <v>0</v>
      </c>
      <c r="E147" s="193" t="s">
        <v>324</v>
      </c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">
      <c r="A148" s="42">
        <f>'Données projet'!A141</f>
        <v>0</v>
      </c>
      <c r="B148" s="175">
        <f>'Données projet'!D141</f>
        <v>0</v>
      </c>
      <c r="C148" s="191"/>
      <c r="D148" s="182">
        <f t="shared" ref="D148:D166" si="10">B148*C148</f>
        <v>0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">
      <c r="A149" s="42">
        <f>'Données projet'!A142</f>
        <v>0</v>
      </c>
      <c r="B149" s="175">
        <f>'Données projet'!D142</f>
        <v>0</v>
      </c>
      <c r="C149" s="191"/>
      <c r="D149" s="182">
        <f t="shared" si="10"/>
        <v>0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">
      <c r="A150" s="42">
        <f>'Données projet'!A143</f>
        <v>0</v>
      </c>
      <c r="B150" s="175">
        <f>'Données projet'!D143</f>
        <v>0</v>
      </c>
      <c r="C150" s="191"/>
      <c r="D150" s="182">
        <f t="shared" si="10"/>
        <v>0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">
      <c r="A151" s="42">
        <f>'Données projet'!A144</f>
        <v>0</v>
      </c>
      <c r="B151" s="175">
        <f>'Données projet'!D144</f>
        <v>0</v>
      </c>
      <c r="C151" s="191"/>
      <c r="D151" s="182">
        <f t="shared" si="10"/>
        <v>0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">
      <c r="A152" s="42">
        <f>'Données projet'!A145</f>
        <v>0</v>
      </c>
      <c r="B152" s="175">
        <f>'Données projet'!D145</f>
        <v>0</v>
      </c>
      <c r="C152" s="191"/>
      <c r="D152" s="182">
        <f t="shared" si="10"/>
        <v>0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">
      <c r="A153" s="42">
        <f>'Données projet'!A146</f>
        <v>0</v>
      </c>
      <c r="B153" s="175">
        <f>'Données projet'!D146</f>
        <v>0</v>
      </c>
      <c r="C153" s="191"/>
      <c r="D153" s="182">
        <f t="shared" si="10"/>
        <v>0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">
      <c r="A154" s="42">
        <f>'Données projet'!A147</f>
        <v>0</v>
      </c>
      <c r="B154" s="175">
        <f>'Données projet'!D147</f>
        <v>0</v>
      </c>
      <c r="C154" s="191"/>
      <c r="D154" s="182">
        <f t="shared" si="10"/>
        <v>0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">
      <c r="A155" s="42">
        <f>'Données projet'!A148</f>
        <v>0</v>
      </c>
      <c r="B155" s="175">
        <f>'Données projet'!D148</f>
        <v>0</v>
      </c>
      <c r="C155" s="191"/>
      <c r="D155" s="182">
        <f t="shared" si="10"/>
        <v>0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">
      <c r="A156" s="42">
        <f>'Données projet'!A149</f>
        <v>0</v>
      </c>
      <c r="B156" s="175">
        <f>'Données projet'!D149</f>
        <v>0</v>
      </c>
      <c r="C156" s="191"/>
      <c r="D156" s="182">
        <f t="shared" si="10"/>
        <v>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">
      <c r="A157" s="42">
        <f>'Données projet'!A150</f>
        <v>0</v>
      </c>
      <c r="B157" s="175">
        <f>'Données projet'!D150</f>
        <v>0</v>
      </c>
      <c r="C157" s="191"/>
      <c r="D157" s="182">
        <f t="shared" si="10"/>
        <v>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">
      <c r="A158" s="42">
        <f>'Données projet'!A151</f>
        <v>0</v>
      </c>
      <c r="B158" s="175">
        <f>'Données projet'!D151</f>
        <v>0</v>
      </c>
      <c r="C158" s="191"/>
      <c r="D158" s="182">
        <f t="shared" si="10"/>
        <v>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">
      <c r="A159" s="42">
        <f>'Données projet'!A152</f>
        <v>0</v>
      </c>
      <c r="B159" s="175">
        <f>'Données projet'!D152</f>
        <v>0</v>
      </c>
      <c r="C159" s="191"/>
      <c r="D159" s="182">
        <f t="shared" si="10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">
      <c r="A160" s="42">
        <f>'Données projet'!A153</f>
        <v>0</v>
      </c>
      <c r="B160" s="175">
        <f>'Données projet'!D153</f>
        <v>0</v>
      </c>
      <c r="C160" s="191"/>
      <c r="D160" s="182">
        <f t="shared" si="10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">
      <c r="A161" s="42">
        <f>'Données projet'!A154</f>
        <v>0</v>
      </c>
      <c r="B161" s="175">
        <f>'Données projet'!D154</f>
        <v>0</v>
      </c>
      <c r="C161" s="191"/>
      <c r="D161" s="182">
        <f t="shared" si="10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">
      <c r="A169" s="46" t="s">
        <v>26</v>
      </c>
      <c r="B169" s="174" t="str">
        <f>IF('Données projet'!B14="","",'Données projet'!B14)</f>
        <v/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">
      <c r="A171" s="36" t="s">
        <v>49</v>
      </c>
      <c r="B171" s="48" t="s">
        <v>307</v>
      </c>
      <c r="C171" s="48" t="s">
        <v>308</v>
      </c>
      <c r="D171" s="36" t="s">
        <v>309</v>
      </c>
      <c r="E171" s="36" t="s">
        <v>310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">
      <c r="A172" s="49">
        <v>0</v>
      </c>
      <c r="B172" s="199" t="s">
        <v>194</v>
      </c>
      <c r="C172" s="198" t="s">
        <v>194</v>
      </c>
      <c r="D172" s="197" t="s">
        <v>194</v>
      </c>
      <c r="E172" s="193"/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">
      <c r="A173" s="49">
        <v>1</v>
      </c>
      <c r="B173" s="199" t="s">
        <v>194</v>
      </c>
      <c r="C173" s="198" t="s">
        <v>194</v>
      </c>
      <c r="D173" s="197" t="s">
        <v>194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">
      <c r="A174" s="49">
        <v>2</v>
      </c>
      <c r="B174" s="199" t="s">
        <v>194</v>
      </c>
      <c r="C174" s="198" t="s">
        <v>194</v>
      </c>
      <c r="D174" s="197" t="s">
        <v>194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">
      <c r="A175" s="49">
        <v>3</v>
      </c>
      <c r="B175" s="199" t="s">
        <v>194</v>
      </c>
      <c r="C175" s="198" t="s">
        <v>194</v>
      </c>
      <c r="D175" s="197" t="s">
        <v>194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">
      <c r="A176" s="49">
        <v>4</v>
      </c>
      <c r="B176" s="199" t="s">
        <v>194</v>
      </c>
      <c r="C176" s="198" t="s">
        <v>194</v>
      </c>
      <c r="D176" s="197" t="s">
        <v>194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">
      <c r="A177" s="49">
        <v>5</v>
      </c>
      <c r="B177" s="199" t="s">
        <v>194</v>
      </c>
      <c r="C177" s="198" t="s">
        <v>194</v>
      </c>
      <c r="D177" s="197" t="s">
        <v>194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">
      <c r="A178" s="180">
        <f>'Données projet'!A166</f>
        <v>0</v>
      </c>
      <c r="B178" s="181">
        <f>'Données projet'!D166</f>
        <v>0</v>
      </c>
      <c r="C178" s="193"/>
      <c r="D178" s="179">
        <f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">
      <c r="A179" s="180">
        <f>'Données projet'!A167</f>
        <v>0</v>
      </c>
      <c r="B179" s="181">
        <f>'Données projet'!D167</f>
        <v>0</v>
      </c>
      <c r="C179" s="193"/>
      <c r="D179" s="179">
        <f t="shared" ref="D179:D197" si="11">B179*C179</f>
        <v>0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">
      <c r="A180" s="180">
        <f>'Données projet'!A168</f>
        <v>0</v>
      </c>
      <c r="B180" s="181">
        <f>'Données projet'!D168</f>
        <v>0</v>
      </c>
      <c r="C180" s="193"/>
      <c r="D180" s="179">
        <f t="shared" si="11"/>
        <v>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">
      <c r="A181" s="180">
        <f>'Données projet'!A169</f>
        <v>0</v>
      </c>
      <c r="B181" s="181">
        <f>'Données projet'!D169</f>
        <v>0</v>
      </c>
      <c r="C181" s="193"/>
      <c r="D181" s="179">
        <f t="shared" si="11"/>
        <v>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">
      <c r="A182" s="180">
        <f>'Données projet'!A170</f>
        <v>0</v>
      </c>
      <c r="B182" s="181">
        <f>'Données projet'!D170</f>
        <v>0</v>
      </c>
      <c r="C182" s="193"/>
      <c r="D182" s="179">
        <f t="shared" si="11"/>
        <v>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">
      <c r="A183" s="180">
        <f>'Données projet'!A171</f>
        <v>0</v>
      </c>
      <c r="B183" s="181">
        <f>'Données projet'!D171</f>
        <v>0</v>
      </c>
      <c r="C183" s="193"/>
      <c r="D183" s="179">
        <f t="shared" si="11"/>
        <v>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">
      <c r="A184" s="180">
        <f>'Données projet'!A172</f>
        <v>0</v>
      </c>
      <c r="B184" s="181">
        <f>'Données projet'!D172</f>
        <v>0</v>
      </c>
      <c r="C184" s="193"/>
      <c r="D184" s="179">
        <f t="shared" si="11"/>
        <v>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">
      <c r="A185" s="180">
        <f>'Données projet'!A173</f>
        <v>0</v>
      </c>
      <c r="B185" s="181">
        <f>'Données projet'!D173</f>
        <v>0</v>
      </c>
      <c r="C185" s="193"/>
      <c r="D185" s="179">
        <f t="shared" si="11"/>
        <v>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">
      <c r="A186" s="180">
        <f>'Données projet'!A174</f>
        <v>0</v>
      </c>
      <c r="B186" s="181">
        <f>'Données projet'!D174</f>
        <v>0</v>
      </c>
      <c r="C186" s="193"/>
      <c r="D186" s="179">
        <f t="shared" si="11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">
      <c r="A187" s="180">
        <f>'Données projet'!A175</f>
        <v>0</v>
      </c>
      <c r="B187" s="181">
        <f>'Données projet'!D175</f>
        <v>0</v>
      </c>
      <c r="C187" s="193"/>
      <c r="D187" s="179">
        <f t="shared" si="11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">
      <c r="A188" s="180">
        <f>'Données projet'!A176</f>
        <v>0</v>
      </c>
      <c r="B188" s="181">
        <f>'Données projet'!D176</f>
        <v>0</v>
      </c>
      <c r="C188" s="193"/>
      <c r="D188" s="179">
        <f t="shared" si="11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">
      <c r="A189" s="180">
        <f>'Données projet'!A177</f>
        <v>0</v>
      </c>
      <c r="B189" s="181">
        <f>'Données projet'!D177</f>
        <v>0</v>
      </c>
      <c r="C189" s="193"/>
      <c r="D189" s="179">
        <f t="shared" si="11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">
      <c r="A190" s="180">
        <f>'Données projet'!A178</f>
        <v>0</v>
      </c>
      <c r="B190" s="181">
        <f>'Données projet'!D178</f>
        <v>0</v>
      </c>
      <c r="C190" s="193"/>
      <c r="D190" s="179">
        <f t="shared" si="11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">
      <c r="A191" s="180">
        <f>'Données projet'!A179</f>
        <v>0</v>
      </c>
      <c r="B191" s="181">
        <f>'Données projet'!D179</f>
        <v>0</v>
      </c>
      <c r="C191" s="193"/>
      <c r="D191" s="179">
        <f t="shared" si="11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">
      <c r="A192" s="180">
        <f>'Données projet'!A180</f>
        <v>0</v>
      </c>
      <c r="B192" s="181">
        <f>'Données projet'!D180</f>
        <v>0</v>
      </c>
      <c r="C192" s="193"/>
      <c r="D192" s="179">
        <f t="shared" si="11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">
      <c r="A200" s="46" t="s">
        <v>27</v>
      </c>
      <c r="B200" s="174" t="str">
        <f>IF('Données projet'!$B$15="","",'Données projet'!$B$15)</f>
        <v/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">
      <c r="A202" s="36" t="s">
        <v>49</v>
      </c>
      <c r="B202" s="48" t="s">
        <v>307</v>
      </c>
      <c r="C202" s="48" t="s">
        <v>308</v>
      </c>
      <c r="D202" s="36" t="s">
        <v>309</v>
      </c>
      <c r="E202" s="36" t="s">
        <v>310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">
      <c r="A203" s="49">
        <v>0</v>
      </c>
      <c r="B203" s="199" t="s">
        <v>194</v>
      </c>
      <c r="C203" s="198" t="s">
        <v>194</v>
      </c>
      <c r="D203" s="197" t="s">
        <v>194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">
      <c r="A204" s="49">
        <v>1</v>
      </c>
      <c r="B204" s="199" t="s">
        <v>194</v>
      </c>
      <c r="C204" s="198" t="s">
        <v>194</v>
      </c>
      <c r="D204" s="197" t="s">
        <v>194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">
      <c r="A205" s="49">
        <v>2</v>
      </c>
      <c r="B205" s="199" t="s">
        <v>194</v>
      </c>
      <c r="C205" s="198" t="s">
        <v>194</v>
      </c>
      <c r="D205" s="197" t="s">
        <v>194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">
      <c r="A206" s="49">
        <v>3</v>
      </c>
      <c r="B206" s="199" t="s">
        <v>194</v>
      </c>
      <c r="C206" s="198" t="s">
        <v>194</v>
      </c>
      <c r="D206" s="197" t="s">
        <v>194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">
      <c r="A207" s="49">
        <v>4</v>
      </c>
      <c r="B207" s="199" t="s">
        <v>194</v>
      </c>
      <c r="C207" s="198" t="s">
        <v>194</v>
      </c>
      <c r="D207" s="197" t="s">
        <v>194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">
      <c r="A208" s="49">
        <v>5</v>
      </c>
      <c r="B208" s="199" t="s">
        <v>194</v>
      </c>
      <c r="C208" s="198" t="s">
        <v>194</v>
      </c>
      <c r="D208" s="197" t="s">
        <v>194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">
      <c r="A209" s="180">
        <f>'Données projet'!A192</f>
        <v>0</v>
      </c>
      <c r="B209" s="181">
        <f>'Données projet'!D192</f>
        <v>0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">
      <c r="A210" s="180">
        <f>'Données projet'!A193</f>
        <v>0</v>
      </c>
      <c r="B210" s="181">
        <f>'Données projet'!D193</f>
        <v>0</v>
      </c>
      <c r="C210" s="193"/>
      <c r="D210" s="179">
        <f t="shared" ref="D210:D228" si="12">B210*C210</f>
        <v>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">
      <c r="A211" s="180">
        <f>'Données projet'!A194</f>
        <v>0</v>
      </c>
      <c r="B211" s="181">
        <f>'Données projet'!D194</f>
        <v>0</v>
      </c>
      <c r="C211" s="193"/>
      <c r="D211" s="179">
        <f t="shared" si="12"/>
        <v>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">
      <c r="A212" s="180">
        <f>'Données projet'!A195</f>
        <v>0</v>
      </c>
      <c r="B212" s="181">
        <f>'Données projet'!D195</f>
        <v>0</v>
      </c>
      <c r="C212" s="193"/>
      <c r="D212" s="179">
        <f t="shared" si="12"/>
        <v>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">
      <c r="A213" s="180">
        <f>'Données projet'!A196</f>
        <v>0</v>
      </c>
      <c r="B213" s="181">
        <f>'Données projet'!D196</f>
        <v>0</v>
      </c>
      <c r="C213" s="193"/>
      <c r="D213" s="179">
        <f t="shared" si="12"/>
        <v>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">
      <c r="A214" s="180">
        <f>'Données projet'!A197</f>
        <v>0</v>
      </c>
      <c r="B214" s="181">
        <f>'Données projet'!D197</f>
        <v>0</v>
      </c>
      <c r="C214" s="193"/>
      <c r="D214" s="179">
        <f t="shared" si="12"/>
        <v>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">
      <c r="A215" s="180">
        <f>'Données projet'!A198</f>
        <v>0</v>
      </c>
      <c r="B215" s="181">
        <f>'Données projet'!D198</f>
        <v>0</v>
      </c>
      <c r="C215" s="193"/>
      <c r="D215" s="179">
        <f t="shared" si="12"/>
        <v>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">
      <c r="A216" s="180">
        <f>'Données projet'!A199</f>
        <v>0</v>
      </c>
      <c r="B216" s="181">
        <f>'Données projet'!D199</f>
        <v>0</v>
      </c>
      <c r="C216" s="193"/>
      <c r="D216" s="179">
        <f t="shared" si="12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">
      <c r="A217" s="180">
        <f>'Données projet'!A200</f>
        <v>0</v>
      </c>
      <c r="B217" s="181">
        <f>'Données projet'!D200</f>
        <v>0</v>
      </c>
      <c r="C217" s="193"/>
      <c r="D217" s="179">
        <f t="shared" si="12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">
      <c r="A218" s="180">
        <f>'Données projet'!A201</f>
        <v>0</v>
      </c>
      <c r="B218" s="181">
        <f>'Données projet'!D201</f>
        <v>0</v>
      </c>
      <c r="C218" s="193"/>
      <c r="D218" s="179">
        <f t="shared" si="12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">
      <c r="A219" s="180">
        <f>'Données projet'!A202</f>
        <v>0</v>
      </c>
      <c r="B219" s="181">
        <f>'Données projet'!D202</f>
        <v>0</v>
      </c>
      <c r="C219" s="193"/>
      <c r="D219" s="179">
        <f t="shared" si="12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">
      <c r="A220" s="180">
        <f>'Données projet'!A203</f>
        <v>0</v>
      </c>
      <c r="B220" s="181">
        <f>'Données projet'!D203</f>
        <v>0</v>
      </c>
      <c r="C220" s="193"/>
      <c r="D220" s="179">
        <f t="shared" si="12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">
      <c r="A221" s="180">
        <f>'Données projet'!A204</f>
        <v>0</v>
      </c>
      <c r="B221" s="181">
        <f>'Données projet'!D204</f>
        <v>0</v>
      </c>
      <c r="C221" s="193"/>
      <c r="D221" s="179">
        <f t="shared" si="12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">
      <c r="A222" s="180">
        <f>'Données projet'!A205</f>
        <v>0</v>
      </c>
      <c r="B222" s="181">
        <f>'Données projet'!D205</f>
        <v>0</v>
      </c>
      <c r="C222" s="193"/>
      <c r="D222" s="179">
        <f t="shared" si="12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">
      <c r="A231" s="46" t="s">
        <v>28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">
      <c r="A233" s="36" t="s">
        <v>49</v>
      </c>
      <c r="B233" s="48" t="s">
        <v>307</v>
      </c>
      <c r="C233" s="48" t="s">
        <v>308</v>
      </c>
      <c r="D233" s="36" t="s">
        <v>309</v>
      </c>
      <c r="E233" s="36" t="s">
        <v>310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">
      <c r="A234" s="49">
        <v>0</v>
      </c>
      <c r="B234" s="199" t="s">
        <v>194</v>
      </c>
      <c r="C234" s="198" t="s">
        <v>194</v>
      </c>
      <c r="D234" s="197" t="s">
        <v>194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">
      <c r="A235" s="49">
        <v>1</v>
      </c>
      <c r="B235" s="199" t="s">
        <v>194</v>
      </c>
      <c r="C235" s="198" t="s">
        <v>194</v>
      </c>
      <c r="D235" s="197" t="s">
        <v>194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">
      <c r="A236" s="49">
        <v>2</v>
      </c>
      <c r="B236" s="199" t="s">
        <v>194</v>
      </c>
      <c r="C236" s="198" t="s">
        <v>194</v>
      </c>
      <c r="D236" s="197" t="s">
        <v>194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">
      <c r="A237" s="49">
        <v>3</v>
      </c>
      <c r="B237" s="199" t="s">
        <v>194</v>
      </c>
      <c r="C237" s="198" t="s">
        <v>194</v>
      </c>
      <c r="D237" s="197" t="s">
        <v>194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">
      <c r="A238" s="49">
        <v>4</v>
      </c>
      <c r="B238" s="199" t="s">
        <v>194</v>
      </c>
      <c r="C238" s="198" t="s">
        <v>194</v>
      </c>
      <c r="D238" s="197" t="s">
        <v>194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">
      <c r="A239" s="49">
        <v>5</v>
      </c>
      <c r="B239" s="199" t="s">
        <v>194</v>
      </c>
      <c r="C239" s="198" t="s">
        <v>194</v>
      </c>
      <c r="D239" s="197" t="s">
        <v>194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3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">
      <c r="A242" s="180">
        <f>'Données projet'!A220</f>
        <v>0</v>
      </c>
      <c r="B242" s="181">
        <f>'Données projet'!D220</f>
        <v>0</v>
      </c>
      <c r="C242" s="193"/>
      <c r="D242" s="179">
        <f t="shared" si="13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">
      <c r="A243" s="180">
        <f>'Données projet'!A221</f>
        <v>0</v>
      </c>
      <c r="B243" s="181">
        <f>'Données projet'!D221</f>
        <v>0</v>
      </c>
      <c r="C243" s="193"/>
      <c r="D243" s="179">
        <f t="shared" si="13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">
      <c r="A244" s="180">
        <f>'Données projet'!A222</f>
        <v>0</v>
      </c>
      <c r="B244" s="181">
        <f>'Données projet'!D222</f>
        <v>0</v>
      </c>
      <c r="C244" s="193"/>
      <c r="D244" s="179">
        <f t="shared" si="13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">
      <c r="A245" s="180">
        <f>'Données projet'!A223</f>
        <v>0</v>
      </c>
      <c r="B245" s="181">
        <f>'Données projet'!D223</f>
        <v>0</v>
      </c>
      <c r="C245" s="193"/>
      <c r="D245" s="179">
        <f t="shared" si="13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">
      <c r="A246" s="180">
        <f>'Données projet'!A224</f>
        <v>0</v>
      </c>
      <c r="B246" s="181">
        <f>'Données projet'!D224</f>
        <v>0</v>
      </c>
      <c r="C246" s="193"/>
      <c r="D246" s="179">
        <f t="shared" si="13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">
      <c r="A247" s="180">
        <f>'Données projet'!A225</f>
        <v>0</v>
      </c>
      <c r="B247" s="181">
        <f>'Données projet'!D225</f>
        <v>0</v>
      </c>
      <c r="C247" s="193"/>
      <c r="D247" s="179">
        <f t="shared" si="13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">
      <c r="A248" s="180">
        <f>'Données projet'!A226</f>
        <v>0</v>
      </c>
      <c r="B248" s="181">
        <f>'Données projet'!D226</f>
        <v>0</v>
      </c>
      <c r="C248" s="193"/>
      <c r="D248" s="179">
        <f t="shared" si="13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">
      <c r="A249" s="180">
        <f>'Données projet'!A227</f>
        <v>0</v>
      </c>
      <c r="B249" s="181">
        <f>'Données projet'!D227</f>
        <v>0</v>
      </c>
      <c r="C249" s="193"/>
      <c r="D249" s="179">
        <f t="shared" si="13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">
      <c r="A250" s="180">
        <f>'Données projet'!A228</f>
        <v>0</v>
      </c>
      <c r="B250" s="181">
        <f>'Données projet'!D228</f>
        <v>0</v>
      </c>
      <c r="C250" s="193"/>
      <c r="D250" s="179">
        <f t="shared" si="13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">
      <c r="A262" s="46" t="s">
        <v>29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">
      <c r="A264" s="36" t="s">
        <v>49</v>
      </c>
      <c r="B264" s="48" t="s">
        <v>307</v>
      </c>
      <c r="C264" s="48" t="s">
        <v>308</v>
      </c>
      <c r="D264" s="36" t="s">
        <v>309</v>
      </c>
      <c r="E264" s="36" t="s">
        <v>310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">
      <c r="A265" s="49">
        <v>0</v>
      </c>
      <c r="B265" s="199" t="s">
        <v>194</v>
      </c>
      <c r="C265" s="198" t="s">
        <v>194</v>
      </c>
      <c r="D265" s="197" t="s">
        <v>194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">
      <c r="A266" s="49">
        <v>1</v>
      </c>
      <c r="B266" s="199" t="s">
        <v>194</v>
      </c>
      <c r="C266" s="198" t="s">
        <v>194</v>
      </c>
      <c r="D266" s="197" t="s">
        <v>194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">
      <c r="A267" s="49">
        <v>2</v>
      </c>
      <c r="B267" s="199" t="s">
        <v>194</v>
      </c>
      <c r="C267" s="198" t="s">
        <v>194</v>
      </c>
      <c r="D267" s="197" t="s">
        <v>194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">
      <c r="A268" s="49">
        <v>3</v>
      </c>
      <c r="B268" s="199" t="s">
        <v>194</v>
      </c>
      <c r="C268" s="198" t="s">
        <v>194</v>
      </c>
      <c r="D268" s="197" t="s">
        <v>194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">
      <c r="A269" s="49">
        <v>4</v>
      </c>
      <c r="B269" s="199" t="s">
        <v>194</v>
      </c>
      <c r="C269" s="198" t="s">
        <v>194</v>
      </c>
      <c r="D269" s="197" t="s">
        <v>194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">
      <c r="A270" s="49">
        <v>5</v>
      </c>
      <c r="B270" s="199" t="s">
        <v>194</v>
      </c>
      <c r="C270" s="198" t="s">
        <v>194</v>
      </c>
      <c r="D270" s="197" t="s">
        <v>194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4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">
      <c r="A273" s="180">
        <f>'Données projet'!A246</f>
        <v>0</v>
      </c>
      <c r="B273" s="181">
        <f>'Données projet'!D246</f>
        <v>0</v>
      </c>
      <c r="C273" s="193"/>
      <c r="D273" s="179">
        <f t="shared" si="14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">
      <c r="A274" s="180">
        <f>'Données projet'!A247</f>
        <v>0</v>
      </c>
      <c r="B274" s="181">
        <f>'Données projet'!D247</f>
        <v>0</v>
      </c>
      <c r="C274" s="193"/>
      <c r="D274" s="179">
        <f t="shared" si="14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">
      <c r="A275" s="180">
        <f>'Données projet'!A248</f>
        <v>0</v>
      </c>
      <c r="B275" s="181">
        <f>'Données projet'!D248</f>
        <v>0</v>
      </c>
      <c r="C275" s="193"/>
      <c r="D275" s="179">
        <f t="shared" si="14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">
      <c r="A276" s="180">
        <f>'Données projet'!A249</f>
        <v>0</v>
      </c>
      <c r="B276" s="181">
        <f>'Données projet'!D249</f>
        <v>0</v>
      </c>
      <c r="C276" s="193"/>
      <c r="D276" s="179">
        <f t="shared" si="14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">
      <c r="A277" s="180">
        <f>'Données projet'!A250</f>
        <v>0</v>
      </c>
      <c r="B277" s="181">
        <f>'Données projet'!D250</f>
        <v>0</v>
      </c>
      <c r="C277" s="193"/>
      <c r="D277" s="179">
        <f t="shared" si="14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">
      <c r="A293" s="46" t="s">
        <v>30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">
      <c r="A295" s="36" t="s">
        <v>49</v>
      </c>
      <c r="B295" s="48" t="s">
        <v>307</v>
      </c>
      <c r="C295" s="48" t="s">
        <v>308</v>
      </c>
      <c r="D295" s="36" t="s">
        <v>309</v>
      </c>
      <c r="E295" s="36" t="s">
        <v>310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">
      <c r="A296" s="49">
        <v>0</v>
      </c>
      <c r="B296" s="199" t="s">
        <v>194</v>
      </c>
      <c r="C296" s="198" t="s">
        <v>194</v>
      </c>
      <c r="D296" s="197" t="s">
        <v>194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">
      <c r="A297" s="49">
        <v>1</v>
      </c>
      <c r="B297" s="199" t="s">
        <v>194</v>
      </c>
      <c r="C297" s="198" t="s">
        <v>194</v>
      </c>
      <c r="D297" s="197" t="s">
        <v>194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">
      <c r="A298" s="49">
        <v>2</v>
      </c>
      <c r="B298" s="199" t="s">
        <v>194</v>
      </c>
      <c r="C298" s="198" t="s">
        <v>194</v>
      </c>
      <c r="D298" s="197" t="s">
        <v>194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">
      <c r="A299" s="49">
        <v>3</v>
      </c>
      <c r="B299" s="199" t="s">
        <v>194</v>
      </c>
      <c r="C299" s="198" t="s">
        <v>194</v>
      </c>
      <c r="D299" s="197" t="s">
        <v>194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">
      <c r="A300" s="49">
        <v>4</v>
      </c>
      <c r="B300" s="199" t="s">
        <v>194</v>
      </c>
      <c r="C300" s="198" t="s">
        <v>194</v>
      </c>
      <c r="D300" s="197" t="s">
        <v>194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">
      <c r="A301" s="49">
        <v>5</v>
      </c>
      <c r="B301" s="199" t="s">
        <v>194</v>
      </c>
      <c r="C301" s="198" t="s">
        <v>194</v>
      </c>
      <c r="D301" s="197" t="s">
        <v>194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Manager/>
  <Company>CNPF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OCCI_OG</dc:creator>
  <cp:keywords/>
  <dc:description/>
  <cp:lastModifiedBy>Carbonapp</cp:lastModifiedBy>
  <cp:revision/>
  <dcterms:created xsi:type="dcterms:W3CDTF">2021-02-01T08:22:39Z</dcterms:created>
  <dcterms:modified xsi:type="dcterms:W3CDTF">2023-01-27T11:06:03Z</dcterms:modified>
  <cp:category/>
  <cp:contentStatus/>
</cp:coreProperties>
</file>