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ucie RUPIL\Nextcloud\Carbopolis\Projet Saint Martin le Pin\Dossier LBC\"/>
    </mc:Choice>
  </mc:AlternateContent>
  <bookViews>
    <workbookView xWindow="0" yWindow="0" windowWidth="23040" windowHeight="9384" tabRatio="732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EC4" i="2"/>
  <c r="GL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G43" i="2"/>
  <c r="EA43" i="2"/>
  <c r="HI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I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W155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G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A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B167" i="2"/>
  <c r="FR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DG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W175" i="2" l="1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G179" i="2" l="1"/>
  <c r="EB179" i="2"/>
  <c r="HH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B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H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161" i="2" a="1"/>
  <c r="CS161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2" i="2" l="1" a="1"/>
  <c r="BC32" i="2" s="1"/>
  <c r="BC38" i="2" a="1"/>
  <c r="BC38" i="2" s="1"/>
  <c r="BC18" i="2" a="1"/>
  <c r="BC18" i="2" s="1"/>
  <c r="BC84" i="2" a="1"/>
  <c r="BC84" i="2" s="1"/>
  <c r="BC7" i="2" a="1"/>
  <c r="BC7" i="2" s="1"/>
  <c r="BC31" i="2" a="1"/>
  <c r="BC31" i="2" s="1"/>
  <c r="BC117" i="2" a="1"/>
  <c r="BC117" i="2" s="1"/>
  <c r="BC164" i="2" a="1"/>
  <c r="BC164" i="2" s="1"/>
  <c r="BC181" i="2" a="1"/>
  <c r="BC181" i="2" s="1"/>
  <c r="BC151" i="2" a="1"/>
  <c r="BC151" i="2" s="1"/>
  <c r="BC192" i="2" a="1"/>
  <c r="BC192" i="2" s="1"/>
  <c r="BC126" i="2" a="1"/>
  <c r="BC126" i="2" s="1"/>
  <c r="BC83" i="2" a="1"/>
  <c r="BC83" i="2" s="1"/>
  <c r="BC55" i="2" a="1"/>
  <c r="BC55" i="2" s="1"/>
  <c r="BC47" i="2" a="1"/>
  <c r="BC47" i="2" s="1"/>
  <c r="BC130" i="2" a="1"/>
  <c r="BC130" i="2" s="1"/>
  <c r="BC58" i="2" a="1"/>
  <c r="BC58" i="2" s="1"/>
  <c r="BC185" i="2" a="1"/>
  <c r="BC185" i="2" s="1"/>
  <c r="BC143" i="2" a="1"/>
  <c r="BC143" i="2" s="1"/>
  <c r="BC114" i="2" a="1"/>
  <c r="BC114" i="2" s="1"/>
  <c r="BC82" i="2" a="1"/>
  <c r="BC82" i="2" s="1"/>
  <c r="BC68" i="2" a="1"/>
  <c r="BC68" i="2" s="1"/>
  <c r="BC34" i="2" a="1"/>
  <c r="BC34" i="2" s="1"/>
  <c r="BC65" i="2" a="1"/>
  <c r="BC65" i="2" s="1"/>
  <c r="HG203" i="2"/>
  <c r="FR203" i="2"/>
  <c r="CS129" i="2" a="1"/>
  <c r="CS129" i="2" s="1"/>
  <c r="CS52" i="2" a="1"/>
  <c r="CS52" i="2" s="1"/>
  <c r="CS38" i="2" a="1"/>
  <c r="CS38" i="2" s="1"/>
  <c r="CS66" i="2" a="1"/>
  <c r="CS66" i="2" s="1"/>
  <c r="CS77" i="2" a="1"/>
  <c r="CS77" i="2" s="1"/>
  <c r="AH151" i="2" a="1"/>
  <c r="AH151" i="2" s="1"/>
  <c r="AH62" i="2" a="1"/>
  <c r="AH62" i="2" s="1"/>
  <c r="AH166" i="2" a="1"/>
  <c r="AH166" i="2" s="1"/>
  <c r="AH199" i="2" a="1"/>
  <c r="AH199" i="2" s="1"/>
  <c r="AH19" i="2" a="1"/>
  <c r="AH1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<sst xmlns="http://schemas.openxmlformats.org/spreadsheetml/2006/main" count="1154" uniqueCount="324">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</sst>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97.716900465048397</c:v>
                </c:pt>
                <c:pt idx="22">
                  <c:v>109.24128540474889</c:v>
                </c:pt>
                <c:pt idx="23">
                  <c:v>120.73576442072574</c:v>
                </c:pt>
                <c:pt idx="24">
                  <c:v>132.20358993292459</c:v>
                </c:pt>
                <c:pt idx="25">
                  <c:v>143.64740257451564</c:v>
                </c:pt>
                <c:pt idx="26">
                  <c:v>141.28157446234309</c:v>
                </c:pt>
                <c:pt idx="27">
                  <c:v>154.67586795026531</c:v>
                </c:pt>
                <c:pt idx="28">
                  <c:v>168.04258893965877</c:v>
                </c:pt>
                <c:pt idx="29">
                  <c:v>181.3842411359644</c:v>
                </c:pt>
                <c:pt idx="30">
                  <c:v>194.70292931794015</c:v>
                </c:pt>
                <c:pt idx="31">
                  <c:v>210.34498910896289</c:v>
                </c:pt>
                <c:pt idx="32">
                  <c:v>225.96022281826006</c:v>
                </c:pt>
                <c:pt idx="33">
                  <c:v>241.55074565033257</c:v>
                </c:pt>
                <c:pt idx="34">
                  <c:v>257.11837729187414</c:v>
                </c:pt>
                <c:pt idx="35">
                  <c:v>272.66469897663575</c:v>
                </c:pt>
                <c:pt idx="36">
                  <c:v>207.21879690654112</c:v>
                </c:pt>
                <c:pt idx="37">
                  <c:v>223.61956111075628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288.96691630985214</c:v>
                </c:pt>
                <c:pt idx="42">
                  <c:v>305.24857979967942</c:v>
                </c:pt>
                <c:pt idx="43">
                  <c:v>321.51093999187799</c:v>
                </c:pt>
                <c:pt idx="44">
                  <c:v>337.75511058999291</c:v>
                </c:pt>
                <c:pt idx="45">
                  <c:v>353.98208942867723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320.34995854628932</c:v>
                </c:pt>
                <c:pt idx="49">
                  <c:v>336.20880231759611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398.33209414857424</c:v>
                </c:pt>
                <c:pt idx="54">
                  <c:v>413.73243167051163</c:v>
                </c:pt>
                <c:pt idx="55">
                  <c:v>429.1204064684805</c:v>
                </c:pt>
                <c:pt idx="56">
                  <c:v>362.86133414806528</c:v>
                </c:pt>
                <c:pt idx="57">
                  <c:v>377.52104986809326</c:v>
                </c:pt>
                <c:pt idx="58">
                  <c:v>392.16837634017276</c:v>
                </c:pt>
                <c:pt idx="59">
                  <c:v>406.80384141548683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476.74981634160099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465.42823942861133</c:v>
                </c:pt>
                <c:pt idx="77">
                  <c:v>476.74981634160099</c:v>
                </c:pt>
                <c:pt idx="78">
                  <c:v>488.06567585482804</c:v>
                </c:pt>
                <c:pt idx="79">
                  <c:v>499.37596921206153</c:v>
                </c:pt>
                <c:pt idx="80">
                  <c:v>510.68084024737624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544.5642572614961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496.69266671205543</c:v>
                </c:pt>
                <c:pt idx="87">
                  <c:v>506.65768536589218</c:v>
                </c:pt>
                <c:pt idx="88">
                  <c:v>516.61856122298411</c:v>
                </c:pt>
                <c:pt idx="89">
                  <c:v>526.57538542767418</c:v>
                </c:pt>
                <c:pt idx="90">
                  <c:v>536.52824539615074</c:v>
                </c:pt>
                <c:pt idx="91">
                  <c:v>546.477225036753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576.30167262327768</c:v>
                </c:pt>
                <c:pt idx="95">
                  <c:v>586.23590668718782</c:v>
                </c:pt>
                <c:pt idx="96">
                  <c:v>514.89485591885284</c:v>
                </c:pt>
                <c:pt idx="97">
                  <c:v>523.89509553418213</c:v>
                </c:pt>
                <c:pt idx="98">
                  <c:v>532.89207772163536</c:v>
                </c:pt>
                <c:pt idx="99">
                  <c:v>541.88586523948277</c:v>
                </c:pt>
                <c:pt idx="100">
                  <c:v>550.87651859261814</c:v>
                </c:pt>
                <c:pt idx="101">
                  <c:v>559.86409614971478</c:v>
                </c:pt>
                <c:pt idx="102">
                  <c:v>568.84865425246687</c:v>
                </c:pt>
                <c:pt idx="103">
                  <c:v>577.83024731757303</c:v>
                </c:pt>
                <c:pt idx="104">
                  <c:v>586.80892793204634</c:v>
                </c:pt>
                <c:pt idx="105">
                  <c:v>595.7847469423923</c:v>
                </c:pt>
                <c:pt idx="106">
                  <c:v>525.0438264932726</c:v>
                </c:pt>
                <c:pt idx="107">
                  <c:v>532.70068604986363</c:v>
                </c:pt>
                <c:pt idx="108">
                  <c:v>540.35523076412676</c:v>
                </c:pt>
                <c:pt idx="109">
                  <c:v>548.00749806060401</c:v>
                </c:pt>
                <c:pt idx="110">
                  <c:v>555.6575242331586</c:v>
                </c:pt>
                <c:pt idx="111">
                  <c:v>563.30534449456957</c:v>
                </c:pt>
                <c:pt idx="112">
                  <c:v>570.95099302329265</c:v>
                </c:pt>
                <c:pt idx="113">
                  <c:v>578.59450300758692</c:v>
                </c:pt>
                <c:pt idx="114">
                  <c:v>586.23590668718737</c:v>
                </c:pt>
                <c:pt idx="115">
                  <c:v>593.87523539269193</c:v>
                </c:pt>
                <c:pt idx="116">
                  <c:v>529.63822214325501</c:v>
                </c:pt>
                <c:pt idx="117">
                  <c:v>536.14551536775127</c:v>
                </c:pt>
                <c:pt idx="118">
                  <c:v>542.65114840915487</c:v>
                </c:pt>
                <c:pt idx="119">
                  <c:v>549.1551439856396</c:v>
                </c:pt>
                <c:pt idx="120">
                  <c:v>555.65752423315837</c:v>
                </c:pt>
                <c:pt idx="121">
                  <c:v>562.1583107271523</c:v>
                </c:pt>
                <c:pt idx="122">
                  <c:v>568.65752450320281</c:v>
                </c:pt>
                <c:pt idx="123">
                  <c:v>575.15518607669117</c:v>
                </c:pt>
                <c:pt idx="124">
                  <c:v>581.65131546152202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536.52824539615006</c:v>
                </c:pt>
                <c:pt idx="128">
                  <c:v>542.26850965950268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565.21695891367949</c:v>
                </c:pt>
                <c:pt idx="133">
                  <c:v>570.95099302329209</c:v>
                </c:pt>
                <c:pt idx="134">
                  <c:v>576.68382422111051</c:v>
                </c:pt>
                <c:pt idx="135">
                  <c:v>582.41546615644995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541.88586523948231</c:v>
                </c:pt>
                <c:pt idx="139">
                  <c:v>546.85980171226049</c:v>
                </c:pt>
                <c:pt idx="140">
                  <c:v>551.83278906179623</c:v>
                </c:pt>
                <c:pt idx="141">
                  <c:v>556.80483705249947</c:v>
                </c:pt>
                <c:pt idx="142">
                  <c:v>561.77595526008179</c:v>
                </c:pt>
                <c:pt idx="143">
                  <c:v>566.74615307687668</c:v>
                </c:pt>
                <c:pt idx="144">
                  <c:v>571.71543971696474</c:v>
                </c:pt>
                <c:pt idx="145">
                  <c:v>576.68382422111085</c:v>
                </c:pt>
                <c:pt idx="146">
                  <c:v>535.76277959494826</c:v>
                </c:pt>
                <c:pt idx="147">
                  <c:v>544.56425726149564</c:v>
                </c:pt>
                <c:pt idx="148">
                  <c:v>553.36274958383763</c:v>
                </c:pt>
                <c:pt idx="149">
                  <c:v>562.15831072715275</c:v>
                </c:pt>
                <c:pt idx="150">
                  <c:v>570.95099302329288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90557728"/>
        <c:axId val="-890559904"/>
      </c:scatterChart>
      <c:valAx>
        <c:axId val="-890557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90559904"/>
        <c:crosses val="autoZero"/>
        <c:crossBetween val="midCat"/>
      </c:valAx>
      <c:valAx>
        <c:axId val="-89055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9055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85514784"/>
        <c:axId val="-885503904"/>
      </c:scatterChart>
      <c:valAx>
        <c:axId val="-885514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85503904"/>
        <c:crosses val="autoZero"/>
        <c:crossBetween val="midCat"/>
      </c:valAx>
      <c:valAx>
        <c:axId val="-88550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85514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234.34307827690762</c:v>
                </c:pt>
                <c:pt idx="42">
                  <c:v>247.31737533025003</c:v>
                </c:pt>
                <c:pt idx="43">
                  <c:v>260.27622505120576</c:v>
                </c:pt>
                <c:pt idx="44">
                  <c:v>273.220505160855</c:v>
                </c:pt>
                <c:pt idx="45">
                  <c:v>286.15100338127621</c:v>
                </c:pt>
                <c:pt idx="46">
                  <c:v>236.19753106235336</c:v>
                </c:pt>
                <c:pt idx="47">
                  <c:v>248.70654606887948</c:v>
                </c:pt>
                <c:pt idx="48">
                  <c:v>261.20128985354518</c:v>
                </c:pt>
                <c:pt idx="49">
                  <c:v>273.68254154848722</c:v>
                </c:pt>
                <c:pt idx="50">
                  <c:v>286.15100338127621</c:v>
                </c:pt>
                <c:pt idx="51">
                  <c:v>299.06843040054588</c:v>
                </c:pt>
                <c:pt idx="52">
                  <c:v>311.97343047900421</c:v>
                </c:pt>
                <c:pt idx="53">
                  <c:v>324.86659020772612</c:v>
                </c:pt>
                <c:pt idx="54">
                  <c:v>337.74844580317364</c:v>
                </c:pt>
                <c:pt idx="55">
                  <c:v>350.61948923031787</c:v>
                </c:pt>
                <c:pt idx="56">
                  <c:v>298.6073113577695</c:v>
                </c:pt>
                <c:pt idx="57">
                  <c:v>311.05204406793189</c:v>
                </c:pt>
                <c:pt idx="58">
                  <c:v>323.48573000787155</c:v>
                </c:pt>
                <c:pt idx="59">
                  <c:v>335.90885371669873</c:v>
                </c:pt>
                <c:pt idx="60">
                  <c:v>348.32186095767747</c:v>
                </c:pt>
                <c:pt idx="61">
                  <c:v>360.72516312195717</c:v>
                </c:pt>
                <c:pt idx="62">
                  <c:v>373.11914099479759</c:v>
                </c:pt>
                <c:pt idx="63">
                  <c:v>385.50414799512072</c:v>
                </c:pt>
                <c:pt idx="64">
                  <c:v>397.88051297693869</c:v>
                </c:pt>
                <c:pt idx="65">
                  <c:v>410.2485426639725</c:v>
                </c:pt>
                <c:pt idx="66">
                  <c:v>357.51040237087688</c:v>
                </c:pt>
                <c:pt idx="67">
                  <c:v>368.9888287229291</c:v>
                </c:pt>
                <c:pt idx="68">
                  <c:v>380.45946570848537</c:v>
                </c:pt>
                <c:pt idx="69">
                  <c:v>391.92258132889083</c:v>
                </c:pt>
                <c:pt idx="70">
                  <c:v>403.37842662539197</c:v>
                </c:pt>
                <c:pt idx="71">
                  <c:v>408.41675654870488</c:v>
                </c:pt>
                <c:pt idx="72">
                  <c:v>413.45374392164462</c:v>
                </c:pt>
                <c:pt idx="73">
                  <c:v>418.48940742443</c:v>
                </c:pt>
                <c:pt idx="74">
                  <c:v>423.5237652506018</c:v>
                </c:pt>
                <c:pt idx="75">
                  <c:v>428.55683512546557</c:v>
                </c:pt>
                <c:pt idx="76">
                  <c:v>377.93657998125462</c:v>
                </c:pt>
                <c:pt idx="77">
                  <c:v>391.46419791299769</c:v>
                </c:pt>
                <c:pt idx="78">
                  <c:v>404.98167838522659</c:v>
                </c:pt>
                <c:pt idx="79">
                  <c:v>418.48940742443</c:v>
                </c:pt>
                <c:pt idx="80">
                  <c:v>431.98774410510424</c:v>
                </c:pt>
                <c:pt idx="81">
                  <c:v>445.4770232325854</c:v>
                </c:pt>
                <c:pt idx="82">
                  <c:v>458.95755768400591</c:v>
                </c:pt>
                <c:pt idx="83">
                  <c:v>472.42964045990124</c:v>
                </c:pt>
                <c:pt idx="84">
                  <c:v>485.8935464896349</c:v>
                </c:pt>
                <c:pt idx="85">
                  <c:v>499.34953422631753</c:v>
                </c:pt>
                <c:pt idx="86">
                  <c:v>444.5627755736532</c:v>
                </c:pt>
                <c:pt idx="87">
                  <c:v>453.70345497828959</c:v>
                </c:pt>
                <c:pt idx="88">
                  <c:v>462.8401985900677</c:v>
                </c:pt>
                <c:pt idx="89">
                  <c:v>471.97309508291988</c:v>
                </c:pt>
                <c:pt idx="90">
                  <c:v>481.10222941810292</c:v>
                </c:pt>
                <c:pt idx="91">
                  <c:v>490.22768306866277</c:v>
                </c:pt>
                <c:pt idx="92">
                  <c:v>499.34953422631753</c:v>
                </c:pt>
                <c:pt idx="93">
                  <c:v>508.46785799243213</c:v>
                </c:pt>
                <c:pt idx="94">
                  <c:v>517.5827265545804</c:v>
                </c:pt>
                <c:pt idx="95">
                  <c:v>526.69420935002256</c:v>
                </c:pt>
                <c:pt idx="96">
                  <c:v>470.60340248231097</c:v>
                </c:pt>
                <c:pt idx="97">
                  <c:v>478.36387923123084</c:v>
                </c:pt>
                <c:pt idx="98">
                  <c:v>486.12167933752789</c:v>
                </c:pt>
                <c:pt idx="99">
                  <c:v>493.87685155793548</c:v>
                </c:pt>
                <c:pt idx="100">
                  <c:v>501.62944299248119</c:v>
                </c:pt>
                <c:pt idx="101">
                  <c:v>509.37949916607232</c:v>
                </c:pt>
                <c:pt idx="102">
                  <c:v>517.127064104856</c:v>
                </c:pt>
                <c:pt idx="103">
                  <c:v>524.87218040776531</c:v>
                </c:pt>
                <c:pt idx="104">
                  <c:v>532.61488931362067</c:v>
                </c:pt>
                <c:pt idx="105">
                  <c:v>540.3552307641279</c:v>
                </c:pt>
                <c:pt idx="106">
                  <c:v>483.15577456497505</c:v>
                </c:pt>
                <c:pt idx="107">
                  <c:v>489.77149658248186</c:v>
                </c:pt>
                <c:pt idx="108">
                  <c:v>496.38532308843008</c:v>
                </c:pt>
                <c:pt idx="109">
                  <c:v>502.99728291379125</c:v>
                </c:pt>
                <c:pt idx="110">
                  <c:v>509.60740406936429</c:v>
                </c:pt>
                <c:pt idx="111">
                  <c:v>516.21571377967655</c:v>
                </c:pt>
                <c:pt idx="112">
                  <c:v>522.82223851505944</c:v>
                </c:pt>
                <c:pt idx="113">
                  <c:v>529.42700402201615</c:v>
                </c:pt>
                <c:pt idx="114">
                  <c:v>536.03003535199707</c:v>
                </c:pt>
                <c:pt idx="115">
                  <c:v>542.63135688868113</c:v>
                </c:pt>
                <c:pt idx="116">
                  <c:v>489.08719994675636</c:v>
                </c:pt>
                <c:pt idx="117">
                  <c:v>494.78905419497414</c:v>
                </c:pt>
                <c:pt idx="118">
                  <c:v>500.48951609357982</c:v>
                </c:pt>
                <c:pt idx="119">
                  <c:v>506.18860374788687</c:v>
                </c:pt>
                <c:pt idx="120">
                  <c:v>511.88633482202295</c:v>
                </c:pt>
                <c:pt idx="121">
                  <c:v>517.58272655458063</c:v>
                </c:pt>
                <c:pt idx="122">
                  <c:v>523.27779577354261</c:v>
                </c:pt>
                <c:pt idx="123">
                  <c:v>528.97155891052341</c:v>
                </c:pt>
                <c:pt idx="124">
                  <c:v>534.66403201436572</c:v>
                </c:pt>
                <c:pt idx="125">
                  <c:v>540.3552307641279</c:v>
                </c:pt>
                <c:pt idx="126">
                  <c:v>492.50848060673206</c:v>
                </c:pt>
                <c:pt idx="127">
                  <c:v>497.06940501240223</c:v>
                </c:pt>
                <c:pt idx="128">
                  <c:v>501.62944299248147</c:v>
                </c:pt>
                <c:pt idx="129">
                  <c:v>506.18860374788687</c:v>
                </c:pt>
                <c:pt idx="130">
                  <c:v>510.74689630015183</c:v>
                </c:pt>
                <c:pt idx="131">
                  <c:v>515.30432949652743</c:v>
                </c:pt>
                <c:pt idx="132">
                  <c:v>519.86091201489705</c:v>
                </c:pt>
                <c:pt idx="133">
                  <c:v>524.41665236850656</c:v>
                </c:pt>
                <c:pt idx="134">
                  <c:v>528.97155891052341</c:v>
                </c:pt>
                <c:pt idx="135">
                  <c:v>533.52563983843049</c:v>
                </c:pt>
                <c:pt idx="136">
                  <c:v>493.87685155793559</c:v>
                </c:pt>
                <c:pt idx="137">
                  <c:v>497.5254485463168</c:v>
                </c:pt>
                <c:pt idx="138">
                  <c:v>501.17347881997574</c:v>
                </c:pt>
                <c:pt idx="139">
                  <c:v>504.82094708965997</c:v>
                </c:pt>
                <c:pt idx="140">
                  <c:v>508.46785799243236</c:v>
                </c:pt>
                <c:pt idx="141">
                  <c:v>512.11421609335684</c:v>
                </c:pt>
                <c:pt idx="142">
                  <c:v>515.76002588713095</c:v>
                </c:pt>
                <c:pt idx="143">
                  <c:v>519.40529179967348</c:v>
                </c:pt>
                <c:pt idx="144">
                  <c:v>523.05001818966082</c:v>
                </c:pt>
                <c:pt idx="145">
                  <c:v>526.69420935002267</c:v>
                </c:pt>
                <c:pt idx="146">
                  <c:v>495.24514214260353</c:v>
                </c:pt>
                <c:pt idx="147">
                  <c:v>497.9814832254105</c:v>
                </c:pt>
                <c:pt idx="148">
                  <c:v>500.7175058662524</c:v>
                </c:pt>
                <c:pt idx="149">
                  <c:v>503.4532120524359</c:v>
                </c:pt>
                <c:pt idx="150">
                  <c:v>506.18860374788665</c:v>
                </c:pt>
                <c:pt idx="151">
                  <c:v>1.8017017738191463E-12</c:v>
                </c:pt>
                <c:pt idx="152">
                  <c:v>1.8017017738191463E-12</c:v>
                </c:pt>
                <c:pt idx="153">
                  <c:v>1.8017017738191463E-12</c:v>
                </c:pt>
                <c:pt idx="154">
                  <c:v>1.8017017738191463E-12</c:v>
                </c:pt>
                <c:pt idx="155">
                  <c:v>1.8017017738191463E-12</c:v>
                </c:pt>
                <c:pt idx="156">
                  <c:v>1.8017017738191463E-12</c:v>
                </c:pt>
                <c:pt idx="157">
                  <c:v>1.8017017738191463E-12</c:v>
                </c:pt>
                <c:pt idx="158">
                  <c:v>1.8017017738191463E-12</c:v>
                </c:pt>
                <c:pt idx="159">
                  <c:v>1.8017017738191463E-12</c:v>
                </c:pt>
                <c:pt idx="160">
                  <c:v>1.8017017738191463E-12</c:v>
                </c:pt>
                <c:pt idx="161">
                  <c:v>1.8017017738191463E-12</c:v>
                </c:pt>
                <c:pt idx="162">
                  <c:v>1.8017017738191463E-12</c:v>
                </c:pt>
                <c:pt idx="163">
                  <c:v>1.8017017738191463E-12</c:v>
                </c:pt>
                <c:pt idx="164">
                  <c:v>1.8017017738191463E-12</c:v>
                </c:pt>
                <c:pt idx="165">
                  <c:v>1.8017017738191463E-12</c:v>
                </c:pt>
                <c:pt idx="166">
                  <c:v>1.8017017738191463E-12</c:v>
                </c:pt>
                <c:pt idx="167">
                  <c:v>1.8017017738191463E-12</c:v>
                </c:pt>
                <c:pt idx="168">
                  <c:v>1.8017017738191463E-12</c:v>
                </c:pt>
                <c:pt idx="169">
                  <c:v>1.8017017738191463E-12</c:v>
                </c:pt>
                <c:pt idx="170">
                  <c:v>1.8017017738191463E-12</c:v>
                </c:pt>
                <c:pt idx="171">
                  <c:v>1.8017017738191463E-12</c:v>
                </c:pt>
                <c:pt idx="172">
                  <c:v>1.8017017738191463E-12</c:v>
                </c:pt>
                <c:pt idx="173">
                  <c:v>1.8017017738191463E-12</c:v>
                </c:pt>
                <c:pt idx="174">
                  <c:v>1.8017017738191463E-12</c:v>
                </c:pt>
                <c:pt idx="175">
                  <c:v>1.8017017738191463E-12</c:v>
                </c:pt>
                <c:pt idx="176">
                  <c:v>1.8017017738191463E-12</c:v>
                </c:pt>
                <c:pt idx="177">
                  <c:v>1.8017017738191463E-12</c:v>
                </c:pt>
                <c:pt idx="178">
                  <c:v>1.8017017738191463E-12</c:v>
                </c:pt>
                <c:pt idx="179">
                  <c:v>1.8017017738191463E-12</c:v>
                </c:pt>
                <c:pt idx="180">
                  <c:v>1.8017017738191463E-12</c:v>
                </c:pt>
                <c:pt idx="181">
                  <c:v>1.8017017738191463E-12</c:v>
                </c:pt>
                <c:pt idx="182">
                  <c:v>1.8017017738191463E-12</c:v>
                </c:pt>
                <c:pt idx="183">
                  <c:v>1.8017017738191463E-12</c:v>
                </c:pt>
                <c:pt idx="184">
                  <c:v>1.8017017738191463E-12</c:v>
                </c:pt>
                <c:pt idx="185">
                  <c:v>1.8017017738191463E-12</c:v>
                </c:pt>
                <c:pt idx="186">
                  <c:v>1.8017017738191463E-12</c:v>
                </c:pt>
                <c:pt idx="187">
                  <c:v>1.8017017738191463E-12</c:v>
                </c:pt>
                <c:pt idx="188">
                  <c:v>1.8017017738191463E-12</c:v>
                </c:pt>
                <c:pt idx="189">
                  <c:v>1.8017017738191463E-12</c:v>
                </c:pt>
                <c:pt idx="190">
                  <c:v>1.8017017738191463E-12</c:v>
                </c:pt>
                <c:pt idx="191">
                  <c:v>1.8017017738191463E-12</c:v>
                </c:pt>
                <c:pt idx="192">
                  <c:v>1.8017017738191463E-12</c:v>
                </c:pt>
                <c:pt idx="193">
                  <c:v>1.8017017738191463E-12</c:v>
                </c:pt>
                <c:pt idx="194">
                  <c:v>1.8017017738191463E-12</c:v>
                </c:pt>
                <c:pt idx="195">
                  <c:v>1.8017017738191463E-12</c:v>
                </c:pt>
                <c:pt idx="196">
                  <c:v>1.8017017738191463E-12</c:v>
                </c:pt>
                <c:pt idx="197">
                  <c:v>1.8017017738191463E-12</c:v>
                </c:pt>
                <c:pt idx="198">
                  <c:v>1.8017017738191463E-12</c:v>
                </c:pt>
                <c:pt idx="199">
                  <c:v>1.8017017738191463E-12</c:v>
                </c:pt>
                <c:pt idx="200">
                  <c:v>1.8017017738191463E-12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90556096"/>
        <c:axId val="-890558816"/>
      </c:scatterChart>
      <c:valAx>
        <c:axId val="-89055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90558816"/>
        <c:crosses val="autoZero"/>
        <c:crossBetween val="midCat"/>
      </c:valAx>
      <c:valAx>
        <c:axId val="-89055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9055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185.88481063386453</c:v>
                </c:pt>
                <c:pt idx="27">
                  <c:v>204.40159586063612</c:v>
                </c:pt>
                <c:pt idx="28">
                  <c:v>222.87958017562786</c:v>
                </c:pt>
                <c:pt idx="29">
                  <c:v>241.32243325977697</c:v>
                </c:pt>
                <c:pt idx="30">
                  <c:v>259.73321764902875</c:v>
                </c:pt>
                <c:pt idx="31">
                  <c:v>196.84864368888998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245.45815924548194</c:v>
                </c:pt>
                <c:pt idx="35">
                  <c:v>261.61017170872896</c:v>
                </c:pt>
                <c:pt idx="36">
                  <c:v>275.86525948349646</c:v>
                </c:pt>
                <c:pt idx="37">
                  <c:v>290.10380901652701</c:v>
                </c:pt>
                <c:pt idx="38">
                  <c:v>304.32674644619152</c:v>
                </c:pt>
                <c:pt idx="39">
                  <c:v>318.53490425391573</c:v>
                </c:pt>
                <c:pt idx="40">
                  <c:v>332.72903457884451</c:v>
                </c:pt>
                <c:pt idx="41">
                  <c:v>266.48883532606988</c:v>
                </c:pt>
                <c:pt idx="42">
                  <c:v>278.86419064084299</c:v>
                </c:pt>
                <c:pt idx="43">
                  <c:v>291.22722867703141</c:v>
                </c:pt>
                <c:pt idx="44">
                  <c:v>303.57854617810898</c:v>
                </c:pt>
                <c:pt idx="45">
                  <c:v>315.91868734548348</c:v>
                </c:pt>
                <c:pt idx="46">
                  <c:v>326.00720293449416</c:v>
                </c:pt>
                <c:pt idx="47">
                  <c:v>336.08882358493884</c:v>
                </c:pt>
                <c:pt idx="48">
                  <c:v>346.16378539221324</c:v>
                </c:pt>
                <c:pt idx="49">
                  <c:v>356.23230957994451</c:v>
                </c:pt>
                <c:pt idx="50">
                  <c:v>366.29460383970849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361.07788328212001</c:v>
                </c:pt>
                <c:pt idx="57">
                  <c:v>368.90235411823818</c:v>
                </c:pt>
                <c:pt idx="58">
                  <c:v>376.72320412097571</c:v>
                </c:pt>
                <c:pt idx="59">
                  <c:v>384.5405191164823</c:v>
                </c:pt>
                <c:pt idx="60">
                  <c:v>392.35438115419714</c:v>
                </c:pt>
                <c:pt idx="61">
                  <c:v>361.07788328211996</c:v>
                </c:pt>
                <c:pt idx="62">
                  <c:v>367.03971658708974</c:v>
                </c:pt>
                <c:pt idx="63">
                  <c:v>372.99943588368342</c:v>
                </c:pt>
                <c:pt idx="64">
                  <c:v>378.95707974932702</c:v>
                </c:pt>
                <c:pt idx="65">
                  <c:v>384.91268544829808</c:v>
                </c:pt>
                <c:pt idx="66">
                  <c:v>390.49424676672464</c:v>
                </c:pt>
                <c:pt idx="67">
                  <c:v>396.07407711953448</c:v>
                </c:pt>
                <c:pt idx="68">
                  <c:v>401.65220435716355</c:v>
                </c:pt>
                <c:pt idx="69">
                  <c:v>407.22865549260882</c:v>
                </c:pt>
                <c:pt idx="70">
                  <c:v>412.80345673799053</c:v>
                </c:pt>
                <c:pt idx="71">
                  <c:v>387.8897352873326</c:v>
                </c:pt>
                <c:pt idx="72">
                  <c:v>392.72638504489845</c:v>
                </c:pt>
                <c:pt idx="73">
                  <c:v>397.56174311317301</c:v>
                </c:pt>
                <c:pt idx="74">
                  <c:v>402.39582743654245</c:v>
                </c:pt>
                <c:pt idx="75">
                  <c:v>407.22865549260882</c:v>
                </c:pt>
                <c:pt idx="76">
                  <c:v>398.67741344442697</c:v>
                </c:pt>
                <c:pt idx="77">
                  <c:v>403.13942078264876</c:v>
                </c:pt>
                <c:pt idx="78">
                  <c:v>407.60035995338347</c:v>
                </c:pt>
                <c:pt idx="79">
                  <c:v>412.06024430985235</c:v>
                </c:pt>
                <c:pt idx="80">
                  <c:v>416.51908689232118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93953456"/>
        <c:axId val="-893952912"/>
      </c:scatterChart>
      <c:valAx>
        <c:axId val="-893953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93952912"/>
        <c:crosses val="autoZero"/>
        <c:crossBetween val="midCat"/>
      </c:valAx>
      <c:valAx>
        <c:axId val="-89395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93953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93958896"/>
        <c:axId val="-893958352"/>
      </c:scatterChart>
      <c:valAx>
        <c:axId val="-893958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93958352"/>
        <c:crosses val="autoZero"/>
        <c:crossBetween val="midCat"/>
      </c:valAx>
      <c:valAx>
        <c:axId val="-89395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93958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93957808"/>
        <c:axId val="-893955632"/>
      </c:scatterChart>
      <c:valAx>
        <c:axId val="-893957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93955632"/>
        <c:crosses val="autoZero"/>
        <c:crossBetween val="midCat"/>
      </c:valAx>
      <c:valAx>
        <c:axId val="-89395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93957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81423792"/>
        <c:axId val="-1181424336"/>
      </c:scatterChart>
      <c:valAx>
        <c:axId val="-1181423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81424336"/>
        <c:crosses val="autoZero"/>
        <c:crossBetween val="midCat"/>
      </c:valAx>
      <c:valAx>
        <c:axId val="-118142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81423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81422704"/>
        <c:axId val="-1181420528"/>
      </c:scatterChart>
      <c:valAx>
        <c:axId val="-1181422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81420528"/>
        <c:crosses val="autoZero"/>
        <c:crossBetween val="midCat"/>
      </c:valAx>
      <c:valAx>
        <c:axId val="-118142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81422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81419440"/>
        <c:axId val="-1017303664"/>
      </c:scatterChart>
      <c:valAx>
        <c:axId val="-11814194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17303664"/>
        <c:crosses val="autoZero"/>
        <c:crossBetween val="midCat"/>
      </c:valAx>
      <c:valAx>
        <c:axId val="-101730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81419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17303120"/>
        <c:axId val="-1017299312"/>
      </c:scatterChart>
      <c:valAx>
        <c:axId val="-1017303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17299312"/>
        <c:crosses val="autoZero"/>
        <c:crossBetween val="midCat"/>
      </c:valAx>
      <c:valAx>
        <c:axId val="-10172993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17303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90" zoomScaleNormal="90" workbookViewId="0">
      <selection activeCell="C12" sqref="C1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0.6</v>
      </c>
      <c r="D9" s="36">
        <f t="shared" ref="D9:D18" si="0">C9*$C$5</f>
        <v>1.56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52</v>
      </c>
      <c r="C10" s="35">
        <v>0.1</v>
      </c>
      <c r="D10" s="36">
        <f t="shared" si="0"/>
        <v>0.26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21</v>
      </c>
      <c r="C11" s="35">
        <v>0.1</v>
      </c>
      <c r="D11" s="36">
        <f t="shared" si="0"/>
        <v>0.26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0.79999999999999993</v>
      </c>
      <c r="D19" s="41">
        <f>SUM(D9:D18)</f>
        <v>2.08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71</v>
      </c>
      <c r="C37" s="63">
        <v>1</v>
      </c>
      <c r="D37" s="6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97</v>
      </c>
      <c r="C38" s="63"/>
      <c r="D38" s="63"/>
      <c r="E38" s="54"/>
      <c r="F38" s="54"/>
      <c r="G38" s="54"/>
      <c r="H38" s="54"/>
      <c r="I38" s="56">
        <f t="shared" si="1"/>
        <v>6.8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v>137</v>
      </c>
      <c r="C39" s="63">
        <v>2</v>
      </c>
      <c r="D39" s="63"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v>137</v>
      </c>
      <c r="C40" s="63"/>
      <c r="D40" s="63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v>179</v>
      </c>
      <c r="C41" s="63">
        <v>3</v>
      </c>
      <c r="D41" s="63"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v>178</v>
      </c>
      <c r="C42" s="63"/>
      <c r="D42" s="63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55</v>
      </c>
      <c r="B43" s="63">
        <v>218</v>
      </c>
      <c r="C43" s="63">
        <v>4</v>
      </c>
      <c r="D43" s="63"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60</v>
      </c>
      <c r="B44" s="63">
        <v>214</v>
      </c>
      <c r="C44" s="63"/>
      <c r="D44" s="63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65</v>
      </c>
      <c r="B45" s="63">
        <v>250</v>
      </c>
      <c r="C45" s="63">
        <v>5</v>
      </c>
      <c r="D45" s="63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70</v>
      </c>
      <c r="B46" s="63">
        <v>242</v>
      </c>
      <c r="C46" s="63"/>
      <c r="D46" s="63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75</v>
      </c>
      <c r="B47" s="63">
        <v>273</v>
      </c>
      <c r="C47" s="63">
        <v>6</v>
      </c>
      <c r="D47" s="63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85</v>
      </c>
      <c r="B48" s="63">
        <v>290</v>
      </c>
      <c r="C48" s="63">
        <v>7</v>
      </c>
      <c r="D48" s="63">
        <v>42</v>
      </c>
      <c r="E48" s="54"/>
      <c r="F48" s="54"/>
      <c r="G48" s="54"/>
      <c r="H48" s="54"/>
      <c r="I48" s="52">
        <f t="shared" si="1"/>
        <v>5.9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95</v>
      </c>
      <c r="B49" s="63">
        <v>300</v>
      </c>
      <c r="C49" s="63">
        <v>8</v>
      </c>
      <c r="D49" s="63">
        <v>42</v>
      </c>
      <c r="E49" s="54"/>
      <c r="F49" s="54"/>
      <c r="G49" s="54"/>
      <c r="H49" s="54"/>
      <c r="I49" s="52">
        <f t="shared" si="1"/>
        <v>5.2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105</v>
      </c>
      <c r="B50" s="53">
        <v>305</v>
      </c>
      <c r="C50" s="53">
        <v>9</v>
      </c>
      <c r="D50" s="53">
        <v>41</v>
      </c>
      <c r="E50" s="54"/>
      <c r="F50" s="54"/>
      <c r="G50" s="54"/>
      <c r="H50" s="54"/>
      <c r="I50" s="52">
        <f t="shared" si="1"/>
        <v>4.7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115</v>
      </c>
      <c r="B51" s="53">
        <v>304</v>
      </c>
      <c r="C51" s="53">
        <v>10</v>
      </c>
      <c r="D51" s="53">
        <v>37</v>
      </c>
      <c r="E51" s="54"/>
      <c r="F51" s="54"/>
      <c r="G51" s="54"/>
      <c r="H51" s="54"/>
      <c r="I51" s="52">
        <f t="shared" si="1"/>
        <v>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125</v>
      </c>
      <c r="B52" s="53">
        <v>301</v>
      </c>
      <c r="C52" s="53">
        <v>11</v>
      </c>
      <c r="D52" s="53">
        <v>33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135</v>
      </c>
      <c r="B53" s="53">
        <v>298</v>
      </c>
      <c r="C53" s="53">
        <v>12</v>
      </c>
      <c r="D53" s="53">
        <v>29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145</v>
      </c>
      <c r="B54" s="53">
        <v>295</v>
      </c>
      <c r="C54" s="53">
        <v>13</v>
      </c>
      <c r="D54" s="53">
        <v>26</v>
      </c>
      <c r="E54" s="54"/>
      <c r="F54" s="54"/>
      <c r="G54" s="54"/>
      <c r="H54" s="54"/>
      <c r="I54" s="52">
        <f t="shared" si="1"/>
        <v>2.6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>
        <v>150</v>
      </c>
      <c r="B55" s="53">
        <v>292</v>
      </c>
      <c r="C55" s="53">
        <v>14</v>
      </c>
      <c r="D55" s="53">
        <v>292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Cormier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3">
        <v>30</v>
      </c>
      <c r="C62" s="63"/>
      <c r="D62" s="63"/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3">
        <v>54</v>
      </c>
      <c r="C63" s="63"/>
      <c r="D63" s="63"/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35</v>
      </c>
      <c r="B64" s="63">
        <v>79</v>
      </c>
      <c r="C64" s="63">
        <v>1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63">
        <v>93</v>
      </c>
      <c r="C65" s="63"/>
      <c r="D65" s="63"/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45</v>
      </c>
      <c r="B66" s="63">
        <v>121</v>
      </c>
      <c r="C66" s="63">
        <v>2</v>
      </c>
      <c r="D66" s="63">
        <v>27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50</v>
      </c>
      <c r="B67" s="63">
        <v>121</v>
      </c>
      <c r="C67" s="63"/>
      <c r="D67" s="63"/>
      <c r="E67" s="54"/>
      <c r="F67" s="54"/>
      <c r="G67" s="54"/>
      <c r="H67" s="54"/>
      <c r="I67" s="52">
        <f t="shared" si="2"/>
        <v>5.4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55</v>
      </c>
      <c r="B68" s="63">
        <v>149</v>
      </c>
      <c r="C68" s="63">
        <v>3</v>
      </c>
      <c r="D68" s="63">
        <v>28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83">
        <v>60</v>
      </c>
      <c r="B69" s="63">
        <v>148</v>
      </c>
      <c r="C69" s="63"/>
      <c r="D69" s="63"/>
      <c r="E69" s="54"/>
      <c r="F69" s="54"/>
      <c r="G69" s="54"/>
      <c r="H69" s="54"/>
      <c r="I69" s="52">
        <f t="shared" si="2"/>
        <v>5.4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283">
        <v>65</v>
      </c>
      <c r="B70" s="63">
        <v>175</v>
      </c>
      <c r="C70" s="63">
        <v>4</v>
      </c>
      <c r="D70" s="63">
        <v>28</v>
      </c>
      <c r="E70" s="54"/>
      <c r="F70" s="54"/>
      <c r="G70" s="54"/>
      <c r="H70" s="54"/>
      <c r="I70" s="52">
        <f t="shared" si="2"/>
        <v>5.4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283">
        <v>70</v>
      </c>
      <c r="B71" s="63">
        <v>172</v>
      </c>
      <c r="C71" s="63"/>
      <c r="D71" s="63"/>
      <c r="E71" s="54"/>
      <c r="F71" s="54"/>
      <c r="G71" s="54"/>
      <c r="H71" s="54"/>
      <c r="I71" s="52">
        <f t="shared" si="2"/>
        <v>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283">
        <v>75</v>
      </c>
      <c r="B72" s="63">
        <v>183</v>
      </c>
      <c r="C72" s="63">
        <v>5</v>
      </c>
      <c r="D72" s="63">
        <v>28</v>
      </c>
      <c r="E72" s="54"/>
      <c r="F72" s="54"/>
      <c r="G72" s="54"/>
      <c r="H72" s="54"/>
      <c r="I72" s="52">
        <f t="shared" si="2"/>
        <v>2.2000000000000002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83">
        <v>85</v>
      </c>
      <c r="B73" s="63">
        <v>214</v>
      </c>
      <c r="C73" s="63">
        <v>6</v>
      </c>
      <c r="D73" s="63">
        <v>28</v>
      </c>
      <c r="E73" s="54"/>
      <c r="F73" s="54"/>
      <c r="G73" s="54"/>
      <c r="H73" s="54"/>
      <c r="I73" s="52">
        <f t="shared" si="2"/>
        <v>5.9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283">
        <v>95</v>
      </c>
      <c r="B74" s="63">
        <v>226</v>
      </c>
      <c r="C74" s="63">
        <v>7</v>
      </c>
      <c r="D74" s="63">
        <v>28</v>
      </c>
      <c r="E74" s="54"/>
      <c r="F74" s="54"/>
      <c r="G74" s="54"/>
      <c r="H74" s="54"/>
      <c r="I74" s="52">
        <f t="shared" si="2"/>
        <v>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283">
        <v>105</v>
      </c>
      <c r="B75" s="63">
        <v>232</v>
      </c>
      <c r="C75" s="63">
        <v>8</v>
      </c>
      <c r="D75" s="63">
        <v>28</v>
      </c>
      <c r="E75" s="54"/>
      <c r="F75" s="54"/>
      <c r="G75" s="54"/>
      <c r="H75" s="54"/>
      <c r="I75" s="52">
        <f t="shared" si="2"/>
        <v>3.4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283">
        <v>115</v>
      </c>
      <c r="B76" s="53">
        <v>233</v>
      </c>
      <c r="C76" s="53">
        <v>9</v>
      </c>
      <c r="D76" s="53">
        <v>26</v>
      </c>
      <c r="E76" s="54"/>
      <c r="F76" s="54"/>
      <c r="G76" s="54"/>
      <c r="H76" s="54"/>
      <c r="I76" s="52">
        <f t="shared" si="2"/>
        <v>2.9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283">
        <v>125</v>
      </c>
      <c r="B77" s="53">
        <v>232</v>
      </c>
      <c r="C77" s="53">
        <v>10</v>
      </c>
      <c r="D77" s="53">
        <v>23</v>
      </c>
      <c r="E77" s="54"/>
      <c r="F77" s="54"/>
      <c r="G77" s="54"/>
      <c r="H77" s="54"/>
      <c r="I77" s="52">
        <f t="shared" si="2"/>
        <v>2.5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283">
        <v>135</v>
      </c>
      <c r="B78" s="53">
        <v>229</v>
      </c>
      <c r="C78" s="53">
        <v>11</v>
      </c>
      <c r="D78" s="53">
        <v>19</v>
      </c>
      <c r="E78" s="54"/>
      <c r="F78" s="54"/>
      <c r="G78" s="54"/>
      <c r="H78" s="54"/>
      <c r="I78" s="52">
        <f t="shared" si="2"/>
        <v>2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283">
        <v>145</v>
      </c>
      <c r="B79" s="53">
        <v>226</v>
      </c>
      <c r="C79" s="53">
        <v>12</v>
      </c>
      <c r="D79" s="53">
        <v>15</v>
      </c>
      <c r="E79" s="54"/>
      <c r="F79" s="54"/>
      <c r="G79" s="54"/>
      <c r="H79" s="54"/>
      <c r="I79" s="52">
        <f t="shared" si="2"/>
        <v>1.6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283">
        <v>150</v>
      </c>
      <c r="B80" s="53">
        <v>217</v>
      </c>
      <c r="C80" s="53">
        <v>13</v>
      </c>
      <c r="D80" s="53">
        <v>217</v>
      </c>
      <c r="E80" s="54"/>
      <c r="F80" s="54"/>
      <c r="G80" s="54"/>
      <c r="H80" s="54"/>
      <c r="I80" s="52">
        <f t="shared" si="2"/>
        <v>1.2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Erable champêtre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9</v>
      </c>
      <c r="C88" s="63"/>
      <c r="D88" s="63"/>
      <c r="E88" s="54"/>
      <c r="F88" s="54"/>
      <c r="G88" s="54"/>
      <c r="H88" s="93"/>
      <c r="I88" s="56">
        <f>IFERROR(B88/A88,"")</f>
        <v>0.6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v>57</v>
      </c>
      <c r="C89" s="63">
        <v>1</v>
      </c>
      <c r="D89" s="63">
        <v>21</v>
      </c>
      <c r="E89" s="54"/>
      <c r="F89" s="54"/>
      <c r="G89" s="54"/>
      <c r="H89" s="93">
        <v>1</v>
      </c>
      <c r="I89" s="56">
        <f t="shared" ref="I89:I107" si="3">IF(A89&lt;&gt;0,(B89-(B88-D88))/(A89-A88),"")</f>
        <v>9.6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86</v>
      </c>
      <c r="C90" s="63"/>
      <c r="D90" s="63"/>
      <c r="E90" s="93"/>
      <c r="F90" s="93"/>
      <c r="G90" s="93"/>
      <c r="H90" s="93"/>
      <c r="I90" s="56">
        <f t="shared" si="3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v>135</v>
      </c>
      <c r="C91" s="63">
        <v>2</v>
      </c>
      <c r="D91" s="63">
        <v>42</v>
      </c>
      <c r="E91" s="93"/>
      <c r="F91" s="93"/>
      <c r="G91" s="93"/>
      <c r="H91" s="93">
        <v>1</v>
      </c>
      <c r="I91" s="56">
        <f t="shared" si="3"/>
        <v>9.8000000000000007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v>136</v>
      </c>
      <c r="C92" s="63"/>
      <c r="D92" s="63"/>
      <c r="E92" s="93"/>
      <c r="F92" s="93"/>
      <c r="G92" s="93"/>
      <c r="H92" s="93"/>
      <c r="I92" s="56">
        <f t="shared" si="3"/>
        <v>8.6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v>174</v>
      </c>
      <c r="C93" s="63">
        <v>3</v>
      </c>
      <c r="D93" s="63">
        <v>42</v>
      </c>
      <c r="E93" s="93"/>
      <c r="F93" s="93"/>
      <c r="G93" s="93"/>
      <c r="H93" s="93"/>
      <c r="I93" s="56">
        <f t="shared" si="3"/>
        <v>7.6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v>165</v>
      </c>
      <c r="C94" s="63"/>
      <c r="D94" s="63"/>
      <c r="E94" s="93"/>
      <c r="F94" s="93"/>
      <c r="G94" s="93"/>
      <c r="H94" s="93"/>
      <c r="I94" s="56">
        <f t="shared" si="3"/>
        <v>6.6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50</v>
      </c>
      <c r="B95" s="63">
        <v>192</v>
      </c>
      <c r="C95" s="63">
        <v>4</v>
      </c>
      <c r="D95" s="63">
        <v>31</v>
      </c>
      <c r="E95" s="93"/>
      <c r="F95" s="93"/>
      <c r="G95" s="93"/>
      <c r="H95" s="93"/>
      <c r="I95" s="56">
        <f t="shared" si="3"/>
        <v>5.4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55</v>
      </c>
      <c r="B96" s="63">
        <v>185</v>
      </c>
      <c r="C96" s="63"/>
      <c r="D96" s="63"/>
      <c r="E96" s="93"/>
      <c r="F96" s="93"/>
      <c r="G96" s="93"/>
      <c r="H96" s="93"/>
      <c r="I96" s="56">
        <f t="shared" si="3"/>
        <v>4.8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60</v>
      </c>
      <c r="B97" s="63">
        <v>206</v>
      </c>
      <c r="C97" s="63">
        <v>5</v>
      </c>
      <c r="D97" s="63">
        <v>20</v>
      </c>
      <c r="E97" s="93"/>
      <c r="F97" s="93"/>
      <c r="G97" s="93"/>
      <c r="H97" s="93"/>
      <c r="I97" s="56">
        <f t="shared" si="3"/>
        <v>4.2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65</v>
      </c>
      <c r="B98" s="63">
        <v>202</v>
      </c>
      <c r="C98" s="63"/>
      <c r="D98" s="63"/>
      <c r="E98" s="93"/>
      <c r="F98" s="93"/>
      <c r="G98" s="93"/>
      <c r="H98" s="93"/>
      <c r="I98" s="56">
        <f t="shared" si="3"/>
        <v>3.2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70</v>
      </c>
      <c r="B99" s="63">
        <v>217</v>
      </c>
      <c r="C99" s="63">
        <v>6</v>
      </c>
      <c r="D99" s="63">
        <v>16</v>
      </c>
      <c r="E99" s="93"/>
      <c r="F99" s="93"/>
      <c r="G99" s="93"/>
      <c r="H99" s="93"/>
      <c r="I99" s="56">
        <f t="shared" si="3"/>
        <v>3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75</v>
      </c>
      <c r="B100" s="63">
        <v>214</v>
      </c>
      <c r="C100" s="63">
        <v>7</v>
      </c>
      <c r="D100" s="63">
        <v>7</v>
      </c>
      <c r="E100" s="68"/>
      <c r="F100" s="68"/>
      <c r="G100" s="68"/>
      <c r="H100" s="68"/>
      <c r="I100" s="56">
        <f t="shared" si="3"/>
        <v>2.6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80</v>
      </c>
      <c r="B101" s="63">
        <v>219</v>
      </c>
      <c r="C101" s="63">
        <v>8</v>
      </c>
      <c r="D101" s="63">
        <v>219</v>
      </c>
      <c r="E101" s="68"/>
      <c r="F101" s="68"/>
      <c r="G101" s="68"/>
      <c r="H101" s="68"/>
      <c r="I101" s="56">
        <f t="shared" si="3"/>
        <v>2.4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C17" sqref="C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Cormier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Erable champêtre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429.08703331308703</v>
      </c>
      <c r="T3" s="62">
        <f>IF('Données projet'!E9&gt;30,$R$33-$H$33,LOOKUP('Données projet'!$E$9,$A$3:$A$203,R3:R203)-LOOKUP('Données projet'!$E$9,$A$3:$A$203,$H$3:$H$203))</f>
        <v>231.36959598460675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377.28543127606366</v>
      </c>
      <c r="AO3" s="62">
        <f>IF('Données projet'!E10&gt;30,$AM$33-$H$33,LOOKUP('Données projet'!$E$10,$A$3:$A$203,AM3:AM203)-LOOKUP('Données projet'!$E$10,$A$3:$A$203,$H$3:$H$203))</f>
        <v>166.97658184507776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271.30269362742433</v>
      </c>
      <c r="BJ3" s="62">
        <f>IF('Données projet'!E11&gt;30,$BH$33-$H$33,LOOKUP('Données projet'!$E$11,$A$3:$A$203,BH3:BH203)-LOOKUP('Données projet'!$E$11,$A$3:$A$203,$H$3:$H$203))</f>
        <v>296.39988431569537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260.65521412271448</v>
      </c>
      <c r="S4" s="62">
        <f ca="1">AVERAGE(OFFSET($R$3,0,0,'Données projet'!$E$9+1,1))-AVERAGE(OFFSET($H$3,0,0,'Données projet'!$E$9+1,1))</f>
        <v>429.08703331308703</v>
      </c>
      <c r="T4" s="62">
        <f>$T$3</f>
        <v>231.36959598460675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1.233271056696907</v>
      </c>
      <c r="AK4" s="14">
        <f>EXP(-1.0587+0.8836*LN(AJ4)+0.284)</f>
        <v>0.55464025923604754</v>
      </c>
      <c r="AL4" s="22">
        <f t="shared" ref="AL4:AL67" si="4">(AJ4+AK4)*0.475*44/12</f>
        <v>3.113945541916562</v>
      </c>
      <c r="AM4" s="62">
        <f t="shared" ref="AM4:AM67" si="5">AL4+(AD4+AE4)*44/12</f>
        <v>261.00283443080542</v>
      </c>
      <c r="AN4" s="62">
        <f ca="1">AVERAGE(OFFSET($AM$3,0,0,'Données projet'!$E$10+1,1))-AVERAGE(OFFSET($H$3,0,0,'Données projet'!$E$10+1,1))</f>
        <v>377.28543127606366</v>
      </c>
      <c r="AO4" s="62">
        <f>$AO$3</f>
        <v>166.97658184507776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0.6</v>
      </c>
      <c r="BD4" s="13">
        <f>IF('Données projet'!$A$88&gt;35,BD3+BC4-BL3,IF(A4&lt;'Données projet'!$A$88,$BA$205^A4,IF(A4='Données projet'!$A$88,'Données projet'!$B$88,BD3+BC4-BL3)))</f>
        <v>1.1577536725165907</v>
      </c>
      <c r="BE4" s="14">
        <f>BD4*VLOOKUP('Données projet'!$B$11,Paramètres!$A$1:$I$89,3,0)*VLOOKUP('Données projet'!$B$11,Paramètres!$A$1:$I$89,5,0)</f>
        <v>1.0114136083104937</v>
      </c>
      <c r="BF4" s="14">
        <f>EXP(-1.0587+0.8836*LN(BE4)+0.284)</f>
        <v>0.46548655994988658</v>
      </c>
      <c r="BG4" s="22">
        <f t="shared" ref="BG4:BG67" si="7">(BE4+BF4)*0.475*44/12</f>
        <v>2.5722677930534954</v>
      </c>
      <c r="BH4" s="62">
        <f t="shared" ref="BH4:BH67" si="8">BG4+(AY4+AZ4)*44/12</f>
        <v>260.46115668194233</v>
      </c>
      <c r="BI4" s="62">
        <f ca="1">AVERAGE(OFFSET($BH$3,0,0,'Données projet'!$E$11+1,1))-AVERAGE(OFFSET($H$3,0,0,'Données projet'!$E$11+1,1))</f>
        <v>271.30269362742433</v>
      </c>
      <c r="BJ4" s="62">
        <f>$BJ$3</f>
        <v>296.39988431569537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262.42339882093205</v>
      </c>
      <c r="S5" s="62">
        <f ca="1">AVERAGE(OFFSET($R$3,0,0,'Données projet'!$E$9+1,1))-AVERAGE(OFFSET($H$3,0,0,'Données projet'!$E$9+1,1))</f>
        <v>429.08703331308703</v>
      </c>
      <c r="T5" s="62">
        <f t="shared" ref="T5:T68" si="34">$T$3</f>
        <v>231.36959598460675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1.4130039941344348</v>
      </c>
      <c r="AK5" s="14">
        <f t="shared" ref="AK5:AK68" si="35">EXP(-1.0587+0.8836*LN(AJ5)+0.284)</f>
        <v>0.62548768551477418</v>
      </c>
      <c r="AL5" s="22">
        <f t="shared" si="4"/>
        <v>3.5503730087223722</v>
      </c>
      <c r="AM5" s="62">
        <f t="shared" si="5"/>
        <v>262.66148411983352</v>
      </c>
      <c r="AN5" s="62">
        <f ca="1">AVERAGE(OFFSET($AM$3,0,0,'Données projet'!$E$10+1,1))-AVERAGE(OFFSET($H$3,0,0,'Données projet'!$E$10+1,1))</f>
        <v>377.28543127606366</v>
      </c>
      <c r="AO5" s="62">
        <f t="shared" ref="AO5:AO68" si="36">$AO$3</f>
        <v>166.97658184507776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0.6</v>
      </c>
      <c r="BD5" s="13">
        <f>IF('Données projet'!$A$88&gt;35,BD4+BC5-BL4,IF(A5&lt;'Données projet'!$A$88,$BA$205^A5,IF(A5='Données projet'!$A$88,'Données projet'!$B$88,BD4+BC5-BL4)))</f>
        <v>1.340393566225653</v>
      </c>
      <c r="BE5" s="14">
        <f>BD5*VLOOKUP('Données projet'!$B$11,Paramètres!$A$1:$I$89,3,0)*VLOOKUP('Données projet'!$B$11,Paramètres!$A$1:$I$89,5,0)</f>
        <v>1.1709678194547306</v>
      </c>
      <c r="BF5" s="14">
        <f t="shared" ref="BF5:BF68" si="37">EXP(-1.0587+0.8836*LN(BE5)+0.284)</f>
        <v>0.52980785325350399</v>
      </c>
      <c r="BG5" s="22">
        <f t="shared" si="7"/>
        <v>2.9621842966335081</v>
      </c>
      <c r="BH5" s="62">
        <f t="shared" si="8"/>
        <v>262.07329540774464</v>
      </c>
      <c r="BI5" s="62">
        <f ca="1">AVERAGE(OFFSET($BH$3,0,0,'Données projet'!$E$11+1,1))-AVERAGE(OFFSET($H$3,0,0,'Données projet'!$E$11+1,1))</f>
        <v>271.30269362742433</v>
      </c>
      <c r="BJ5" s="62">
        <f t="shared" ref="BJ5:BJ68" si="38">$BJ$3</f>
        <v>296.39988431569537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264.29973523978072</v>
      </c>
      <c r="S6" s="62">
        <f ca="1">AVERAGE(OFFSET($R$3,0,0,'Données projet'!$E$9+1,1))-AVERAGE(OFFSET($H$3,0,0,'Données projet'!$E$9+1,1))</f>
        <v>429.08703331308703</v>
      </c>
      <c r="T6" s="62">
        <f t="shared" si="34"/>
        <v>231.36959598460675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1.6189306289140883</v>
      </c>
      <c r="AK6" s="14">
        <f t="shared" si="35"/>
        <v>0.70538486562354785</v>
      </c>
      <c r="AL6" s="22">
        <f t="shared" si="4"/>
        <v>4.0481828196530492</v>
      </c>
      <c r="AM6" s="62">
        <f t="shared" si="5"/>
        <v>264.38151615298636</v>
      </c>
      <c r="AN6" s="62">
        <f ca="1">AVERAGE(OFFSET($AM$3,0,0,'Données projet'!$E$10+1,1))-AVERAGE(OFFSET($H$3,0,0,'Données projet'!$E$10+1,1))</f>
        <v>377.28543127606366</v>
      </c>
      <c r="AO6" s="62">
        <f t="shared" si="36"/>
        <v>166.97658184507776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0.6</v>
      </c>
      <c r="BD6" s="13">
        <f>IF('Données projet'!$A$88&gt;35,BD5+BC6-BL5,IF(A6&lt;'Données projet'!$A$88,$BA$205^A6,IF(A6='Données projet'!$A$88,'Données projet'!$B$88,BD5+BC6-BL5)))</f>
        <v>1.5518455739153598</v>
      </c>
      <c r="BE6" s="14">
        <f>BD6*VLOOKUP('Données projet'!$B$11,Paramètres!$A$1:$I$89,3,0)*VLOOKUP('Données projet'!$B$11,Paramètres!$A$1:$I$89,5,0)</f>
        <v>1.3556922933724584</v>
      </c>
      <c r="BF6" s="14">
        <f t="shared" si="37"/>
        <v>0.6030171126730397</v>
      </c>
      <c r="BG6" s="22">
        <f t="shared" si="7"/>
        <v>3.4114188821959091</v>
      </c>
      <c r="BH6" s="62">
        <f t="shared" si="8"/>
        <v>263.74475221552922</v>
      </c>
      <c r="BI6" s="62">
        <f ca="1">AVERAGE(OFFSET($BH$3,0,0,'Données projet'!$E$11+1,1))-AVERAGE(OFFSET($H$3,0,0,'Données projet'!$E$11+1,1))</f>
        <v>271.30269362742433</v>
      </c>
      <c r="BJ6" s="62">
        <f t="shared" si="38"/>
        <v>296.39988431569537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266.30572241486152</v>
      </c>
      <c r="S7" s="62">
        <f ca="1">AVERAGE(OFFSET($R$3,0,0,'Données projet'!$E$9+1,1))-AVERAGE(OFFSET($H$3,0,0,'Données projet'!$E$9+1,1))</f>
        <v>429.08703331308703</v>
      </c>
      <c r="T7" s="62">
        <f t="shared" si="34"/>
        <v>231.36959598460675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1.8548683458192732</v>
      </c>
      <c r="AK7" s="14">
        <f t="shared" si="35"/>
        <v>0.79548777725536501</v>
      </c>
      <c r="AL7" s="22">
        <f t="shared" si="4"/>
        <v>4.6160369143549937</v>
      </c>
      <c r="AM7" s="62">
        <f t="shared" si="5"/>
        <v>266.17159246991054</v>
      </c>
      <c r="AN7" s="62">
        <f ca="1">AVERAGE(OFFSET($AM$3,0,0,'Données projet'!$E$10+1,1))-AVERAGE(OFFSET($H$3,0,0,'Données projet'!$E$10+1,1))</f>
        <v>377.28543127606366</v>
      </c>
      <c r="AO7" s="62">
        <f t="shared" si="36"/>
        <v>166.97658184507776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0.6</v>
      </c>
      <c r="BD7" s="13">
        <f>IF('Données projet'!$A$88&gt;35,BD6+BC7-BL6,IF(A7&lt;'Données projet'!$A$88,$BA$205^A7,IF(A7='Données projet'!$A$88,'Données projet'!$B$88,BD6+BC7-BL6)))</f>
        <v>1.796654912379124</v>
      </c>
      <c r="BE7" s="14">
        <f>BD7*VLOOKUP('Données projet'!$B$11,Paramètres!$A$1:$I$89,3,0)*VLOOKUP('Données projet'!$B$11,Paramètres!$A$1:$I$89,5,0)</f>
        <v>1.5695577314544029</v>
      </c>
      <c r="BF7" s="14">
        <f t="shared" si="37"/>
        <v>0.68634248424879218</v>
      </c>
      <c r="BG7" s="22">
        <f t="shared" si="7"/>
        <v>3.9290262090163979</v>
      </c>
      <c r="BH7" s="62">
        <f t="shared" si="8"/>
        <v>265.48458176457194</v>
      </c>
      <c r="BI7" s="62">
        <f ca="1">AVERAGE(OFFSET($BH$3,0,0,'Données projet'!$E$11+1,1))-AVERAGE(OFFSET($H$3,0,0,'Données projet'!$E$11+1,1))</f>
        <v>271.30269362742433</v>
      </c>
      <c r="BJ7" s="62">
        <f t="shared" si="38"/>
        <v>296.39988431569537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268.46714702955143</v>
      </c>
      <c r="S8" s="62">
        <f ca="1">AVERAGE(OFFSET($R$3,0,0,'Données projet'!$E$9+1,1))-AVERAGE(OFFSET($H$3,0,0,'Données projet'!$E$9+1,1))</f>
        <v>429.08703331308703</v>
      </c>
      <c r="T8" s="62">
        <f t="shared" si="34"/>
        <v>231.36959598460675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2.1251908629526004</v>
      </c>
      <c r="AK8" s="14">
        <f t="shared" si="35"/>
        <v>0.89710005785748825</v>
      </c>
      <c r="AL8" s="22">
        <f t="shared" si="4"/>
        <v>5.2638233537442369</v>
      </c>
      <c r="AM8" s="62">
        <f t="shared" si="5"/>
        <v>268.04160113152199</v>
      </c>
      <c r="AN8" s="62">
        <f ca="1">AVERAGE(OFFSET($AM$3,0,0,'Données projet'!$E$10+1,1))-AVERAGE(OFFSET($H$3,0,0,'Données projet'!$E$10+1,1))</f>
        <v>377.28543127606366</v>
      </c>
      <c r="AO8" s="62">
        <f t="shared" si="36"/>
        <v>166.97658184507776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0.6</v>
      </c>
      <c r="BD8" s="13">
        <f>IF('Données projet'!$A$88&gt;35,BD7+BC8-BL7,IF(A8&lt;'Données projet'!$A$88,$BA$205^A8,IF(A8='Données projet'!$A$88,'Données projet'!$B$88,BD7+BC8-BL7)))</f>
        <v>2.0800838230519041</v>
      </c>
      <c r="BE8" s="14">
        <f>BD8*VLOOKUP('Données projet'!$B$11,Paramètres!$A$1:$I$89,3,0)*VLOOKUP('Données projet'!$B$11,Paramètres!$A$1:$I$89,5,0)</f>
        <v>1.8171612278181437</v>
      </c>
      <c r="BF8" s="14">
        <f t="shared" si="37"/>
        <v>0.78118182019192373</v>
      </c>
      <c r="BG8" s="22">
        <f t="shared" si="7"/>
        <v>4.5254474752842002</v>
      </c>
      <c r="BH8" s="62">
        <f t="shared" si="8"/>
        <v>267.30322525306195</v>
      </c>
      <c r="BI8" s="62">
        <f ca="1">AVERAGE(OFFSET($BH$3,0,0,'Données projet'!$E$11+1,1))-AVERAGE(OFFSET($H$3,0,0,'Données projet'!$E$11+1,1))</f>
        <v>271.30269362742433</v>
      </c>
      <c r="BJ8" s="62">
        <f t="shared" si="38"/>
        <v>296.39988431569537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270.81494110736412</v>
      </c>
      <c r="S9" s="62">
        <f ca="1">AVERAGE(OFFSET($R$3,0,0,'Données projet'!$E$9+1,1))-AVERAGE(OFFSET($H$3,0,0,'Données projet'!$E$9+1,1))</f>
        <v>429.08703331308703</v>
      </c>
      <c r="T9" s="62">
        <f t="shared" si="34"/>
        <v>231.36959598460675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2.4349093099555601</v>
      </c>
      <c r="AK9" s="14">
        <f t="shared" si="35"/>
        <v>1.0116918660706939</v>
      </c>
      <c r="AL9" s="22">
        <f t="shared" si="4"/>
        <v>6.0028303815790593</v>
      </c>
      <c r="AM9" s="62">
        <f t="shared" si="5"/>
        <v>270.00283038157909</v>
      </c>
      <c r="AN9" s="62">
        <f ca="1">AVERAGE(OFFSET($AM$3,0,0,'Données projet'!$E$10+1,1))-AVERAGE(OFFSET($H$3,0,0,'Données projet'!$E$10+1,1))</f>
        <v>377.28543127606366</v>
      </c>
      <c r="AO9" s="62">
        <f t="shared" si="36"/>
        <v>166.97658184507776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0.6</v>
      </c>
      <c r="BD9" s="13">
        <f>IF('Données projet'!$A$88&gt;35,BD8+BC9-BL8,IF(A9&lt;'Données projet'!$A$88,$BA$205^A9,IF(A9='Données projet'!$A$88,'Données projet'!$B$88,BD8+BC9-BL8)))</f>
        <v>2.4082246852806919</v>
      </c>
      <c r="BE9" s="14">
        <f>BD9*VLOOKUP('Données projet'!$B$11,Paramètres!$A$1:$I$89,3,0)*VLOOKUP('Données projet'!$B$11,Paramètres!$A$1:$I$89,5,0)</f>
        <v>2.1038250850612128</v>
      </c>
      <c r="BF9" s="14">
        <f t="shared" si="37"/>
        <v>0.88912612901456256</v>
      </c>
      <c r="BG9" s="22">
        <f t="shared" si="7"/>
        <v>5.2127233645153082</v>
      </c>
      <c r="BH9" s="62">
        <f t="shared" si="8"/>
        <v>269.21272336451528</v>
      </c>
      <c r="BI9" s="62">
        <f ca="1">AVERAGE(OFFSET($BH$3,0,0,'Données projet'!$E$11+1,1))-AVERAGE(OFFSET($H$3,0,0,'Données projet'!$E$11+1,1))</f>
        <v>271.30269362742433</v>
      </c>
      <c r="BJ9" s="62">
        <f t="shared" si="38"/>
        <v>296.39988431569537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273.38621175408076</v>
      </c>
      <c r="S10" s="62">
        <f ca="1">AVERAGE(OFFSET($R$3,0,0,'Données projet'!$E$9+1,1))-AVERAGE(OFFSET($H$3,0,0,'Données projet'!$E$9+1,1))</f>
        <v>429.08703331308703</v>
      </c>
      <c r="T10" s="62">
        <f t="shared" si="34"/>
        <v>231.36959598460675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2.7897651223058633</v>
      </c>
      <c r="AK10" s="14">
        <f t="shared" si="35"/>
        <v>1.1409211524498617</v>
      </c>
      <c r="AL10" s="22">
        <f t="shared" si="4"/>
        <v>6.8459452618662198</v>
      </c>
      <c r="AM10" s="62">
        <f t="shared" si="5"/>
        <v>272.06816748408846</v>
      </c>
      <c r="AN10" s="62">
        <f ca="1">AVERAGE(OFFSET($AM$3,0,0,'Données projet'!$E$10+1,1))-AVERAGE(OFFSET($H$3,0,0,'Données projet'!$E$10+1,1))</f>
        <v>377.28543127606366</v>
      </c>
      <c r="AO10" s="62">
        <f t="shared" si="36"/>
        <v>166.97658184507776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0.6</v>
      </c>
      <c r="BD10" s="13">
        <f>IF('Données projet'!$A$88&gt;35,BD9+BC10-BL9,IF(A10&lt;'Données projet'!$A$88,$BA$205^A10,IF(A10='Données projet'!$A$88,'Données projet'!$B$88,BD9+BC10-BL9)))</f>
        <v>2.788130973628832</v>
      </c>
      <c r="BE10" s="14">
        <f>BD10*VLOOKUP('Données projet'!$B$11,Paramètres!$A$1:$I$89,3,0)*VLOOKUP('Données projet'!$B$11,Paramètres!$A$1:$I$89,5,0)</f>
        <v>2.4357112185621479</v>
      </c>
      <c r="BF10" s="14">
        <f t="shared" si="37"/>
        <v>1.0119862660170416</v>
      </c>
      <c r="BG10" s="22">
        <f t="shared" si="7"/>
        <v>6.0047397856420881</v>
      </c>
      <c r="BH10" s="62">
        <f t="shared" si="8"/>
        <v>271.2269620078643</v>
      </c>
      <c r="BI10" s="62">
        <f ca="1">AVERAGE(OFFSET($BH$3,0,0,'Données projet'!$E$11+1,1))-AVERAGE(OFFSET($H$3,0,0,'Données projet'!$E$11+1,1))</f>
        <v>271.30269362742433</v>
      </c>
      <c r="BJ10" s="62">
        <f t="shared" si="38"/>
        <v>296.39988431569537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276.22547755046565</v>
      </c>
      <c r="S11" s="62">
        <f ca="1">AVERAGE(OFFSET($R$3,0,0,'Données projet'!$E$9+1,1))-AVERAGE(OFFSET($H$3,0,0,'Données projet'!$E$9+1,1))</f>
        <v>429.08703331308703</v>
      </c>
      <c r="T11" s="62">
        <f t="shared" si="34"/>
        <v>231.36959598460675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3.1963364737294016</v>
      </c>
      <c r="AK11" s="14">
        <f t="shared" si="35"/>
        <v>1.28665764721742</v>
      </c>
      <c r="AL11" s="22">
        <f t="shared" si="4"/>
        <v>7.8078814273157144</v>
      </c>
      <c r="AM11" s="62">
        <f t="shared" si="5"/>
        <v>274.25232587176015</v>
      </c>
      <c r="AN11" s="62">
        <f ca="1">AVERAGE(OFFSET($AM$3,0,0,'Données projet'!$E$10+1,1))-AVERAGE(OFFSET($H$3,0,0,'Données projet'!$E$10+1,1))</f>
        <v>377.28543127606366</v>
      </c>
      <c r="AO11" s="62">
        <f t="shared" si="36"/>
        <v>166.97658184507776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0.6</v>
      </c>
      <c r="BD11" s="13">
        <f>IF('Données projet'!$A$88&gt;35,BD10+BC11-BL10,IF(A11&lt;'Données projet'!$A$88,$BA$205^A11,IF(A11='Données projet'!$A$88,'Données projet'!$B$88,BD10+BC11-BL10)))</f>
        <v>3.227968874176038</v>
      </c>
      <c r="BE11" s="14">
        <f>BD11*VLOOKUP('Données projet'!$B$11,Paramètres!$A$1:$I$89,3,0)*VLOOKUP('Données projet'!$B$11,Paramètres!$A$1:$I$89,5,0)</f>
        <v>2.8199536084801871</v>
      </c>
      <c r="BF11" s="14">
        <f t="shared" si="37"/>
        <v>1.1518233118873293</v>
      </c>
      <c r="BG11" s="22">
        <f t="shared" si="7"/>
        <v>6.9175114696400923</v>
      </c>
      <c r="BH11" s="62">
        <f t="shared" si="8"/>
        <v>273.36195591408455</v>
      </c>
      <c r="BI11" s="62">
        <f ca="1">AVERAGE(OFFSET($BH$3,0,0,'Données projet'!$E$11+1,1))-AVERAGE(OFFSET($H$3,0,0,'Données projet'!$E$11+1,1))</f>
        <v>271.30269362742433</v>
      </c>
      <c r="BJ11" s="62">
        <f t="shared" si="38"/>
        <v>296.39988431569537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279.38615317116773</v>
      </c>
      <c r="S12" s="62">
        <f ca="1">AVERAGE(OFFSET($R$3,0,0,'Données projet'!$E$9+1,1))-AVERAGE(OFFSET($H$3,0,0,'Données projet'!$E$9+1,1))</f>
        <v>429.08703331308703</v>
      </c>
      <c r="T12" s="62">
        <f t="shared" si="34"/>
        <v>231.36959598460675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3.6621602197279119</v>
      </c>
      <c r="AK12" s="14">
        <f t="shared" si="35"/>
        <v>1.4510099121120625</v>
      </c>
      <c r="AL12" s="22">
        <f t="shared" si="4"/>
        <v>8.9054379796212881</v>
      </c>
      <c r="AM12" s="62">
        <f t="shared" si="5"/>
        <v>276.57210464628798</v>
      </c>
      <c r="AN12" s="62">
        <f ca="1">AVERAGE(OFFSET($AM$3,0,0,'Données projet'!$E$10+1,1))-AVERAGE(OFFSET($H$3,0,0,'Données projet'!$E$10+1,1))</f>
        <v>377.28543127606366</v>
      </c>
      <c r="AO12" s="62">
        <f t="shared" si="36"/>
        <v>166.97658184507776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0.6</v>
      </c>
      <c r="BD12" s="13">
        <f>IF('Données projet'!$A$88&gt;35,BD11+BC12-BL11,IF(A12&lt;'Données projet'!$A$88,$BA$205^A12,IF(A12='Données projet'!$A$88,'Données projet'!$B$88,BD11+BC12-BL11)))</f>
        <v>3.7371928188465526</v>
      </c>
      <c r="BE12" s="14">
        <f>BD12*VLOOKUP('Données projet'!$B$11,Paramètres!$A$1:$I$89,3,0)*VLOOKUP('Données projet'!$B$11,Paramètres!$A$1:$I$89,5,0)</f>
        <v>3.2648116465443486</v>
      </c>
      <c r="BF12" s="14">
        <f t="shared" si="37"/>
        <v>1.310983149038857</v>
      </c>
      <c r="BG12" s="22">
        <f t="shared" si="7"/>
        <v>7.9695092689740825</v>
      </c>
      <c r="BH12" s="62">
        <f t="shared" si="8"/>
        <v>275.63617593564078</v>
      </c>
      <c r="BI12" s="62">
        <f ca="1">AVERAGE(OFFSET($BH$3,0,0,'Données projet'!$E$11+1,1))-AVERAGE(OFFSET($H$3,0,0,'Données projet'!$E$11+1,1))</f>
        <v>271.30269362742433</v>
      </c>
      <c r="BJ12" s="62">
        <f t="shared" si="38"/>
        <v>296.39988431569537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282.93233218914207</v>
      </c>
      <c r="S13" s="62">
        <f ca="1">AVERAGE(OFFSET($R$3,0,0,'Données projet'!$E$9+1,1))-AVERAGE(OFFSET($H$3,0,0,'Données projet'!$E$9+1,1))</f>
        <v>429.08703331308703</v>
      </c>
      <c r="T13" s="62">
        <f t="shared" si="34"/>
        <v>231.36959598460675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4.1958716127621871</v>
      </c>
      <c r="AK13" s="14">
        <f t="shared" si="35"/>
        <v>1.63635584772744</v>
      </c>
      <c r="AL13" s="22">
        <f t="shared" si="4"/>
        <v>10.157796160352767</v>
      </c>
      <c r="AM13" s="62">
        <f t="shared" si="5"/>
        <v>279.0466850492416</v>
      </c>
      <c r="AN13" s="62">
        <f ca="1">AVERAGE(OFFSET($AM$3,0,0,'Données projet'!$E$10+1,1))-AVERAGE(OFFSET($H$3,0,0,'Données projet'!$E$10+1,1))</f>
        <v>377.28543127606366</v>
      </c>
      <c r="AO13" s="62">
        <f t="shared" si="36"/>
        <v>166.97658184507776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0.6</v>
      </c>
      <c r="BD13" s="13">
        <f>IF('Données projet'!$A$88&gt;35,BD12+BC13-BL12,IF(A13&lt;'Données projet'!$A$88,$BA$205^A13,IF(A13='Données projet'!$A$88,'Données projet'!$B$88,BD12+BC13-BL12)))</f>
        <v>4.3267487109222253</v>
      </c>
      <c r="BE13" s="14">
        <f>BD13*VLOOKUP('Données projet'!$B$11,Paramètres!$A$1:$I$89,3,0)*VLOOKUP('Données projet'!$B$11,Paramètres!$A$1:$I$89,5,0)</f>
        <v>3.7798476738616569</v>
      </c>
      <c r="BF13" s="14">
        <f t="shared" si="37"/>
        <v>1.4921358157334794</v>
      </c>
      <c r="BG13" s="22">
        <f t="shared" si="7"/>
        <v>9.182037911044862</v>
      </c>
      <c r="BH13" s="62">
        <f t="shared" si="8"/>
        <v>278.07092679993372</v>
      </c>
      <c r="BI13" s="62">
        <f ca="1">AVERAGE(OFFSET($BH$3,0,0,'Données projet'!$E$11+1,1))-AVERAGE(OFFSET($H$3,0,0,'Données projet'!$E$11+1,1))</f>
        <v>271.30269362742433</v>
      </c>
      <c r="BJ13" s="62">
        <f t="shared" si="38"/>
        <v>296.39988431569537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286.94092810276993</v>
      </c>
      <c r="S14" s="62">
        <f ca="1">AVERAGE(OFFSET($R$3,0,0,'Données projet'!$E$9+1,1))-AVERAGE(OFFSET($H$3,0,0,'Données projet'!$E$9+1,1))</f>
        <v>429.08703331308703</v>
      </c>
      <c r="T14" s="62">
        <f t="shared" si="34"/>
        <v>231.36959598460675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4.8073643790744889</v>
      </c>
      <c r="AK14" s="14">
        <f t="shared" si="35"/>
        <v>1.8453770977306692</v>
      </c>
      <c r="AL14" s="22">
        <f t="shared" si="4"/>
        <v>11.586858072102316</v>
      </c>
      <c r="AM14" s="62">
        <f t="shared" si="5"/>
        <v>281.69796918321344</v>
      </c>
      <c r="AN14" s="62">
        <f ca="1">AVERAGE(OFFSET($AM$3,0,0,'Données projet'!$E$10+1,1))-AVERAGE(OFFSET($H$3,0,0,'Données projet'!$E$10+1,1))</f>
        <v>377.28543127606366</v>
      </c>
      <c r="AO14" s="62">
        <f t="shared" si="36"/>
        <v>166.97658184507776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0.6</v>
      </c>
      <c r="BD14" s="13">
        <f>IF('Données projet'!$A$88&gt;35,BD13+BC14-BL13,IF(A14&lt;'Données projet'!$A$88,$BA$205^A14,IF(A14='Données projet'!$A$88,'Données projet'!$B$88,BD13+BC14-BL13)))</f>
        <v>5.0093092101266317</v>
      </c>
      <c r="BE14" s="14">
        <f>BD14*VLOOKUP('Données projet'!$B$11,Paramètres!$A$1:$I$89,3,0)*VLOOKUP('Données projet'!$B$11,Paramètres!$A$1:$I$89,5,0)</f>
        <v>4.3761325259666259</v>
      </c>
      <c r="BF14" s="14">
        <f t="shared" si="37"/>
        <v>1.69832029818762</v>
      </c>
      <c r="BG14" s="22">
        <f t="shared" si="7"/>
        <v>10.579672002068646</v>
      </c>
      <c r="BH14" s="62">
        <f t="shared" si="8"/>
        <v>280.6907831131798</v>
      </c>
      <c r="BI14" s="62">
        <f ca="1">AVERAGE(OFFSET($BH$3,0,0,'Données projet'!$E$11+1,1))-AVERAGE(OFFSET($H$3,0,0,'Données projet'!$E$11+1,1))</f>
        <v>271.30269362742433</v>
      </c>
      <c r="BJ14" s="62">
        <f t="shared" si="38"/>
        <v>296.39988431569537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291.50424573777804</v>
      </c>
      <c r="S15" s="62">
        <f ca="1">AVERAGE(OFFSET($R$3,0,0,'Données projet'!$E$9+1,1))-AVERAGE(OFFSET($H$3,0,0,'Données projet'!$E$9+1,1))</f>
        <v>429.08703331308703</v>
      </c>
      <c r="T15" s="62">
        <f t="shared" si="34"/>
        <v>231.36959598460675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5.5079741245896177</v>
      </c>
      <c r="AK15" s="14">
        <f t="shared" si="35"/>
        <v>2.0810978477317659</v>
      </c>
      <c r="AL15" s="22">
        <f t="shared" si="4"/>
        <v>13.217633685126408</v>
      </c>
      <c r="AM15" s="62">
        <f t="shared" si="5"/>
        <v>284.55096701845974</v>
      </c>
      <c r="AN15" s="62">
        <f ca="1">AVERAGE(OFFSET($AM$3,0,0,'Données projet'!$E$10+1,1))-AVERAGE(OFFSET($H$3,0,0,'Données projet'!$E$10+1,1))</f>
        <v>377.28543127606366</v>
      </c>
      <c r="AO15" s="62">
        <f t="shared" si="36"/>
        <v>166.97658184507776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0.6</v>
      </c>
      <c r="BD15" s="13">
        <f>IF('Données projet'!$A$88&gt;35,BD14+BC15-BL14,IF(A15&lt;'Données projet'!$A$88,$BA$205^A15,IF(A15='Données projet'!$A$88,'Données projet'!$B$88,BD14+BC15-BL14)))</f>
        <v>5.799546134795289</v>
      </c>
      <c r="BE15" s="14">
        <f>BD15*VLOOKUP('Données projet'!$B$11,Paramètres!$A$1:$I$89,3,0)*VLOOKUP('Données projet'!$B$11,Paramètres!$A$1:$I$89,5,0)</f>
        <v>5.0664835033571656</v>
      </c>
      <c r="BF15" s="14">
        <f t="shared" si="37"/>
        <v>1.9329955120863267</v>
      </c>
      <c r="BG15" s="22">
        <f t="shared" si="7"/>
        <v>12.190759285230749</v>
      </c>
      <c r="BH15" s="62">
        <f t="shared" si="8"/>
        <v>283.52409261856405</v>
      </c>
      <c r="BI15" s="62">
        <f ca="1">AVERAGE(OFFSET($BH$3,0,0,'Données projet'!$E$11+1,1))-AVERAGE(OFFSET($H$3,0,0,'Données projet'!$E$11+1,1))</f>
        <v>271.30269362742433</v>
      </c>
      <c r="BJ15" s="62">
        <f t="shared" si="38"/>
        <v>296.39988431569537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296.73306974060051</v>
      </c>
      <c r="S16" s="62">
        <f ca="1">AVERAGE(OFFSET($R$3,0,0,'Données projet'!$E$9+1,1))-AVERAGE(OFFSET($H$3,0,0,'Données projet'!$E$9+1,1))</f>
        <v>429.08703331308703</v>
      </c>
      <c r="T16" s="62">
        <f t="shared" si="34"/>
        <v>231.36959598460675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6.3106884697991985</v>
      </c>
      <c r="AK16" s="14">
        <f t="shared" si="35"/>
        <v>2.346928580158357</v>
      </c>
      <c r="AL16" s="22">
        <f t="shared" si="4"/>
        <v>15.078683028676075</v>
      </c>
      <c r="AM16" s="62">
        <f t="shared" si="5"/>
        <v>287.63423858423164</v>
      </c>
      <c r="AN16" s="62">
        <f ca="1">AVERAGE(OFFSET($AM$3,0,0,'Données projet'!$E$10+1,1))-AVERAGE(OFFSET($H$3,0,0,'Données projet'!$E$10+1,1))</f>
        <v>377.28543127606366</v>
      </c>
      <c r="AO16" s="62">
        <f t="shared" si="36"/>
        <v>166.97658184507776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0.6</v>
      </c>
      <c r="BD16" s="13">
        <f>IF('Données projet'!$A$88&gt;35,BD15+BC16-BL15,IF(A16&lt;'Données projet'!$A$88,$BA$205^A16,IF(A16='Données projet'!$A$88,'Données projet'!$B$88,BD15+BC16-BL15)))</f>
        <v>6.7144458364886441</v>
      </c>
      <c r="BE16" s="14">
        <f>BD16*VLOOKUP('Données projet'!$B$11,Paramètres!$A$1:$I$89,3,0)*VLOOKUP('Données projet'!$B$11,Paramètres!$A$1:$I$89,5,0)</f>
        <v>5.86573988275648</v>
      </c>
      <c r="BF16" s="14">
        <f t="shared" si="37"/>
        <v>2.2000983287624218</v>
      </c>
      <c r="BG16" s="22">
        <f t="shared" si="7"/>
        <v>14.048001551728753</v>
      </c>
      <c r="BH16" s="62">
        <f t="shared" si="8"/>
        <v>286.6035571072843</v>
      </c>
      <c r="BI16" s="62">
        <f ca="1">AVERAGE(OFFSET($BH$3,0,0,'Données projet'!$E$11+1,1))-AVERAGE(OFFSET($H$3,0,0,'Données projet'!$E$11+1,1))</f>
        <v>271.30269362742433</v>
      </c>
      <c r="BJ16" s="62">
        <f t="shared" si="38"/>
        <v>296.39988431569537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302.76037439017989</v>
      </c>
      <c r="S17" s="62">
        <f ca="1">AVERAGE(OFFSET($R$3,0,0,'Données projet'!$E$9+1,1))-AVERAGE(OFFSET($H$3,0,0,'Données projet'!$E$9+1,1))</f>
        <v>429.08703331308703</v>
      </c>
      <c r="T17" s="62">
        <f t="shared" si="34"/>
        <v>231.36959598460675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7.2303878090247551</v>
      </c>
      <c r="AK17" s="14">
        <f t="shared" si="35"/>
        <v>2.6467154181950132</v>
      </c>
      <c r="AL17" s="22">
        <f t="shared" si="4"/>
        <v>17.202621454074428</v>
      </c>
      <c r="AM17" s="62">
        <f t="shared" si="5"/>
        <v>290.98039923185218</v>
      </c>
      <c r="AN17" s="62">
        <f ca="1">AVERAGE(OFFSET($AM$3,0,0,'Données projet'!$E$10+1,1))-AVERAGE(OFFSET($H$3,0,0,'Données projet'!$E$10+1,1))</f>
        <v>377.28543127606366</v>
      </c>
      <c r="AO17" s="62">
        <f t="shared" si="36"/>
        <v>166.97658184507776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0.6</v>
      </c>
      <c r="BD17" s="13">
        <f>IF('Données projet'!$A$88&gt;35,BD16+BC17-BL16,IF(A17&lt;'Données projet'!$A$88,$BA$205^A17,IF(A17='Données projet'!$A$88,'Données projet'!$B$88,BD16+BC17-BL16)))</f>
        <v>7.7736743261084582</v>
      </c>
      <c r="BE17" s="14">
        <f>BD17*VLOOKUP('Données projet'!$B$11,Paramètres!$A$1:$I$89,3,0)*VLOOKUP('Données projet'!$B$11,Paramètres!$A$1:$I$89,5,0)</f>
        <v>6.7910818912883508</v>
      </c>
      <c r="BF17" s="14">
        <f t="shared" si="37"/>
        <v>2.5041096194780144</v>
      </c>
      <c r="BG17" s="22">
        <f t="shared" si="7"/>
        <v>16.189125214584752</v>
      </c>
      <c r="BH17" s="62">
        <f t="shared" si="8"/>
        <v>289.96690299236252</v>
      </c>
      <c r="BI17" s="62">
        <f ca="1">AVERAGE(OFFSET($BH$3,0,0,'Données projet'!$E$11+1,1))-AVERAGE(OFFSET($H$3,0,0,'Données projet'!$E$11+1,1))</f>
        <v>271.30269362742433</v>
      </c>
      <c r="BJ17" s="62">
        <f t="shared" si="38"/>
        <v>296.39988431569537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309.74578000827665</v>
      </c>
      <c r="S18" s="62">
        <f ca="1">AVERAGE(OFFSET($R$3,0,0,'Données projet'!$E$9+1,1))-AVERAGE(OFFSET($H$3,0,0,'Données projet'!$E$9+1,1))</f>
        <v>429.08703331308703</v>
      </c>
      <c r="T18" s="62">
        <f t="shared" si="34"/>
        <v>231.36959598460675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8.284121157157557</v>
      </c>
      <c r="AK18" s="14">
        <f t="shared" si="35"/>
        <v>2.9847957727109624</v>
      </c>
      <c r="AL18" s="22">
        <f t="shared" si="4"/>
        <v>19.626696986187671</v>
      </c>
      <c r="AM18" s="62">
        <f t="shared" si="5"/>
        <v>294.62669698618765</v>
      </c>
      <c r="AN18" s="62">
        <f ca="1">AVERAGE(OFFSET($AM$3,0,0,'Données projet'!$E$10+1,1))-AVERAGE(OFFSET($H$3,0,0,'Données projet'!$E$10+1,1))</f>
        <v>377.28543127606366</v>
      </c>
      <c r="AO18" s="62">
        <f t="shared" si="36"/>
        <v>166.97658184507776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9</v>
      </c>
      <c r="BB18" s="13">
        <f>VLOOKUP(A18,'Données projet'!$A$87:$I$107,9,0)</f>
        <v>0.6</v>
      </c>
      <c r="BC18" s="13">
        <f t="array" ref="BC18">INDEX(BB:BB,MIN(IF(ISNUMBER(BB18:BB214),ROW(BB18:BB214),"")))</f>
        <v>0.6</v>
      </c>
      <c r="BD18" s="13">
        <f>IF('Données projet'!$A$88&gt;35,BD17+BC18-BL17,IF(A18&lt;'Données projet'!$A$88,$BA$205^A18,IF(A18='Données projet'!$A$88,'Données projet'!$B$88,BD17+BC18-BL17)))</f>
        <v>9</v>
      </c>
      <c r="BE18" s="14">
        <f>BD18*VLOOKUP('Données projet'!$B$11,Paramètres!$A$1:$I$89,3,0)*VLOOKUP('Données projet'!$B$11,Paramètres!$A$1:$I$89,5,0)</f>
        <v>7.8624000000000018</v>
      </c>
      <c r="BF18" s="14">
        <f t="shared" si="37"/>
        <v>2.8501294257559766</v>
      </c>
      <c r="BG18" s="22">
        <f t="shared" si="7"/>
        <v>18.657655416524996</v>
      </c>
      <c r="BH18" s="62">
        <f t="shared" si="8"/>
        <v>293.65765541652502</v>
      </c>
      <c r="BI18" s="62">
        <f ca="1">AVERAGE(OFFSET($BH$3,0,0,'Données projet'!$E$11+1,1))-AVERAGE(OFFSET($H$3,0,0,'Données projet'!$E$11+1,1))</f>
        <v>271.30269362742433</v>
      </c>
      <c r="BJ18" s="62">
        <f t="shared" si="38"/>
        <v>296.39988431569537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317.88090656215792</v>
      </c>
      <c r="S19" s="62">
        <f ca="1">AVERAGE(OFFSET($R$3,0,0,'Données projet'!$E$9+1,1))-AVERAGE(OFFSET($H$3,0,0,'Données projet'!$E$9+1,1))</f>
        <v>429.08703331308703</v>
      </c>
      <c r="T19" s="62">
        <f t="shared" si="34"/>
        <v>231.36959598460675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9.4914221974107242</v>
      </c>
      <c r="AK19" s="14">
        <f t="shared" si="35"/>
        <v>3.3660610972935361</v>
      </c>
      <c r="AL19" s="22">
        <f t="shared" si="4"/>
        <v>22.393450071609919</v>
      </c>
      <c r="AM19" s="62">
        <f t="shared" si="5"/>
        <v>298.61567229383218</v>
      </c>
      <c r="AN19" s="62">
        <f ca="1">AVERAGE(OFFSET($AM$3,0,0,'Données projet'!$E$10+1,1))-AVERAGE(OFFSET($H$3,0,0,'Données projet'!$E$10+1,1))</f>
        <v>377.28543127606366</v>
      </c>
      <c r="AO19" s="62">
        <f t="shared" si="36"/>
        <v>166.97658184507776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9.6</v>
      </c>
      <c r="BD19" s="13">
        <f>IF('Données projet'!$A$88&gt;35,BD18+BC19-BL18,IF(A19&lt;'Données projet'!$A$88,$BA$205^A19,IF(A19='Données projet'!$A$88,'Données projet'!$B$88,BD18+BC19-BL18)))</f>
        <v>18.600000000000001</v>
      </c>
      <c r="BE19" s="14">
        <f>BD19*VLOOKUP('Données projet'!$B$11,Paramètres!$A$1:$I$89,3,0)*VLOOKUP('Données projet'!$B$11,Paramètres!$A$1:$I$89,5,0)</f>
        <v>16.248960000000004</v>
      </c>
      <c r="BF19" s="14">
        <f t="shared" si="37"/>
        <v>5.4129939058841199</v>
      </c>
      <c r="BG19" s="22">
        <f t="shared" si="7"/>
        <v>37.727903052748182</v>
      </c>
      <c r="BH19" s="62">
        <f t="shared" si="8"/>
        <v>313.95012527497039</v>
      </c>
      <c r="BI19" s="62">
        <f ca="1">AVERAGE(OFFSET($BH$3,0,0,'Données projet'!$E$11+1,1))-AVERAGE(OFFSET($H$3,0,0,'Données projet'!$E$11+1,1))</f>
        <v>271.30269362742433</v>
      </c>
      <c r="BJ19" s="62">
        <f t="shared" si="38"/>
        <v>296.39988431569537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327.39580549186149</v>
      </c>
      <c r="S20" s="62">
        <f ca="1">AVERAGE(OFFSET($R$3,0,0,'Données projet'!$E$9+1,1))-AVERAGE(OFFSET($H$3,0,0,'Données projet'!$E$9+1,1))</f>
        <v>429.08703331308703</v>
      </c>
      <c r="T20" s="62">
        <f t="shared" si="34"/>
        <v>231.36959598460675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10.874671388849128</v>
      </c>
      <c r="AK20" s="14">
        <f t="shared" si="35"/>
        <v>3.7960276593470508</v>
      </c>
      <c r="AL20" s="22">
        <f t="shared" si="4"/>
        <v>25.551467508941673</v>
      </c>
      <c r="AM20" s="62">
        <f t="shared" si="5"/>
        <v>302.99591195338616</v>
      </c>
      <c r="AN20" s="62">
        <f ca="1">AVERAGE(OFFSET($AM$3,0,0,'Données projet'!$E$10+1,1))-AVERAGE(OFFSET($H$3,0,0,'Données projet'!$E$10+1,1))</f>
        <v>377.28543127606366</v>
      </c>
      <c r="AO20" s="62">
        <f t="shared" si="36"/>
        <v>166.97658184507776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9.6</v>
      </c>
      <c r="BD20" s="13">
        <f>IF('Données projet'!$A$88&gt;35,BD19+BC20-BL19,IF(A20&lt;'Données projet'!$A$88,$BA$205^A20,IF(A20='Données projet'!$A$88,'Données projet'!$B$88,BD19+BC20-BL19)))</f>
        <v>28.200000000000003</v>
      </c>
      <c r="BE20" s="14">
        <f>BD20*VLOOKUP('Données projet'!$B$11,Paramètres!$A$1:$I$89,3,0)*VLOOKUP('Données projet'!$B$11,Paramètres!$A$1:$I$89,5,0)</f>
        <v>24.635520000000007</v>
      </c>
      <c r="BF20" s="14">
        <f t="shared" si="37"/>
        <v>7.8187263384607988</v>
      </c>
      <c r="BG20" s="22">
        <f t="shared" si="7"/>
        <v>56.524479039485897</v>
      </c>
      <c r="BH20" s="62">
        <f t="shared" si="8"/>
        <v>333.96892348393033</v>
      </c>
      <c r="BI20" s="62">
        <f ca="1">AVERAGE(OFFSET($BH$3,0,0,'Données projet'!$E$11+1,1))-AVERAGE(OFFSET($H$3,0,0,'Données projet'!$E$11+1,1))</f>
        <v>271.30269362742433</v>
      </c>
      <c r="BJ20" s="62">
        <f t="shared" si="38"/>
        <v>296.39988431569537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338.56668739624723</v>
      </c>
      <c r="S21" s="62">
        <f ca="1">AVERAGE(OFFSET($R$3,0,0,'Données projet'!$E$9+1,1))-AVERAGE(OFFSET($H$3,0,0,'Données projet'!$E$9+1,1))</f>
        <v>429.08703331308703</v>
      </c>
      <c r="T21" s="62">
        <f t="shared" si="34"/>
        <v>231.36959598460675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12.459510846300249</v>
      </c>
      <c r="AK21" s="14">
        <f t="shared" si="35"/>
        <v>4.2809163511957635</v>
      </c>
      <c r="AL21" s="22">
        <f t="shared" si="4"/>
        <v>29.156244035638881</v>
      </c>
      <c r="AM21" s="62">
        <f t="shared" si="5"/>
        <v>307.82291070230559</v>
      </c>
      <c r="AN21" s="62">
        <f ca="1">AVERAGE(OFFSET($AM$3,0,0,'Données projet'!$E$10+1,1))-AVERAGE(OFFSET($H$3,0,0,'Données projet'!$E$10+1,1))</f>
        <v>377.28543127606366</v>
      </c>
      <c r="AO21" s="62">
        <f t="shared" si="36"/>
        <v>166.97658184507776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9.6</v>
      </c>
      <c r="BD21" s="13">
        <f>IF('Données projet'!$A$88&gt;35,BD20+BC21-BL20,IF(A21&lt;'Données projet'!$A$88,$BA$205^A21,IF(A21='Données projet'!$A$88,'Données projet'!$B$88,BD20+BC21-BL20)))</f>
        <v>37.800000000000004</v>
      </c>
      <c r="BE21" s="14">
        <f>BD21*VLOOKUP('Données projet'!$B$11,Paramètres!$A$1:$I$89,3,0)*VLOOKUP('Données projet'!$B$11,Paramètres!$A$1:$I$89,5,0)</f>
        <v>33.022080000000003</v>
      </c>
      <c r="BF21" s="14">
        <f t="shared" si="37"/>
        <v>10.129025278332465</v>
      </c>
      <c r="BG21" s="22">
        <f t="shared" si="7"/>
        <v>75.154841693095705</v>
      </c>
      <c r="BH21" s="62">
        <f t="shared" si="8"/>
        <v>353.82150835976239</v>
      </c>
      <c r="BI21" s="62">
        <f ca="1">AVERAGE(OFFSET($BH$3,0,0,'Données projet'!$E$11+1,1))-AVERAGE(OFFSET($H$3,0,0,'Données projet'!$E$11+1,1))</f>
        <v>271.30269362742433</v>
      </c>
      <c r="BJ21" s="62">
        <f t="shared" si="38"/>
        <v>296.39988431569537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351.72520722798015</v>
      </c>
      <c r="S22" s="62">
        <f ca="1">AVERAGE(OFFSET($R$3,0,0,'Données projet'!$E$9+1,1))-AVERAGE(OFFSET($H$3,0,0,'Données projet'!$E$9+1,1))</f>
        <v>429.08703331308703</v>
      </c>
      <c r="T22" s="62">
        <f t="shared" si="34"/>
        <v>231.36959598460675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14.275319683522188</v>
      </c>
      <c r="AK22" s="14">
        <f t="shared" si="35"/>
        <v>4.8277426959232219</v>
      </c>
      <c r="AL22" s="22">
        <f t="shared" si="4"/>
        <v>33.271166977534087</v>
      </c>
      <c r="AM22" s="62">
        <f t="shared" si="5"/>
        <v>313.16005586642297</v>
      </c>
      <c r="AN22" s="62">
        <f ca="1">AVERAGE(OFFSET($AM$3,0,0,'Données projet'!$E$10+1,1))-AVERAGE(OFFSET($H$3,0,0,'Données projet'!$E$10+1,1))</f>
        <v>377.28543127606366</v>
      </c>
      <c r="AO22" s="62">
        <f t="shared" si="36"/>
        <v>166.97658184507776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9.6</v>
      </c>
      <c r="BD22" s="13">
        <f>IF('Données projet'!$A$88&gt;35,BD21+BC22-BL21,IF(A22&lt;'Données projet'!$A$88,$BA$205^A22,IF(A22='Données projet'!$A$88,'Données projet'!$B$88,BD21+BC22-BL21)))</f>
        <v>47.400000000000006</v>
      </c>
      <c r="BE22" s="14">
        <f>BD22*VLOOKUP('Données projet'!$B$11,Paramètres!$A$1:$I$89,3,0)*VLOOKUP('Données projet'!$B$11,Paramètres!$A$1:$I$89,5,0)</f>
        <v>41.408640000000005</v>
      </c>
      <c r="BF22" s="14">
        <f t="shared" si="37"/>
        <v>12.371251711099637</v>
      </c>
      <c r="BG22" s="22">
        <f t="shared" si="7"/>
        <v>93.666644730165203</v>
      </c>
      <c r="BH22" s="62">
        <f t="shared" si="8"/>
        <v>373.55553361905407</v>
      </c>
      <c r="BI22" s="62">
        <f ca="1">AVERAGE(OFFSET($BH$3,0,0,'Données projet'!$E$11+1,1))-AVERAGE(OFFSET($H$3,0,0,'Données projet'!$E$11+1,1))</f>
        <v>271.30269362742433</v>
      </c>
      <c r="BJ22" s="62">
        <f t="shared" si="38"/>
        <v>296.39988431569537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367.26962158162712</v>
      </c>
      <c r="S23" s="62">
        <f ca="1">AVERAGE(OFFSET($R$3,0,0,'Données projet'!$E$9+1,1))-AVERAGE(OFFSET($H$3,0,0,'Données projet'!$E$9+1,1))</f>
        <v>429.08703331308703</v>
      </c>
      <c r="T23" s="62">
        <f t="shared" si="34"/>
        <v>231.36959598460675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16.355758631348532</v>
      </c>
      <c r="AK23" s="14">
        <f t="shared" si="35"/>
        <v>5.4444183501809773</v>
      </c>
      <c r="AL23" s="22">
        <f t="shared" si="4"/>
        <v>37.968641576163897</v>
      </c>
      <c r="AM23" s="62">
        <f t="shared" si="5"/>
        <v>319.07975268727506</v>
      </c>
      <c r="AN23" s="62">
        <f ca="1">AVERAGE(OFFSET($AM$3,0,0,'Données projet'!$E$10+1,1))-AVERAGE(OFFSET($H$3,0,0,'Données projet'!$E$10+1,1))</f>
        <v>377.28543127606366</v>
      </c>
      <c r="AO23" s="62">
        <f t="shared" si="36"/>
        <v>166.97658184507776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57</v>
      </c>
      <c r="BB23" s="13">
        <f>VLOOKUP(A23,'Données projet'!$A$87:$I$107,9,0)</f>
        <v>9.6</v>
      </c>
      <c r="BC23" s="13">
        <f t="array" ref="BC23">INDEX(BB:BB,MIN(IF(ISNUMBER(BB23:BB219),ROW(BB23:BB219),"")))</f>
        <v>9.6</v>
      </c>
      <c r="BD23" s="13">
        <f>IF('Données projet'!$A$88&gt;35,BD22+BC23-BL22,IF(A23&lt;'Données projet'!$A$88,$BA$205^A23,IF(A23='Données projet'!$A$88,'Données projet'!$B$88,BD22+BC23-BL22)))</f>
        <v>57.000000000000007</v>
      </c>
      <c r="BE23" s="14">
        <f>BD23*VLOOKUP('Données projet'!$B$11,Paramètres!$A$1:$I$89,3,0)*VLOOKUP('Données projet'!$B$11,Paramètres!$A$1:$I$89,5,0)</f>
        <v>49.795200000000008</v>
      </c>
      <c r="BF23" s="14">
        <f t="shared" si="37"/>
        <v>14.560856542690781</v>
      </c>
      <c r="BG23" s="22">
        <f t="shared" si="7"/>
        <v>112.08679847851981</v>
      </c>
      <c r="BH23" s="62">
        <f t="shared" si="8"/>
        <v>393.19790958963097</v>
      </c>
      <c r="BI23" s="62">
        <f ca="1">AVERAGE(OFFSET($BH$3,0,0,'Données projet'!$E$11+1,1))-AVERAGE(OFFSET($H$3,0,0,'Données projet'!$E$11+1,1))</f>
        <v>271.30269362742433</v>
      </c>
      <c r="BJ23" s="62">
        <f t="shared" si="38"/>
        <v>296.39988431569537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5.8</v>
      </c>
      <c r="N24" s="14">
        <f>IF('Données projet'!$A$36&gt;35,N23+M24-V23,IF(A24&lt;'Données projet'!$A$36,$K$205^A24,IF(A24='Données projet'!$A$36,'Données projet'!$B$36,N23+M24-V23)))</f>
        <v>47.8</v>
      </c>
      <c r="O24" s="14">
        <f>N24*VLOOKUP('Données projet'!$B$9,Paramètres!$A$1:$I$89,3,0)*VLOOKUP('Données projet'!$B$9,Paramètres!$A$1:$I$89,5,0)</f>
        <v>43.249439999999993</v>
      </c>
      <c r="P24" s="14">
        <f t="shared" si="33"/>
        <v>12.85595739620004</v>
      </c>
      <c r="Q24" s="22">
        <f t="shared" si="2"/>
        <v>97.716900465048397</v>
      </c>
      <c r="R24" s="62">
        <f t="shared" si="0"/>
        <v>380.05023379838173</v>
      </c>
      <c r="S24" s="62">
        <f ca="1">AVERAGE(OFFSET($R$3,0,0,'Données projet'!$E$9+1,1))-AVERAGE(OFFSET($H$3,0,0,'Données projet'!$E$9+1,1))</f>
        <v>429.08703331308703</v>
      </c>
      <c r="T24" s="62">
        <f t="shared" si="34"/>
        <v>231.36959598460675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18.739394026721261</v>
      </c>
      <c r="AK24" s="14">
        <f t="shared" si="35"/>
        <v>6.1398655725414359</v>
      </c>
      <c r="AL24" s="22">
        <f t="shared" si="4"/>
        <v>43.331377135382525</v>
      </c>
      <c r="AM24" s="62">
        <f t="shared" si="5"/>
        <v>325.66471046871584</v>
      </c>
      <c r="AN24" s="62">
        <f ca="1">AVERAGE(OFFSET($AM$3,0,0,'Données projet'!$E$10+1,1))-AVERAGE(OFFSET($H$3,0,0,'Données projet'!$E$10+1,1))</f>
        <v>377.28543127606366</v>
      </c>
      <c r="AO24" s="62">
        <f t="shared" si="36"/>
        <v>166.97658184507776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</v>
      </c>
      <c r="BD24" s="13">
        <f>IF('Données projet'!$A$88&gt;35,BD23+BC24-BL23,IF(A24&lt;'Données projet'!$A$88,$BA$205^A24,IF(A24='Données projet'!$A$88,'Données projet'!$B$88,BD23+BC24-BL23)))</f>
        <v>46</v>
      </c>
      <c r="BE24" s="14">
        <f>BD24*VLOOKUP('Données projet'!$B$11,Paramètres!$A$1:$I$89,3,0)*VLOOKUP('Données projet'!$B$11,Paramètres!$A$1:$I$89,5,0)</f>
        <v>40.185600000000001</v>
      </c>
      <c r="BF24" s="14">
        <f t="shared" si="37"/>
        <v>12.047826945473735</v>
      </c>
      <c r="BG24" s="22">
        <f t="shared" si="7"/>
        <v>90.973218596700079</v>
      </c>
      <c r="BH24" s="62">
        <f t="shared" si="8"/>
        <v>373.30655193003338</v>
      </c>
      <c r="BI24" s="62">
        <f ca="1">AVERAGE(OFFSET($BH$3,0,0,'Données projet'!$E$11+1,1))-AVERAGE(OFFSET($H$3,0,0,'Données projet'!$E$11+1,1))</f>
        <v>271.30269362742433</v>
      </c>
      <c r="BJ24" s="62">
        <f t="shared" si="38"/>
        <v>296.39988431569537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5.8</v>
      </c>
      <c r="N25" s="14">
        <f>IF('Données projet'!$A$36&gt;35,N24+M25-V24,IF(A25&lt;'Données projet'!$A$36,$K$205^A25,IF(A25='Données projet'!$A$36,'Données projet'!$B$36,N24+M25-V24)))</f>
        <v>53.599999999999994</v>
      </c>
      <c r="O25" s="14">
        <f>N25*VLOOKUP('Données projet'!$B$9,Paramètres!$A$1:$I$89,3,0)*VLOOKUP('Données projet'!$B$9,Paramètres!$A$1:$I$89,5,0)</f>
        <v>48.497279999999989</v>
      </c>
      <c r="P25" s="14">
        <f t="shared" si="33"/>
        <v>14.224989131913244</v>
      </c>
      <c r="Q25" s="22">
        <f t="shared" si="2"/>
        <v>109.24128540474889</v>
      </c>
      <c r="R25" s="62">
        <f t="shared" si="0"/>
        <v>392.79684096030445</v>
      </c>
      <c r="S25" s="62">
        <f ca="1">AVERAGE(OFFSET($R$3,0,0,'Données projet'!$E$9+1,1))-AVERAGE(OFFSET($H$3,0,0,'Données projet'!$E$9+1,1))</f>
        <v>429.08703331308703</v>
      </c>
      <c r="T25" s="62">
        <f t="shared" si="34"/>
        <v>231.36959598460675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21.470412739868298</v>
      </c>
      <c r="AK25" s="14">
        <f t="shared" si="35"/>
        <v>6.9241463135591816</v>
      </c>
      <c r="AL25" s="22">
        <f t="shared" si="4"/>
        <v>49.453857018052851</v>
      </c>
      <c r="AM25" s="62">
        <f t="shared" si="5"/>
        <v>333.00941257360842</v>
      </c>
      <c r="AN25" s="62">
        <f ca="1">AVERAGE(OFFSET($AM$3,0,0,'Données projet'!$E$10+1,1))-AVERAGE(OFFSET($H$3,0,0,'Données projet'!$E$10+1,1))</f>
        <v>377.28543127606366</v>
      </c>
      <c r="AO25" s="62">
        <f t="shared" si="36"/>
        <v>166.97658184507776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</v>
      </c>
      <c r="BD25" s="13">
        <f>IF('Données projet'!$A$88&gt;35,BD24+BC25-BL24,IF(A25&lt;'Données projet'!$A$88,$BA$205^A25,IF(A25='Données projet'!$A$88,'Données projet'!$B$88,BD24+BC25-BL24)))</f>
        <v>56</v>
      </c>
      <c r="BE25" s="14">
        <f>BD25*VLOOKUP('Données projet'!$B$11,Paramètres!$A$1:$I$89,3,0)*VLOOKUP('Données projet'!$B$11,Paramètres!$A$1:$I$89,5,0)</f>
        <v>48.921600000000005</v>
      </c>
      <c r="BF25" s="14">
        <f t="shared" si="37"/>
        <v>14.334905731333867</v>
      </c>
      <c r="BG25" s="22">
        <f t="shared" si="7"/>
        <v>110.17174748207316</v>
      </c>
      <c r="BH25" s="62">
        <f t="shared" si="8"/>
        <v>393.7273030376287</v>
      </c>
      <c r="BI25" s="62">
        <f ca="1">AVERAGE(OFFSET($BH$3,0,0,'Données projet'!$E$11+1,1))-AVERAGE(OFFSET($H$3,0,0,'Données projet'!$E$11+1,1))</f>
        <v>271.30269362742433</v>
      </c>
      <c r="BJ25" s="62">
        <f t="shared" si="38"/>
        <v>296.39988431569537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5.8</v>
      </c>
      <c r="N26" s="14">
        <f>IF('Données projet'!$A$36&gt;35,N25+M26-V25,IF(A26&lt;'Données projet'!$A$36,$K$205^A26,IF(A26='Données projet'!$A$36,'Données projet'!$B$36,N25+M26-V25)))</f>
        <v>59.399999999999991</v>
      </c>
      <c r="O26" s="14">
        <f>N26*VLOOKUP('Données projet'!$B$9,Paramètres!$A$1:$I$89,3,0)*VLOOKUP('Données projet'!$B$9,Paramètres!$A$1:$I$89,5,0)</f>
        <v>53.745119999999986</v>
      </c>
      <c r="P26" s="14">
        <f t="shared" si="33"/>
        <v>15.576850002330584</v>
      </c>
      <c r="Q26" s="22">
        <f t="shared" si="2"/>
        <v>120.73576442072574</v>
      </c>
      <c r="R26" s="62">
        <f t="shared" si="0"/>
        <v>405.5135421985035</v>
      </c>
      <c r="S26" s="62">
        <f ca="1">AVERAGE(OFFSET($R$3,0,0,'Données projet'!$E$9+1,1))-AVERAGE(OFFSET($H$3,0,0,'Données projet'!$E$9+1,1))</f>
        <v>429.08703331308703</v>
      </c>
      <c r="T26" s="62">
        <f t="shared" si="34"/>
        <v>231.36959598460675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24.599441292657108</v>
      </c>
      <c r="AK26" s="14">
        <f t="shared" si="35"/>
        <v>7.808607795256683</v>
      </c>
      <c r="AL26" s="22">
        <f t="shared" si="4"/>
        <v>56.444018828116505</v>
      </c>
      <c r="AM26" s="62">
        <f t="shared" si="5"/>
        <v>341.22179660589427</v>
      </c>
      <c r="AN26" s="62">
        <f ca="1">AVERAGE(OFFSET($AM$3,0,0,'Données projet'!$E$10+1,1))-AVERAGE(OFFSET($H$3,0,0,'Données projet'!$E$10+1,1))</f>
        <v>377.28543127606366</v>
      </c>
      <c r="AO26" s="62">
        <f t="shared" si="36"/>
        <v>166.97658184507776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</v>
      </c>
      <c r="BD26" s="13">
        <f>IF('Données projet'!$A$88&gt;35,BD25+BC26-BL25,IF(A26&lt;'Données projet'!$A$88,$BA$205^A26,IF(A26='Données projet'!$A$88,'Données projet'!$B$88,BD25+BC26-BL25)))</f>
        <v>66</v>
      </c>
      <c r="BE26" s="14">
        <f>BD26*VLOOKUP('Données projet'!$B$11,Paramètres!$A$1:$I$89,3,0)*VLOOKUP('Données projet'!$B$11,Paramètres!$A$1:$I$89,5,0)</f>
        <v>57.657600000000002</v>
      </c>
      <c r="BF26" s="14">
        <f t="shared" si="37"/>
        <v>16.574671209026025</v>
      </c>
      <c r="BG26" s="22">
        <f t="shared" si="7"/>
        <v>129.28787235572034</v>
      </c>
      <c r="BH26" s="62">
        <f t="shared" si="8"/>
        <v>414.06565013349814</v>
      </c>
      <c r="BI26" s="62">
        <f ca="1">AVERAGE(OFFSET($BH$3,0,0,'Données projet'!$E$11+1,1))-AVERAGE(OFFSET($H$3,0,0,'Données projet'!$E$11+1,1))</f>
        <v>271.30269362742433</v>
      </c>
      <c r="BJ26" s="62">
        <f t="shared" si="38"/>
        <v>296.39988431569537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5.8</v>
      </c>
      <c r="N27" s="14">
        <f>IF('Données projet'!$A$36&gt;35,N26+M27-V26,IF(A27&lt;'Données projet'!$A$36,$K$205^A27,IF(A27='Données projet'!$A$36,'Données projet'!$B$36,N26+M27-V26)))</f>
        <v>65.199999999999989</v>
      </c>
      <c r="O27" s="14">
        <f>N27*VLOOKUP('Données projet'!$B$9,Paramètres!$A$1:$I$89,3,0)*VLOOKUP('Données projet'!$B$9,Paramètres!$A$1:$I$89,5,0)</f>
        <v>58.992959999999982</v>
      </c>
      <c r="P27" s="14">
        <f t="shared" si="33"/>
        <v>16.913407425602649</v>
      </c>
      <c r="Q27" s="22">
        <f t="shared" si="2"/>
        <v>132.20358993292459</v>
      </c>
      <c r="R27" s="62">
        <f t="shared" si="0"/>
        <v>418.20358993292461</v>
      </c>
      <c r="S27" s="62">
        <f ca="1">AVERAGE(OFFSET($R$3,0,0,'Données projet'!$E$9+1,1))-AVERAGE(OFFSET($H$3,0,0,'Données projet'!$E$9+1,1))</f>
        <v>429.08703331308703</v>
      </c>
      <c r="T27" s="62">
        <f t="shared" si="34"/>
        <v>231.36959598460675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28.184484352609399</v>
      </c>
      <c r="AK27" s="14">
        <f t="shared" si="35"/>
        <v>8.8060466863244411</v>
      </c>
      <c r="AL27" s="22">
        <f t="shared" si="4"/>
        <v>64.425174892809764</v>
      </c>
      <c r="AM27" s="62">
        <f t="shared" si="5"/>
        <v>350.42517489280976</v>
      </c>
      <c r="AN27" s="62">
        <f ca="1">AVERAGE(OFFSET($AM$3,0,0,'Données projet'!$E$10+1,1))-AVERAGE(OFFSET($H$3,0,0,'Données projet'!$E$10+1,1))</f>
        <v>377.28543127606366</v>
      </c>
      <c r="AO27" s="62">
        <f t="shared" si="36"/>
        <v>166.97658184507776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</v>
      </c>
      <c r="BD27" s="13">
        <f>IF('Données projet'!$A$88&gt;35,BD26+BC27-BL26,IF(A27&lt;'Données projet'!$A$88,$BA$205^A27,IF(A27='Données projet'!$A$88,'Données projet'!$B$88,BD26+BC27-BL26)))</f>
        <v>76</v>
      </c>
      <c r="BE27" s="14">
        <f>BD27*VLOOKUP('Données projet'!$B$11,Paramètres!$A$1:$I$89,3,0)*VLOOKUP('Données projet'!$B$11,Paramètres!$A$1:$I$89,5,0)</f>
        <v>66.393600000000006</v>
      </c>
      <c r="BF27" s="14">
        <f t="shared" si="37"/>
        <v>18.775122997078544</v>
      </c>
      <c r="BG27" s="22">
        <f t="shared" si="7"/>
        <v>148.33552588657844</v>
      </c>
      <c r="BH27" s="62">
        <f t="shared" si="8"/>
        <v>434.33552588657847</v>
      </c>
      <c r="BI27" s="62">
        <f ca="1">AVERAGE(OFFSET($BH$3,0,0,'Données projet'!$E$11+1,1))-AVERAGE(OFFSET($H$3,0,0,'Données projet'!$E$11+1,1))</f>
        <v>271.30269362742433</v>
      </c>
      <c r="BJ27" s="62">
        <f t="shared" si="38"/>
        <v>296.39988431569537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5.8</v>
      </c>
      <c r="M28" s="13">
        <f t="array" ref="M28">INDEX(L:L,MIN(IF(ISNUMBER(L28:L224),ROW(L28:L224),"")))</f>
        <v>5.8</v>
      </c>
      <c r="N28" s="14">
        <f>IF('Données projet'!$A$36&gt;35,N27+M28-V27,IF(A28&lt;'Données projet'!$A$36,$K$205^A28,IF(A28='Données projet'!$A$36,'Données projet'!$B$36,N27+M28-V27)))</f>
        <v>70.999999999999986</v>
      </c>
      <c r="O28" s="14">
        <f>N28*VLOOKUP('Données projet'!$B$9,Paramètres!$A$1:$I$89,3,0)*VLOOKUP('Données projet'!$B$9,Paramètres!$A$1:$I$89,5,0)</f>
        <v>64.240799999999979</v>
      </c>
      <c r="P28" s="14">
        <f t="shared" si="33"/>
        <v>18.236177554745847</v>
      </c>
      <c r="Q28" s="22">
        <f t="shared" si="2"/>
        <v>143.64740257451564</v>
      </c>
      <c r="R28" s="62">
        <f t="shared" si="0"/>
        <v>430.86962479673787</v>
      </c>
      <c r="S28" s="62">
        <f ca="1">AVERAGE(OFFSET($R$3,0,0,'Données projet'!$E$9+1,1))-AVERAGE(OFFSET($H$3,0,0,'Données projet'!$E$9+1,1))</f>
        <v>429.08703331308703</v>
      </c>
      <c r="T28" s="62">
        <f t="shared" si="34"/>
        <v>231.36959598460675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32.292000000000002</v>
      </c>
      <c r="AK28" s="14">
        <f t="shared" si="35"/>
        <v>9.9308942483743401</v>
      </c>
      <c r="AL28" s="22">
        <f t="shared" si="4"/>
        <v>73.538207482585321</v>
      </c>
      <c r="AM28" s="62">
        <f t="shared" si="5"/>
        <v>360.76042970480756</v>
      </c>
      <c r="AN28" s="62">
        <f ca="1">AVERAGE(OFFSET($AM$3,0,0,'Données projet'!$E$10+1,1))-AVERAGE(OFFSET($H$3,0,0,'Données projet'!$E$10+1,1))</f>
        <v>377.28543127606366</v>
      </c>
      <c r="AO28" s="62">
        <f t="shared" si="36"/>
        <v>166.97658184507776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86</v>
      </c>
      <c r="BB28" s="13">
        <f>VLOOKUP(A28,'Données projet'!$A$87:$I$107,9,0)</f>
        <v>10</v>
      </c>
      <c r="BC28" s="13">
        <f t="array" ref="BC28">INDEX(BB:BB,MIN(IF(ISNUMBER(BB28:BB224),ROW(BB28:BB224),"")))</f>
        <v>10</v>
      </c>
      <c r="BD28" s="13">
        <f>IF('Données projet'!$A$88&gt;35,BD27+BC28-BL27,IF(A28&lt;'Données projet'!$A$88,$BA$205^A28,IF(A28='Données projet'!$A$88,'Données projet'!$B$88,BD27+BC28-BL27)))</f>
        <v>86</v>
      </c>
      <c r="BE28" s="14">
        <f>BD28*VLOOKUP('Données projet'!$B$11,Paramètres!$A$1:$I$89,3,0)*VLOOKUP('Données projet'!$B$11,Paramètres!$A$1:$I$89,5,0)</f>
        <v>75.129600000000011</v>
      </c>
      <c r="BF28" s="14">
        <f t="shared" si="37"/>
        <v>20.942027818647581</v>
      </c>
      <c r="BG28" s="22">
        <f t="shared" si="7"/>
        <v>167.32475178414452</v>
      </c>
      <c r="BH28" s="62">
        <f t="shared" si="8"/>
        <v>454.54697400636678</v>
      </c>
      <c r="BI28" s="62">
        <f ca="1">AVERAGE(OFFSET($BH$3,0,0,'Données projet'!$E$11+1,1))-AVERAGE(OFFSET($H$3,0,0,'Données projet'!$E$11+1,1))</f>
        <v>271.30269362742433</v>
      </c>
      <c r="BJ28" s="62">
        <f t="shared" si="38"/>
        <v>296.39988431569537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6.8</v>
      </c>
      <c r="N29" s="14">
        <f>IF('Données projet'!$A$36&gt;35,N28+M29-V28,IF(A29&lt;'Données projet'!$A$36,$K$205^A29,IF(A29='Données projet'!$A$36,'Données projet'!$B$36,N28+M29-V28)))</f>
        <v>69.799999999999983</v>
      </c>
      <c r="O29" s="14">
        <f>N29*VLOOKUP('Données projet'!$B$9,Paramètres!$A$1:$I$89,3,0)*VLOOKUP('Données projet'!$B$9,Paramètres!$A$1:$I$89,5,0)</f>
        <v>63.155039999999985</v>
      </c>
      <c r="P29" s="14">
        <f t="shared" si="33"/>
        <v>17.963567346799877</v>
      </c>
      <c r="Q29" s="22">
        <f t="shared" si="2"/>
        <v>141.28157446234309</v>
      </c>
      <c r="R29" s="62">
        <f t="shared" si="0"/>
        <v>429.72601890678754</v>
      </c>
      <c r="S29" s="62">
        <f ca="1">AVERAGE(OFFSET($R$3,0,0,'Données projet'!$E$9+1,1))-AVERAGE(OFFSET($H$3,0,0,'Données projet'!$E$9+1,1))</f>
        <v>429.08703331308703</v>
      </c>
      <c r="T29" s="62">
        <f t="shared" si="34"/>
        <v>231.36959598460675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37.45872</v>
      </c>
      <c r="AK29" s="14">
        <f t="shared" si="35"/>
        <v>11.322528864493165</v>
      </c>
      <c r="AL29" s="22">
        <f t="shared" si="4"/>
        <v>84.960675105658922</v>
      </c>
      <c r="AM29" s="62">
        <f t="shared" si="5"/>
        <v>373.40511955010339</v>
      </c>
      <c r="AN29" s="62">
        <f ca="1">AVERAGE(OFFSET($AM$3,0,0,'Données projet'!$E$10+1,1))-AVERAGE(OFFSET($H$3,0,0,'Données projet'!$E$10+1,1))</f>
        <v>377.28543127606366</v>
      </c>
      <c r="AO29" s="62">
        <f t="shared" si="36"/>
        <v>166.97658184507776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9.8000000000000007</v>
      </c>
      <c r="BD29" s="13">
        <f>IF('Données projet'!$A$88&gt;35,BD28+BC29-BL28,IF(A29&lt;'Données projet'!$A$88,$BA$205^A29,IF(A29='Données projet'!$A$88,'Données projet'!$B$88,BD28+BC29-BL28)))</f>
        <v>95.8</v>
      </c>
      <c r="BE29" s="14">
        <f>BD29*VLOOKUP('Données projet'!$B$11,Paramètres!$A$1:$I$89,3,0)*VLOOKUP('Données projet'!$B$11,Paramètres!$A$1:$I$89,5,0)</f>
        <v>83.690880000000007</v>
      </c>
      <c r="BF29" s="14">
        <f t="shared" si="37"/>
        <v>23.037240938104041</v>
      </c>
      <c r="BG29" s="22">
        <f t="shared" si="7"/>
        <v>185.88481063386453</v>
      </c>
      <c r="BH29" s="62">
        <f t="shared" si="8"/>
        <v>474.32925507830896</v>
      </c>
      <c r="BI29" s="62">
        <f ca="1">AVERAGE(OFFSET($BH$3,0,0,'Données projet'!$E$11+1,1))-AVERAGE(OFFSET($H$3,0,0,'Données projet'!$E$11+1,1))</f>
        <v>271.30269362742433</v>
      </c>
      <c r="BJ29" s="62">
        <f t="shared" si="38"/>
        <v>296.39988431569537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6.8</v>
      </c>
      <c r="N30" s="14">
        <f>IF('Données projet'!$A$36&gt;35,N29+M30-V29,IF(A30&lt;'Données projet'!$A$36,$K$205^A30,IF(A30='Données projet'!$A$36,'Données projet'!$B$36,N29+M30-V29)))</f>
        <v>76.59999999999998</v>
      </c>
      <c r="O30" s="14">
        <f>N30*VLOOKUP('Données projet'!$B$9,Paramètres!$A$1:$I$89,3,0)*VLOOKUP('Données projet'!$B$9,Paramètres!$A$1:$I$89,5,0)</f>
        <v>69.307679999999976</v>
      </c>
      <c r="P30" s="14">
        <f t="shared" si="33"/>
        <v>19.50143078484135</v>
      </c>
      <c r="Q30" s="22">
        <f t="shared" si="2"/>
        <v>154.67586795026531</v>
      </c>
      <c r="R30" s="62">
        <f t="shared" si="0"/>
        <v>444.34253461693197</v>
      </c>
      <c r="S30" s="62">
        <f ca="1">AVERAGE(OFFSET($R$3,0,0,'Données projet'!$E$9+1,1))-AVERAGE(OFFSET($H$3,0,0,'Données projet'!$E$9+1,1))</f>
        <v>429.08703331308703</v>
      </c>
      <c r="T30" s="62">
        <f t="shared" si="34"/>
        <v>231.36959598460675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42.62543999999999</v>
      </c>
      <c r="AK30" s="14">
        <f t="shared" si="35"/>
        <v>12.691924583898647</v>
      </c>
      <c r="AL30" s="22">
        <f t="shared" si="4"/>
        <v>96.34440998362345</v>
      </c>
      <c r="AM30" s="62">
        <f t="shared" si="5"/>
        <v>386.01107665029014</v>
      </c>
      <c r="AN30" s="62">
        <f ca="1">AVERAGE(OFFSET($AM$3,0,0,'Données projet'!$E$10+1,1))-AVERAGE(OFFSET($H$3,0,0,'Données projet'!$E$10+1,1))</f>
        <v>377.28543127606366</v>
      </c>
      <c r="AO30" s="62">
        <f t="shared" si="36"/>
        <v>166.97658184507776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9.8000000000000007</v>
      </c>
      <c r="BD30" s="13">
        <f>IF('Données projet'!$A$88&gt;35,BD29+BC30-BL29,IF(A30&lt;'Données projet'!$A$88,$BA$205^A30,IF(A30='Données projet'!$A$88,'Données projet'!$B$88,BD29+BC30-BL29)))</f>
        <v>105.6</v>
      </c>
      <c r="BE30" s="14">
        <f>BD30*VLOOKUP('Données projet'!$B$11,Paramètres!$A$1:$I$89,3,0)*VLOOKUP('Données projet'!$B$11,Paramètres!$A$1:$I$89,5,0)</f>
        <v>92.252160000000003</v>
      </c>
      <c r="BF30" s="14">
        <f t="shared" si="37"/>
        <v>25.107607958259987</v>
      </c>
      <c r="BG30" s="22">
        <f t="shared" si="7"/>
        <v>204.40159586063612</v>
      </c>
      <c r="BH30" s="62">
        <f t="shared" si="8"/>
        <v>494.06826252730281</v>
      </c>
      <c r="BI30" s="62">
        <f ca="1">AVERAGE(OFFSET($BH$3,0,0,'Données projet'!$E$11+1,1))-AVERAGE(OFFSET($H$3,0,0,'Données projet'!$E$11+1,1))</f>
        <v>271.30269362742433</v>
      </c>
      <c r="BJ30" s="62">
        <f t="shared" si="38"/>
        <v>296.39988431569537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6.8</v>
      </c>
      <c r="N31" s="14">
        <f>IF('Données projet'!$A$36&gt;35,N30+M31-V30,IF(A31&lt;'Données projet'!$A$36,$K$205^A31,IF(A31='Données projet'!$A$36,'Données projet'!$B$36,N30+M31-V30)))</f>
        <v>83.399999999999977</v>
      </c>
      <c r="O31" s="14">
        <f>N31*VLOOKUP('Données projet'!$B$9,Paramètres!$A$1:$I$89,3,0)*VLOOKUP('Données projet'!$B$9,Paramètres!$A$1:$I$89,5,0)</f>
        <v>75.460319999999982</v>
      </c>
      <c r="P31" s="14">
        <f t="shared" si="33"/>
        <v>21.023463123249066</v>
      </c>
      <c r="Q31" s="22">
        <f t="shared" si="2"/>
        <v>168.04258893965877</v>
      </c>
      <c r="R31" s="62">
        <f t="shared" si="0"/>
        <v>458.9314778285476</v>
      </c>
      <c r="S31" s="62">
        <f ca="1">AVERAGE(OFFSET($R$3,0,0,'Données projet'!$E$9+1,1))-AVERAGE(OFFSET($H$3,0,0,'Données projet'!$E$9+1,1))</f>
        <v>429.08703331308703</v>
      </c>
      <c r="T31" s="62">
        <f t="shared" si="34"/>
        <v>231.36959598460675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47.792159999999988</v>
      </c>
      <c r="AK31" s="14">
        <f t="shared" si="35"/>
        <v>14.042085367056567</v>
      </c>
      <c r="AL31" s="22">
        <f t="shared" si="4"/>
        <v>107.69464401429015</v>
      </c>
      <c r="AM31" s="62">
        <f t="shared" si="5"/>
        <v>398.58353290317899</v>
      </c>
      <c r="AN31" s="62">
        <f ca="1">AVERAGE(OFFSET($AM$3,0,0,'Données projet'!$E$10+1,1))-AVERAGE(OFFSET($H$3,0,0,'Données projet'!$E$10+1,1))</f>
        <v>377.28543127606366</v>
      </c>
      <c r="AO31" s="62">
        <f t="shared" si="36"/>
        <v>166.97658184507776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9.8000000000000007</v>
      </c>
      <c r="BD31" s="13">
        <f>IF('Données projet'!$A$88&gt;35,BD30+BC31-BL30,IF(A31&lt;'Données projet'!$A$88,$BA$205^A31,IF(A31='Données projet'!$A$88,'Données projet'!$B$88,BD30+BC31-BL30)))</f>
        <v>115.39999999999999</v>
      </c>
      <c r="BE31" s="14">
        <f>BD31*VLOOKUP('Données projet'!$B$11,Paramètres!$A$1:$I$89,3,0)*VLOOKUP('Données projet'!$B$11,Paramètres!$A$1:$I$89,5,0)</f>
        <v>100.81344</v>
      </c>
      <c r="BF31" s="14">
        <f t="shared" si="37"/>
        <v>27.155696942944218</v>
      </c>
      <c r="BG31" s="22">
        <f t="shared" si="7"/>
        <v>222.87958017562786</v>
      </c>
      <c r="BH31" s="62">
        <f t="shared" si="8"/>
        <v>513.76846906451669</v>
      </c>
      <c r="BI31" s="62">
        <f ca="1">AVERAGE(OFFSET($BH$3,0,0,'Données projet'!$E$11+1,1))-AVERAGE(OFFSET($H$3,0,0,'Données projet'!$E$11+1,1))</f>
        <v>271.30269362742433</v>
      </c>
      <c r="BJ31" s="62">
        <f t="shared" si="38"/>
        <v>296.39988431569537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6.8</v>
      </c>
      <c r="N32" s="14">
        <f>IF('Données projet'!$A$36&gt;35,N31+M32-V31,IF(A32&lt;'Données projet'!$A$36,$K$205^A32,IF(A32='Données projet'!$A$36,'Données projet'!$B$36,N31+M32-V31)))</f>
        <v>90.199999999999974</v>
      </c>
      <c r="O32" s="14">
        <f>N32*VLOOKUP('Données projet'!$B$9,Paramètres!$A$1:$I$89,3,0)*VLOOKUP('Données projet'!$B$9,Paramètres!$A$1:$I$89,5,0)</f>
        <v>81.612959999999973</v>
      </c>
      <c r="P32" s="14">
        <f t="shared" si="33"/>
        <v>22.531101896247538</v>
      </c>
      <c r="Q32" s="22">
        <f t="shared" si="2"/>
        <v>181.3842411359644</v>
      </c>
      <c r="R32" s="62">
        <f t="shared" si="0"/>
        <v>473.49535224707552</v>
      </c>
      <c r="S32" s="62">
        <f ca="1">AVERAGE(OFFSET($R$3,0,0,'Données projet'!$E$9+1,1))-AVERAGE(OFFSET($H$3,0,0,'Données projet'!$E$9+1,1))</f>
        <v>429.08703331308703</v>
      </c>
      <c r="T32" s="62">
        <f t="shared" si="34"/>
        <v>231.36959598460675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52.958879999999979</v>
      </c>
      <c r="AK32" s="14">
        <f t="shared" si="35"/>
        <v>15.375327718852537</v>
      </c>
      <c r="AL32" s="22">
        <f t="shared" si="4"/>
        <v>119.01541177700146</v>
      </c>
      <c r="AM32" s="62">
        <f t="shared" si="5"/>
        <v>411.12652288811262</v>
      </c>
      <c r="AN32" s="62">
        <f ca="1">AVERAGE(OFFSET($AM$3,0,0,'Données projet'!$E$10+1,1))-AVERAGE(OFFSET($H$3,0,0,'Données projet'!$E$10+1,1))</f>
        <v>377.28543127606366</v>
      </c>
      <c r="AO32" s="62">
        <f t="shared" si="36"/>
        <v>166.97658184507776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9.8000000000000007</v>
      </c>
      <c r="BD32" s="13">
        <f>IF('Données projet'!$A$88&gt;35,BD31+BC32-BL31,IF(A32&lt;'Données projet'!$A$88,$BA$205^A32,IF(A32='Données projet'!$A$88,'Données projet'!$B$88,BD31+BC32-BL31)))</f>
        <v>125.19999999999999</v>
      </c>
      <c r="BE32" s="14">
        <f>BD32*VLOOKUP('Données projet'!$B$11,Paramètres!$A$1:$I$89,3,0)*VLOOKUP('Données projet'!$B$11,Paramètres!$A$1:$I$89,5,0)</f>
        <v>109.37472</v>
      </c>
      <c r="BF32" s="14">
        <f t="shared" si="37"/>
        <v>29.183614885996381</v>
      </c>
      <c r="BG32" s="22">
        <f t="shared" si="7"/>
        <v>241.32243325977697</v>
      </c>
      <c r="BH32" s="62">
        <f t="shared" si="8"/>
        <v>533.43354437088806</v>
      </c>
      <c r="BI32" s="62">
        <f ca="1">AVERAGE(OFFSET($BH$3,0,0,'Données projet'!$E$11+1,1))-AVERAGE(OFFSET($H$3,0,0,'Données projet'!$E$11+1,1))</f>
        <v>271.30269362742433</v>
      </c>
      <c r="BJ32" s="62">
        <f t="shared" si="38"/>
        <v>296.39988431569537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6.8</v>
      </c>
      <c r="M33" s="13">
        <f t="array" ref="M33">INDEX(L:L,MIN(IF(ISNUMBER(L33:L229),ROW(L33:L229),"")))</f>
        <v>6.8</v>
      </c>
      <c r="N33" s="14">
        <f>IF('Données projet'!$A$36&gt;35,N32+M33-V32,IF(A33&lt;'Données projet'!$A$36,$K$205^A33,IF(A33='Données projet'!$A$36,'Données projet'!$B$36,N32+M33-V32)))</f>
        <v>96.999999999999972</v>
      </c>
      <c r="O33" s="14">
        <f>N33*VLOOKUP('Données projet'!$B$9,Paramètres!$A$1:$I$89,3,0)*VLOOKUP('Données projet'!$B$9,Paramètres!$A$1:$I$89,5,0)</f>
        <v>87.765599999999964</v>
      </c>
      <c r="P33" s="14">
        <f t="shared" si="33"/>
        <v>24.025555589247954</v>
      </c>
      <c r="Q33" s="22">
        <f t="shared" si="2"/>
        <v>194.70292931794015</v>
      </c>
      <c r="R33" s="62">
        <f t="shared" si="0"/>
        <v>488.03626265127343</v>
      </c>
      <c r="S33" s="62">
        <f ca="1">AVERAGE(OFFSET($R$3,0,0,'Données projet'!$E$9+1,1))-AVERAGE(OFFSET($H$3,0,0,'Données projet'!$E$9+1,1))</f>
        <v>429.08703331308703</v>
      </c>
      <c r="T33" s="62">
        <f t="shared" si="34"/>
        <v>231.36959598460675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58.125599999999977</v>
      </c>
      <c r="AK33" s="14">
        <f t="shared" si="35"/>
        <v>16.693490054590161</v>
      </c>
      <c r="AL33" s="22">
        <f t="shared" si="4"/>
        <v>130.30991517841116</v>
      </c>
      <c r="AM33" s="62">
        <f t="shared" si="5"/>
        <v>423.64324851174445</v>
      </c>
      <c r="AN33" s="62">
        <f ca="1">AVERAGE(OFFSET($AM$3,0,0,'Données projet'!$E$10+1,1))-AVERAGE(OFFSET($H$3,0,0,'Données projet'!$E$10+1,1))</f>
        <v>377.28543127606366</v>
      </c>
      <c r="AO33" s="62">
        <f t="shared" si="36"/>
        <v>166.97658184507776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135</v>
      </c>
      <c r="BB33" s="13">
        <f>VLOOKUP(A33,'Données projet'!$A$87:$I$107,9,0)</f>
        <v>9.8000000000000007</v>
      </c>
      <c r="BC33" s="13">
        <f t="array" ref="BC33">INDEX(BB:BB,MIN(IF(ISNUMBER(BB33:BB229),ROW(BB33:BB229),"")))</f>
        <v>9.8000000000000007</v>
      </c>
      <c r="BD33" s="13">
        <f>IF('Données projet'!$A$88&gt;35,BD32+BC33-BL32,IF(A33&lt;'Données projet'!$A$88,$BA$205^A33,IF(A33='Données projet'!$A$88,'Données projet'!$B$88,BD32+BC33-BL32)))</f>
        <v>135</v>
      </c>
      <c r="BE33" s="14">
        <f>BD33*VLOOKUP('Données projet'!$B$11,Paramètres!$A$1:$I$89,3,0)*VLOOKUP('Données projet'!$B$11,Paramètres!$A$1:$I$89,5,0)</f>
        <v>117.93600000000002</v>
      </c>
      <c r="BF33" s="14">
        <f t="shared" si="37"/>
        <v>31.1931201812605</v>
      </c>
      <c r="BG33" s="22">
        <f t="shared" si="7"/>
        <v>259.73321764902875</v>
      </c>
      <c r="BH33" s="62">
        <f t="shared" si="8"/>
        <v>553.06655098236206</v>
      </c>
      <c r="BI33" s="62">
        <f ca="1">AVERAGE(OFFSET($BH$3,0,0,'Données projet'!$E$11+1,1))-AVERAGE(OFFSET($H$3,0,0,'Données projet'!$E$11+1,1))</f>
        <v>271.30269362742433</v>
      </c>
      <c r="BJ33" s="62">
        <f t="shared" si="38"/>
        <v>296.39988431569537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42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104.99999999999997</v>
      </c>
      <c r="O34" s="14">
        <f>N34*VLOOKUP('Données projet'!$B$9,Paramètres!$A$1:$I$89,3,0)*VLOOKUP('Données projet'!$B$9,Paramètres!$A$1:$I$89,5,0)</f>
        <v>95.003999999999962</v>
      </c>
      <c r="P34" s="14">
        <f t="shared" si="33"/>
        <v>25.768242550600764</v>
      </c>
      <c r="Q34" s="22">
        <f t="shared" si="2"/>
        <v>210.34498910896289</v>
      </c>
      <c r="R34" s="62">
        <f t="shared" si="0"/>
        <v>503.67832244229623</v>
      </c>
      <c r="S34" s="62">
        <f ca="1">AVERAGE(OFFSET($R$3,0,0,'Données projet'!$E$9+1,1))-AVERAGE(OFFSET($H$3,0,0,'Données projet'!$E$9+1,1))</f>
        <v>429.08703331308703</v>
      </c>
      <c r="T34" s="62">
        <f t="shared" si="34"/>
        <v>231.36959598460675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63.507599999999982</v>
      </c>
      <c r="AK34" s="14">
        <f t="shared" si="35"/>
        <v>18.052146695841799</v>
      </c>
      <c r="AL34" s="22">
        <f t="shared" si="4"/>
        <v>142.04989216192442</v>
      </c>
      <c r="AM34" s="62">
        <f t="shared" si="5"/>
        <v>435.38322549525776</v>
      </c>
      <c r="AN34" s="62">
        <f ca="1">AVERAGE(OFFSET($AM$3,0,0,'Données projet'!$E$10+1,1))-AVERAGE(OFFSET($H$3,0,0,'Données projet'!$E$10+1,1))</f>
        <v>377.28543127606366</v>
      </c>
      <c r="AO34" s="62">
        <f t="shared" si="36"/>
        <v>166.97658184507776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8.6</v>
      </c>
      <c r="BD34" s="13">
        <f>IF('Données projet'!$A$88&gt;35,BD33+BC34-BL33,IF(A34&lt;'Données projet'!$A$88,$BA$205^A34,IF(A34='Données projet'!$A$88,'Données projet'!$B$88,BD33+BC34-BL33)))</f>
        <v>101.6</v>
      </c>
      <c r="BE34" s="14">
        <f>BD34*VLOOKUP('Données projet'!$B$11,Paramètres!$A$1:$I$89,3,0)*VLOOKUP('Données projet'!$B$11,Paramètres!$A$1:$I$89,5,0)</f>
        <v>88.757760000000005</v>
      </c>
      <c r="BF34" s="14">
        <f t="shared" si="37"/>
        <v>24.265384701755014</v>
      </c>
      <c r="BG34" s="22">
        <f t="shared" si="7"/>
        <v>196.84864368888998</v>
      </c>
      <c r="BH34" s="62">
        <f t="shared" si="8"/>
        <v>490.18197702222329</v>
      </c>
      <c r="BI34" s="62">
        <f ca="1">AVERAGE(OFFSET($BH$3,0,0,'Données projet'!$E$11+1,1))-AVERAGE(OFFSET($H$3,0,0,'Données projet'!$E$11+1,1))</f>
        <v>271.30269362742433</v>
      </c>
      <c r="BJ34" s="62">
        <f t="shared" si="38"/>
        <v>296.39988431569537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112.99999999999997</v>
      </c>
      <c r="O35" s="14">
        <f>N35*VLOOKUP('Données projet'!$B$9,Paramètres!$A$1:$I$89,3,0)*VLOOKUP('Données projet'!$B$9,Paramètres!$A$1:$I$89,5,0)</f>
        <v>102.24239999999998</v>
      </c>
      <c r="P35" s="14">
        <f t="shared" si="33"/>
        <v>27.495526976991481</v>
      </c>
      <c r="Q35" s="22">
        <f t="shared" ref="Q35:Q66" si="53">(O35+P35)*0.475*44/12</f>
        <v>225.96022281826006</v>
      </c>
      <c r="R35" s="62">
        <f t="shared" si="0"/>
        <v>519.29355615159341</v>
      </c>
      <c r="S35" s="62">
        <f ca="1">AVERAGE(OFFSET($R$3,0,0,'Données projet'!$E$9+1,1))-AVERAGE(OFFSET($H$3,0,0,'Données projet'!$E$9+1,1))</f>
        <v>429.08703331308703</v>
      </c>
      <c r="T35" s="62">
        <f t="shared" si="34"/>
        <v>231.36959598460675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68.889599999999987</v>
      </c>
      <c r="AK35" s="14">
        <f t="shared" si="35"/>
        <v>19.397450021635805</v>
      </c>
      <c r="AL35" s="22">
        <f t="shared" si="4"/>
        <v>153.76661212101567</v>
      </c>
      <c r="AM35" s="62">
        <f t="shared" si="5"/>
        <v>447.09994545434898</v>
      </c>
      <c r="AN35" s="62">
        <f ca="1">AVERAGE(OFFSET($AM$3,0,0,'Données projet'!$E$10+1,1))-AVERAGE(OFFSET($H$3,0,0,'Données projet'!$E$10+1,1))</f>
        <v>377.28543127606366</v>
      </c>
      <c r="AO35" s="62">
        <f t="shared" si="36"/>
        <v>166.97658184507776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8.6</v>
      </c>
      <c r="BD35" s="13">
        <f>IF('Données projet'!$A$88&gt;35,BD34+BC35-BL34,IF(A35&lt;'Données projet'!$A$88,$BA$205^A35,IF(A35='Données projet'!$A$88,'Données projet'!$B$88,BD34+BC35-BL34)))</f>
        <v>110.19999999999999</v>
      </c>
      <c r="BE35" s="14">
        <f>BD35*VLOOKUP('Données projet'!$B$11,Paramètres!$A$1:$I$89,3,0)*VLOOKUP('Données projet'!$B$11,Paramètres!$A$1:$I$89,5,0)</f>
        <v>96.270719999999997</v>
      </c>
      <c r="BF35" s="14">
        <f t="shared" si="37"/>
        <v>26.071592384845928</v>
      </c>
      <c r="BG35" s="22">
        <f t="shared" si="7"/>
        <v>213.07952740360665</v>
      </c>
      <c r="BH35" s="62">
        <f t="shared" si="8"/>
        <v>506.41286073693993</v>
      </c>
      <c r="BI35" s="62">
        <f ca="1">AVERAGE(OFFSET($BH$3,0,0,'Données projet'!$E$11+1,1))-AVERAGE(OFFSET($H$3,0,0,'Données projet'!$E$11+1,1))</f>
        <v>271.30269362742433</v>
      </c>
      <c r="BJ35" s="62">
        <f t="shared" si="38"/>
        <v>296.39988431569537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120.99999999999997</v>
      </c>
      <c r="O36" s="14">
        <f>N36*VLOOKUP('Données projet'!$B$9,Paramètres!$A$1:$I$89,3,0)*VLOOKUP('Données projet'!$B$9,Paramètres!$A$1:$I$89,5,0)</f>
        <v>109.48079999999997</v>
      </c>
      <c r="P36" s="14">
        <f t="shared" si="33"/>
        <v>29.208623339903898</v>
      </c>
      <c r="Q36" s="22">
        <f t="shared" si="53"/>
        <v>241.55074565033257</v>
      </c>
      <c r="R36" s="62">
        <f t="shared" si="0"/>
        <v>534.88407898366586</v>
      </c>
      <c r="S36" s="62">
        <f ca="1">AVERAGE(OFFSET($R$3,0,0,'Données projet'!$E$9+1,1))-AVERAGE(OFFSET($H$3,0,0,'Données projet'!$E$9+1,1))</f>
        <v>429.08703331308703</v>
      </c>
      <c r="T36" s="62">
        <f t="shared" si="34"/>
        <v>231.36959598460675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74.271599999999978</v>
      </c>
      <c r="AK36" s="14">
        <f t="shared" si="35"/>
        <v>20.730561869473863</v>
      </c>
      <c r="AL36" s="22">
        <f t="shared" si="4"/>
        <v>165.46209858933358</v>
      </c>
      <c r="AM36" s="62">
        <f t="shared" si="5"/>
        <v>458.79543192266692</v>
      </c>
      <c r="AN36" s="62">
        <f ca="1">AVERAGE(OFFSET($AM$3,0,0,'Données projet'!$E$10+1,1))-AVERAGE(OFFSET($H$3,0,0,'Données projet'!$E$10+1,1))</f>
        <v>377.28543127606366</v>
      </c>
      <c r="AO36" s="62">
        <f t="shared" si="36"/>
        <v>166.97658184507776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8.6</v>
      </c>
      <c r="BD36" s="13">
        <f>IF('Données projet'!$A$88&gt;35,BD35+BC36-BL35,IF(A36&lt;'Données projet'!$A$88,$BA$205^A36,IF(A36='Données projet'!$A$88,'Données projet'!$B$88,BD35+BC36-BL35)))</f>
        <v>118.79999999999998</v>
      </c>
      <c r="BE36" s="14">
        <f>BD36*VLOOKUP('Données projet'!$B$11,Paramètres!$A$1:$I$89,3,0)*VLOOKUP('Données projet'!$B$11,Paramètres!$A$1:$I$89,5,0)</f>
        <v>103.78367999999999</v>
      </c>
      <c r="BF36" s="14">
        <f t="shared" si="37"/>
        <v>27.861449539780477</v>
      </c>
      <c r="BG36" s="22">
        <f t="shared" si="7"/>
        <v>229.28193394845096</v>
      </c>
      <c r="BH36" s="62">
        <f t="shared" si="8"/>
        <v>522.61526728178433</v>
      </c>
      <c r="BI36" s="62">
        <f ca="1">AVERAGE(OFFSET($BH$3,0,0,'Données projet'!$E$11+1,1))-AVERAGE(OFFSET($H$3,0,0,'Données projet'!$E$11+1,1))</f>
        <v>271.30269362742433</v>
      </c>
      <c r="BJ36" s="62">
        <f t="shared" si="38"/>
        <v>296.39988431569537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128.99999999999997</v>
      </c>
      <c r="O37" s="14">
        <f>N37*VLOOKUP('Données projet'!$B$9,Paramètres!$A$1:$I$89,3,0)*VLOOKUP('Données projet'!$B$9,Paramètres!$A$1:$I$89,5,0)</f>
        <v>116.71919999999997</v>
      </c>
      <c r="P37" s="14">
        <f t="shared" si="33"/>
        <v>30.908576435525887</v>
      </c>
      <c r="Q37" s="22">
        <f t="shared" si="53"/>
        <v>257.11837729187414</v>
      </c>
      <c r="R37" s="62">
        <f t="shared" si="0"/>
        <v>550.4517106252074</v>
      </c>
      <c r="S37" s="62">
        <f ca="1">AVERAGE(OFFSET($R$3,0,0,'Données projet'!$E$9+1,1))-AVERAGE(OFFSET($H$3,0,0,'Données projet'!$E$9+1,1))</f>
        <v>429.08703331308703</v>
      </c>
      <c r="T37" s="62">
        <f t="shared" si="34"/>
        <v>231.36959598460675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79.653599999999983</v>
      </c>
      <c r="AK37" s="14">
        <f t="shared" si="35"/>
        <v>22.052466149308238</v>
      </c>
      <c r="AL37" s="22">
        <f t="shared" si="4"/>
        <v>177.13806521004514</v>
      </c>
      <c r="AM37" s="62">
        <f t="shared" si="5"/>
        <v>470.47139854337843</v>
      </c>
      <c r="AN37" s="62">
        <f ca="1">AVERAGE(OFFSET($AM$3,0,0,'Données projet'!$E$10+1,1))-AVERAGE(OFFSET($H$3,0,0,'Données projet'!$E$10+1,1))</f>
        <v>377.28543127606366</v>
      </c>
      <c r="AO37" s="62">
        <f t="shared" si="36"/>
        <v>166.97658184507776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8.6</v>
      </c>
      <c r="BD37" s="13">
        <f>IF('Données projet'!$A$88&gt;35,BD36+BC37-BL36,IF(A37&lt;'Données projet'!$A$88,$BA$205^A37,IF(A37='Données projet'!$A$88,'Données projet'!$B$88,BD36+BC37-BL36)))</f>
        <v>127.39999999999998</v>
      </c>
      <c r="BE37" s="14">
        <f>BD37*VLOOKUP('Données projet'!$B$11,Paramètres!$A$1:$I$89,3,0)*VLOOKUP('Données projet'!$B$11,Paramètres!$A$1:$I$89,5,0)</f>
        <v>111.29664</v>
      </c>
      <c r="BF37" s="14">
        <f t="shared" si="37"/>
        <v>29.636274399319777</v>
      </c>
      <c r="BG37" s="22">
        <f t="shared" si="7"/>
        <v>245.45815924548194</v>
      </c>
      <c r="BH37" s="62">
        <f t="shared" si="8"/>
        <v>538.79149257881522</v>
      </c>
      <c r="BI37" s="62">
        <f ca="1">AVERAGE(OFFSET($BH$3,0,0,'Données projet'!$E$11+1,1))-AVERAGE(OFFSET($H$3,0,0,'Données projet'!$E$11+1,1))</f>
        <v>271.30269362742433</v>
      </c>
      <c r="BJ37" s="62">
        <f t="shared" si="38"/>
        <v>296.39988431569537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136.99999999999997</v>
      </c>
      <c r="O38" s="14">
        <f>N38*VLOOKUP('Données projet'!$B$9,Paramètres!$A$1:$I$89,3,0)*VLOOKUP('Données projet'!$B$9,Paramètres!$A$1:$I$89,5,0)</f>
        <v>123.95759999999997</v>
      </c>
      <c r="P38" s="14">
        <f t="shared" si="33"/>
        <v>32.59629414926458</v>
      </c>
      <c r="Q38" s="22">
        <f t="shared" si="53"/>
        <v>272.66469897663575</v>
      </c>
      <c r="R38" s="62">
        <f t="shared" si="0"/>
        <v>565.99803230996906</v>
      </c>
      <c r="S38" s="62">
        <f ca="1">AVERAGE(OFFSET($R$3,0,0,'Données projet'!$E$9+1,1))-AVERAGE(OFFSET($H$3,0,0,'Données projet'!$E$9+1,1))</f>
        <v>429.08703331308703</v>
      </c>
      <c r="T38" s="62">
        <f t="shared" si="34"/>
        <v>231.36959598460675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85.035599999999974</v>
      </c>
      <c r="AK38" s="14">
        <f t="shared" si="35"/>
        <v>23.364006286119412</v>
      </c>
      <c r="AL38" s="22">
        <f t="shared" si="4"/>
        <v>188.79598094832463</v>
      </c>
      <c r="AM38" s="62">
        <f t="shared" si="5"/>
        <v>482.12931428165791</v>
      </c>
      <c r="AN38" s="62">
        <f ca="1">AVERAGE(OFFSET($AM$3,0,0,'Données projet'!$E$10+1,1))-AVERAGE(OFFSET($H$3,0,0,'Données projet'!$E$10+1,1))</f>
        <v>377.28543127606366</v>
      </c>
      <c r="AO38" s="62">
        <f t="shared" si="36"/>
        <v>166.97658184507776</v>
      </c>
      <c r="AP38" s="16">
        <f>IF(ISNA(VLOOKUP(A38,'Données projet'!$A$61:$I$81,3,0)),0,VLOOKUP(A38,'Données projet'!$A$61:$I$81,3,0))</f>
        <v>1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136</v>
      </c>
      <c r="BB38" s="13">
        <f>VLOOKUP(A38,'Données projet'!$A$87:$I$107,9,0)</f>
        <v>8.6</v>
      </c>
      <c r="BC38" s="13">
        <f t="array" ref="BC38">INDEX(BB:BB,MIN(IF(ISNUMBER(BB38:BB234),ROW(BB38:BB234),"")))</f>
        <v>8.6</v>
      </c>
      <c r="BD38" s="13">
        <f>IF('Données projet'!$A$88&gt;35,BD37+BC38-BL37,IF(A38&lt;'Données projet'!$A$88,$BA$205^A38,IF(A38='Données projet'!$A$88,'Données projet'!$B$88,BD37+BC38-BL37)))</f>
        <v>135.99999999999997</v>
      </c>
      <c r="BE38" s="14">
        <f>BD38*VLOOKUP('Données projet'!$B$11,Paramètres!$A$1:$I$89,3,0)*VLOOKUP('Données projet'!$B$11,Paramètres!$A$1:$I$89,5,0)</f>
        <v>118.8096</v>
      </c>
      <c r="BF38" s="14">
        <f t="shared" si="37"/>
        <v>31.39719715333722</v>
      </c>
      <c r="BG38" s="22">
        <f t="shared" si="7"/>
        <v>261.61017170872896</v>
      </c>
      <c r="BH38" s="62">
        <f t="shared" si="8"/>
        <v>554.94350504206227</v>
      </c>
      <c r="BI38" s="62">
        <f ca="1">AVERAGE(OFFSET($BH$3,0,0,'Données projet'!$E$11+1,1))-AVERAGE(OFFSET($H$3,0,0,'Données projet'!$E$11+1,1))</f>
        <v>271.30269362742433</v>
      </c>
      <c r="BJ38" s="62">
        <f t="shared" si="38"/>
        <v>296.39988431569537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103.39999999999998</v>
      </c>
      <c r="O39" s="14">
        <f>N39*VLOOKUP('Données projet'!$B$9,Paramètres!$A$1:$I$89,3,0)*VLOOKUP('Données projet'!$B$9,Paramètres!$A$1:$I$89,5,0)</f>
        <v>93.556319999999971</v>
      </c>
      <c r="P39" s="14">
        <f t="shared" si="33"/>
        <v>25.420979659258073</v>
      </c>
      <c r="Q39" s="22">
        <f t="shared" si="53"/>
        <v>207.21879690654112</v>
      </c>
      <c r="R39" s="62">
        <f t="shared" si="0"/>
        <v>500.55213023987443</v>
      </c>
      <c r="S39" s="62">
        <f ca="1">AVERAGE(OFFSET($R$3,0,0,'Données projet'!$E$9+1,1))-AVERAGE(OFFSET($H$3,0,0,'Données projet'!$E$9+1,1))</f>
        <v>429.08703331308703</v>
      </c>
      <c r="T39" s="62">
        <f t="shared" si="34"/>
        <v>231.36959598460675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76.854959999999991</v>
      </c>
      <c r="AK39" s="14">
        <f t="shared" si="35"/>
        <v>21.366419773799993</v>
      </c>
      <c r="AL39" s="22">
        <f t="shared" si="4"/>
        <v>171.06890310603498</v>
      </c>
      <c r="AM39" s="62">
        <f t="shared" si="5"/>
        <v>464.40223643936827</v>
      </c>
      <c r="AN39" s="62">
        <f ca="1">AVERAGE(OFFSET($AM$3,0,0,'Données projet'!$E$10+1,1))-AVERAGE(OFFSET($H$3,0,0,'Données projet'!$E$10+1,1))</f>
        <v>377.28543127606366</v>
      </c>
      <c r="AO39" s="62">
        <f t="shared" si="36"/>
        <v>166.97658184507776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7.6</v>
      </c>
      <c r="BD39" s="13">
        <f>IF('Données projet'!$A$88&gt;35,BD38+BC39-BL38,IF(A39&lt;'Données projet'!$A$88,$BA$205^A39,IF(A39='Données projet'!$A$88,'Données projet'!$B$88,BD38+BC39-BL38)))</f>
        <v>143.59999999999997</v>
      </c>
      <c r="BE39" s="14">
        <f>BD39*VLOOKUP('Données projet'!$B$11,Paramètres!$A$1:$I$89,3,0)*VLOOKUP('Données projet'!$B$11,Paramètres!$A$1:$I$89,5,0)</f>
        <v>125.44895999999997</v>
      </c>
      <c r="BF39" s="14">
        <f t="shared" si="37"/>
        <v>32.942576545548221</v>
      </c>
      <c r="BG39" s="22">
        <f t="shared" si="7"/>
        <v>275.86525948349646</v>
      </c>
      <c r="BH39" s="62">
        <f t="shared" si="8"/>
        <v>569.19859281682977</v>
      </c>
      <c r="BI39" s="62">
        <f ca="1">AVERAGE(OFFSET($BH$3,0,0,'Données projet'!$E$11+1,1))-AVERAGE(OFFSET($H$3,0,0,'Données projet'!$E$11+1,1))</f>
        <v>271.30269362742433</v>
      </c>
      <c r="BJ39" s="62">
        <f t="shared" si="38"/>
        <v>296.39988431569537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111.79999999999998</v>
      </c>
      <c r="O40" s="14">
        <f>N40*VLOOKUP('Données projet'!$B$9,Paramètres!$A$1:$I$89,3,0)*VLOOKUP('Données projet'!$B$9,Paramètres!$A$1:$I$89,5,0)</f>
        <v>101.15663999999997</v>
      </c>
      <c r="P40" s="14">
        <f t="shared" si="33"/>
        <v>27.237366379381644</v>
      </c>
      <c r="Q40" s="22">
        <f t="shared" si="53"/>
        <v>223.61956111075628</v>
      </c>
      <c r="R40" s="62">
        <f t="shared" si="0"/>
        <v>516.95289444408957</v>
      </c>
      <c r="S40" s="62">
        <f ca="1">AVERAGE(OFFSET($R$3,0,0,'Données projet'!$E$9+1,1))-AVERAGE(OFFSET($H$3,0,0,'Données projet'!$E$9+1,1))</f>
        <v>429.08703331308703</v>
      </c>
      <c r="T40" s="62">
        <f t="shared" si="34"/>
        <v>231.36959598460675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82.667519999999996</v>
      </c>
      <c r="AK40" s="14">
        <f t="shared" si="35"/>
        <v>22.788156353818806</v>
      </c>
      <c r="AL40" s="22">
        <f t="shared" si="4"/>
        <v>183.6686363162344</v>
      </c>
      <c r="AM40" s="62">
        <f t="shared" si="5"/>
        <v>477.00196964956774</v>
      </c>
      <c r="AN40" s="62">
        <f ca="1">AVERAGE(OFFSET($AM$3,0,0,'Données projet'!$E$10+1,1))-AVERAGE(OFFSET($H$3,0,0,'Données projet'!$E$10+1,1))</f>
        <v>377.28543127606366</v>
      </c>
      <c r="AO40" s="62">
        <f t="shared" si="36"/>
        <v>166.97658184507776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7.6</v>
      </c>
      <c r="BD40" s="13">
        <f>IF('Données projet'!$A$88&gt;35,BD39+BC40-BL39,IF(A40&lt;'Données projet'!$A$88,$BA$205^A40,IF(A40='Données projet'!$A$88,'Données projet'!$B$88,BD39+BC40-BL39)))</f>
        <v>151.19999999999996</v>
      </c>
      <c r="BE40" s="14">
        <f>BD40*VLOOKUP('Données projet'!$B$11,Paramètres!$A$1:$I$89,3,0)*VLOOKUP('Données projet'!$B$11,Paramètres!$A$1:$I$89,5,0)</f>
        <v>132.08831999999998</v>
      </c>
      <c r="BF40" s="14">
        <f t="shared" si="37"/>
        <v>34.47846029657056</v>
      </c>
      <c r="BG40" s="22">
        <f t="shared" si="7"/>
        <v>290.10380901652701</v>
      </c>
      <c r="BH40" s="62">
        <f t="shared" si="8"/>
        <v>583.43714234986032</v>
      </c>
      <c r="BI40" s="62">
        <f ca="1">AVERAGE(OFFSET($BH$3,0,0,'Données projet'!$E$11+1,1))-AVERAGE(OFFSET($H$3,0,0,'Données projet'!$E$11+1,1))</f>
        <v>271.30269362742433</v>
      </c>
      <c r="BJ40" s="62">
        <f t="shared" si="38"/>
        <v>296.39988431569537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120.19999999999999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2">
        <f t="shared" si="0"/>
        <v>533.32608479725718</v>
      </c>
      <c r="S41" s="62">
        <f ca="1">AVERAGE(OFFSET($R$3,0,0,'Données projet'!$E$9+1,1))-AVERAGE(OFFSET($H$3,0,0,'Données projet'!$E$9+1,1))</f>
        <v>429.08703331308703</v>
      </c>
      <c r="T41" s="62">
        <f t="shared" si="34"/>
        <v>231.36959598460675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88.480080000000001</v>
      </c>
      <c r="AK41" s="14">
        <f t="shared" si="35"/>
        <v>24.1982943117189</v>
      </c>
      <c r="AL41" s="22">
        <f t="shared" si="4"/>
        <v>196.24816859291039</v>
      </c>
      <c r="AM41" s="62">
        <f t="shared" si="5"/>
        <v>489.58150192624373</v>
      </c>
      <c r="AN41" s="62">
        <f ca="1">AVERAGE(OFFSET($AM$3,0,0,'Données projet'!$E$10+1,1))-AVERAGE(OFFSET($H$3,0,0,'Données projet'!$E$10+1,1))</f>
        <v>377.28543127606366</v>
      </c>
      <c r="AO41" s="62">
        <f t="shared" si="36"/>
        <v>166.97658184507776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7.6</v>
      </c>
      <c r="BD41" s="13">
        <f>IF('Données projet'!$A$88&gt;35,BD40+BC41-BL40,IF(A41&lt;'Données projet'!$A$88,$BA$205^A41,IF(A41='Données projet'!$A$88,'Données projet'!$B$88,BD40+BC41-BL40)))</f>
        <v>158.79999999999995</v>
      </c>
      <c r="BE41" s="14">
        <f>BD41*VLOOKUP('Données projet'!$B$11,Paramètres!$A$1:$I$89,3,0)*VLOOKUP('Données projet'!$B$11,Paramètres!$A$1:$I$89,5,0)</f>
        <v>138.72767999999999</v>
      </c>
      <c r="BF41" s="14">
        <f t="shared" si="37"/>
        <v>36.005380160492741</v>
      </c>
      <c r="BG41" s="22">
        <f t="shared" si="7"/>
        <v>304.32674644619152</v>
      </c>
      <c r="BH41" s="62">
        <f t="shared" si="8"/>
        <v>597.66007977952484</v>
      </c>
      <c r="BI41" s="62">
        <f ca="1">AVERAGE(OFFSET($BH$3,0,0,'Données projet'!$E$11+1,1))-AVERAGE(OFFSET($H$3,0,0,'Données projet'!$E$11+1,1))</f>
        <v>271.30269362742433</v>
      </c>
      <c r="BJ41" s="62">
        <f t="shared" si="38"/>
        <v>296.39988431569537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429.08703331308703</v>
      </c>
      <c r="T42" s="62">
        <f t="shared" si="34"/>
        <v>231.36959598460675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94.292640000000006</v>
      </c>
      <c r="AK42" s="14">
        <f t="shared" si="35"/>
        <v>25.597682308724192</v>
      </c>
      <c r="AL42" s="22">
        <f t="shared" si="4"/>
        <v>208.80897802102797</v>
      </c>
      <c r="AM42" s="62">
        <f t="shared" si="5"/>
        <v>502.14231135436125</v>
      </c>
      <c r="AN42" s="62">
        <f ca="1">AVERAGE(OFFSET($AM$3,0,0,'Données projet'!$E$10+1,1))-AVERAGE(OFFSET($H$3,0,0,'Données projet'!$E$10+1,1))</f>
        <v>377.28543127606366</v>
      </c>
      <c r="AO42" s="62">
        <f t="shared" si="36"/>
        <v>166.97658184507776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7.6</v>
      </c>
      <c r="BD42" s="13">
        <f>IF('Données projet'!$A$88&gt;35,BD41+BC42-BL41,IF(A42&lt;'Données projet'!$A$88,$BA$205^A42,IF(A42='Données projet'!$A$88,'Données projet'!$B$88,BD41+BC42-BL41)))</f>
        <v>166.39999999999995</v>
      </c>
      <c r="BE42" s="14">
        <f>BD42*VLOOKUP('Données projet'!$B$11,Paramètres!$A$1:$I$89,3,0)*VLOOKUP('Données projet'!$B$11,Paramètres!$A$1:$I$89,5,0)</f>
        <v>145.36703999999997</v>
      </c>
      <c r="BF42" s="14">
        <f t="shared" si="37"/>
        <v>37.523814117080803</v>
      </c>
      <c r="BG42" s="22">
        <f t="shared" si="7"/>
        <v>318.53490425391573</v>
      </c>
      <c r="BH42" s="62">
        <f t="shared" si="8"/>
        <v>611.86823758724904</v>
      </c>
      <c r="BI42" s="62">
        <f ca="1">AVERAGE(OFFSET($BH$3,0,0,'Données projet'!$E$11+1,1))-AVERAGE(OFFSET($H$3,0,0,'Données projet'!$E$11+1,1))</f>
        <v>271.30269362742433</v>
      </c>
      <c r="BJ42" s="62">
        <f t="shared" si="38"/>
        <v>296.39988431569537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429.08703331308703</v>
      </c>
      <c r="T43" s="62">
        <f t="shared" si="34"/>
        <v>231.36959598460675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100.10520000000001</v>
      </c>
      <c r="AK43" s="14">
        <f t="shared" si="35"/>
        <v>26.987058463795307</v>
      </c>
      <c r="AL43" s="22">
        <f t="shared" si="4"/>
        <v>221.35235015777684</v>
      </c>
      <c r="AM43" s="62">
        <f t="shared" si="5"/>
        <v>514.68568349111013</v>
      </c>
      <c r="AN43" s="62">
        <f ca="1">AVERAGE(OFFSET($AM$3,0,0,'Données projet'!$E$10+1,1))-AVERAGE(OFFSET($H$3,0,0,'Données projet'!$E$10+1,1))</f>
        <v>377.28543127606366</v>
      </c>
      <c r="AO43" s="62">
        <f t="shared" si="36"/>
        <v>166.97658184507776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174</v>
      </c>
      <c r="BB43" s="13">
        <f>VLOOKUP(A43,'Données projet'!$A$87:$I$107,9,0)</f>
        <v>7.6</v>
      </c>
      <c r="BC43" s="13">
        <f t="array" ref="BC43">INDEX(BB:BB,MIN(IF(ISNUMBER(BB43:BB239),ROW(BB43:BB239),"")))</f>
        <v>7.6</v>
      </c>
      <c r="BD43" s="13">
        <f>IF('Données projet'!$A$88&gt;35,BD42+BC43-BL42,IF(A43&lt;'Données projet'!$A$88,$BA$205^A43,IF(A43='Données projet'!$A$88,'Données projet'!$B$88,BD42+BC43-BL42)))</f>
        <v>173.99999999999994</v>
      </c>
      <c r="BE43" s="14">
        <f>BD43*VLOOKUP('Données projet'!$B$11,Paramètres!$A$1:$I$89,3,0)*VLOOKUP('Données projet'!$B$11,Paramètres!$A$1:$I$89,5,0)</f>
        <v>152.00639999999999</v>
      </c>
      <c r="BF43" s="14">
        <f t="shared" si="37"/>
        <v>39.03419401656145</v>
      </c>
      <c r="BG43" s="22">
        <f t="shared" si="7"/>
        <v>332.72903457884451</v>
      </c>
      <c r="BH43" s="62">
        <f t="shared" si="8"/>
        <v>626.06236791217782</v>
      </c>
      <c r="BI43" s="62">
        <f ca="1">AVERAGE(OFFSET($BH$3,0,0,'Données projet'!$E$11+1,1))-AVERAGE(OFFSET($H$3,0,0,'Données projet'!$E$11+1,1))</f>
        <v>271.30269362742433</v>
      </c>
      <c r="BJ43" s="62">
        <f t="shared" si="38"/>
        <v>296.39988431569537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</v>
      </c>
      <c r="O44" s="14">
        <f>N44*VLOOKUP('Données projet'!$B$9,Paramètres!$A$1:$I$89,3,0)*VLOOKUP('Données projet'!$B$9,Paramètres!$A$1:$I$89,5,0)</f>
        <v>131.55792</v>
      </c>
      <c r="P44" s="14">
        <f t="shared" si="33"/>
        <v>34.3560989338864</v>
      </c>
      <c r="Q44" s="22">
        <f t="shared" si="53"/>
        <v>288.96691630985214</v>
      </c>
      <c r="R44" s="62">
        <f t="shared" si="0"/>
        <v>582.30024964318545</v>
      </c>
      <c r="S44" s="62">
        <f ca="1">AVERAGE(OFFSET($R$3,0,0,'Données projet'!$E$9+1,1))-AVERAGE(OFFSET($H$3,0,0,'Données projet'!$E$9+1,1))</f>
        <v>429.08703331308703</v>
      </c>
      <c r="T44" s="62">
        <f t="shared" si="34"/>
        <v>231.36959598460675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98.600000000000009</v>
      </c>
      <c r="AJ44" s="14">
        <f>AI44*VLOOKUP('Données projet'!$B$10,Paramètres!$A$1:$I$89,3,0)*VLOOKUP('Données projet'!$B$10,Paramètres!$A$1:$I$89,5,0)</f>
        <v>106.13304000000001</v>
      </c>
      <c r="AK44" s="14">
        <f t="shared" si="35"/>
        <v>28.418009728368016</v>
      </c>
      <c r="AL44" s="22">
        <f t="shared" si="4"/>
        <v>234.34307827690762</v>
      </c>
      <c r="AM44" s="62">
        <f t="shared" si="5"/>
        <v>527.67641161024096</v>
      </c>
      <c r="AN44" s="62">
        <f ca="1">AVERAGE(OFFSET($AM$3,0,0,'Données projet'!$E$10+1,1))-AVERAGE(OFFSET($H$3,0,0,'Données projet'!$E$10+1,1))</f>
        <v>377.28543127606366</v>
      </c>
      <c r="AO44" s="62">
        <f t="shared" si="36"/>
        <v>166.97658184507776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6.6</v>
      </c>
      <c r="BD44" s="13">
        <f>IF('Données projet'!$A$88&gt;35,BD43+BC44-BL43,IF(A44&lt;'Données projet'!$A$88,$BA$205^A44,IF(A44='Données projet'!$A$88,'Données projet'!$B$88,BD43+BC44-BL43)))</f>
        <v>138.59999999999994</v>
      </c>
      <c r="BE44" s="14">
        <f>BD44*VLOOKUP('Données projet'!$B$11,Paramètres!$A$1:$I$89,3,0)*VLOOKUP('Données projet'!$B$11,Paramètres!$A$1:$I$89,5,0)</f>
        <v>121.08095999999996</v>
      </c>
      <c r="BF44" s="14">
        <f t="shared" si="37"/>
        <v>31.926983727887041</v>
      </c>
      <c r="BG44" s="22">
        <f t="shared" si="7"/>
        <v>266.48883532606988</v>
      </c>
      <c r="BH44" s="62">
        <f t="shared" si="8"/>
        <v>559.82216865940313</v>
      </c>
      <c r="BI44" s="62">
        <f ca="1">AVERAGE(OFFSET($BH$3,0,0,'Données projet'!$E$11+1,1))-AVERAGE(OFFSET($H$3,0,0,'Données projet'!$E$11+1,1))</f>
        <v>271.30269362742433</v>
      </c>
      <c r="BJ44" s="62">
        <f t="shared" si="38"/>
        <v>296.39988431569537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153.80000000000001</v>
      </c>
      <c r="O45" s="14">
        <f>N45*VLOOKUP('Données projet'!$B$9,Paramètres!$A$1:$I$89,3,0)*VLOOKUP('Données projet'!$B$9,Paramètres!$A$1:$I$89,5,0)</f>
        <v>139.15824000000001</v>
      </c>
      <c r="P45" s="14">
        <f t="shared" si="33"/>
        <v>36.104102468715482</v>
      </c>
      <c r="Q45" s="22">
        <f t="shared" si="53"/>
        <v>305.24857979967942</v>
      </c>
      <c r="R45" s="62">
        <f t="shared" si="0"/>
        <v>598.58191313301268</v>
      </c>
      <c r="S45" s="62">
        <f ca="1">AVERAGE(OFFSET($R$3,0,0,'Données projet'!$E$9+1,1))-AVERAGE(OFFSET($H$3,0,0,'Données projet'!$E$9+1,1))</f>
        <v>429.08703331308703</v>
      </c>
      <c r="T45" s="62">
        <f t="shared" si="34"/>
        <v>231.36959598460675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104.2</v>
      </c>
      <c r="AJ45" s="14">
        <f>AI45*VLOOKUP('Données projet'!$B$10,Paramètres!$A$1:$I$89,3,0)*VLOOKUP('Données projet'!$B$10,Paramètres!$A$1:$I$89,5,0)</f>
        <v>112.16087999999999</v>
      </c>
      <c r="AK45" s="14">
        <f t="shared" si="35"/>
        <v>29.839526888181876</v>
      </c>
      <c r="AL45" s="22">
        <f t="shared" si="4"/>
        <v>247.31737533025003</v>
      </c>
      <c r="AM45" s="62">
        <f t="shared" si="5"/>
        <v>540.65070866358337</v>
      </c>
      <c r="AN45" s="62">
        <f ca="1">AVERAGE(OFFSET($AM$3,0,0,'Données projet'!$E$10+1,1))-AVERAGE(OFFSET($H$3,0,0,'Données projet'!$E$10+1,1))</f>
        <v>377.28543127606366</v>
      </c>
      <c r="AO45" s="62">
        <f t="shared" si="36"/>
        <v>166.97658184507776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6.6</v>
      </c>
      <c r="BD45" s="13">
        <f>IF('Données projet'!$A$88&gt;35,BD44+BC45-BL44,IF(A45&lt;'Données projet'!$A$88,$BA$205^A45,IF(A45='Données projet'!$A$88,'Données projet'!$B$88,BD44+BC45-BL44)))</f>
        <v>145.19999999999993</v>
      </c>
      <c r="BE45" s="14">
        <f>BD45*VLOOKUP('Données projet'!$B$11,Paramètres!$A$1:$I$89,3,0)*VLOOKUP('Données projet'!$B$11,Paramètres!$A$1:$I$89,5,0)</f>
        <v>126.84671999999996</v>
      </c>
      <c r="BF45" s="14">
        <f t="shared" si="37"/>
        <v>33.266690894263995</v>
      </c>
      <c r="BG45" s="22">
        <f t="shared" si="7"/>
        <v>278.86419064084299</v>
      </c>
      <c r="BH45" s="62">
        <f t="shared" si="8"/>
        <v>572.19752397417631</v>
      </c>
      <c r="BI45" s="62">
        <f ca="1">AVERAGE(OFFSET($BH$3,0,0,'Données projet'!$E$11+1,1))-AVERAGE(OFFSET($H$3,0,0,'Données projet'!$E$11+1,1))</f>
        <v>271.30269362742433</v>
      </c>
      <c r="BJ45" s="62">
        <f t="shared" si="38"/>
        <v>296.39988431569537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162.20000000000002</v>
      </c>
      <c r="O46" s="14">
        <f>N46*VLOOKUP('Données projet'!$B$9,Paramètres!$A$1:$I$89,3,0)*VLOOKUP('Données projet'!$B$9,Paramètres!$A$1:$I$89,5,0)</f>
        <v>146.75856000000002</v>
      </c>
      <c r="P46" s="14">
        <f t="shared" si="33"/>
        <v>37.841022770456242</v>
      </c>
      <c r="Q46" s="22">
        <f t="shared" si="53"/>
        <v>321.51093999187799</v>
      </c>
      <c r="R46" s="62">
        <f t="shared" si="0"/>
        <v>614.84427332521136</v>
      </c>
      <c r="S46" s="62">
        <f ca="1">AVERAGE(OFFSET($R$3,0,0,'Données projet'!$E$9+1,1))-AVERAGE(OFFSET($H$3,0,0,'Données projet'!$E$9+1,1))</f>
        <v>429.08703331308703</v>
      </c>
      <c r="T46" s="62">
        <f t="shared" si="34"/>
        <v>231.36959598460675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109.8</v>
      </c>
      <c r="AJ46" s="14">
        <f>AI46*VLOOKUP('Données projet'!$B$10,Paramètres!$A$1:$I$89,3,0)*VLOOKUP('Données projet'!$B$10,Paramètres!$A$1:$I$89,5,0)</f>
        <v>118.18871999999999</v>
      </c>
      <c r="AK46" s="14">
        <f t="shared" si="35"/>
        <v>31.252174766242543</v>
      </c>
      <c r="AL46" s="22">
        <f t="shared" si="4"/>
        <v>260.27622505120576</v>
      </c>
      <c r="AM46" s="62">
        <f t="shared" si="5"/>
        <v>553.60955838453901</v>
      </c>
      <c r="AN46" s="62">
        <f ca="1">AVERAGE(OFFSET($AM$3,0,0,'Données projet'!$E$10+1,1))-AVERAGE(OFFSET($H$3,0,0,'Données projet'!$E$10+1,1))</f>
        <v>377.28543127606366</v>
      </c>
      <c r="AO46" s="62">
        <f t="shared" si="36"/>
        <v>166.97658184507776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6.6</v>
      </c>
      <c r="BD46" s="13">
        <f>IF('Données projet'!$A$88&gt;35,BD45+BC46-BL45,IF(A46&lt;'Données projet'!$A$88,$BA$205^A46,IF(A46='Données projet'!$A$88,'Données projet'!$B$88,BD45+BC46-BL45)))</f>
        <v>151.79999999999993</v>
      </c>
      <c r="BE46" s="14">
        <f>BD46*VLOOKUP('Données projet'!$B$11,Paramètres!$A$1:$I$89,3,0)*VLOOKUP('Données projet'!$B$11,Paramètres!$A$1:$I$89,5,0)</f>
        <v>132.61247999999995</v>
      </c>
      <c r="BF46" s="14">
        <f t="shared" si="37"/>
        <v>34.599325938965464</v>
      </c>
      <c r="BG46" s="22">
        <f t="shared" si="7"/>
        <v>291.22722867703141</v>
      </c>
      <c r="BH46" s="62">
        <f t="shared" si="8"/>
        <v>584.56056201036472</v>
      </c>
      <c r="BI46" s="62">
        <f ca="1">AVERAGE(OFFSET($BH$3,0,0,'Données projet'!$E$11+1,1))-AVERAGE(OFFSET($H$3,0,0,'Données projet'!$E$11+1,1))</f>
        <v>271.30269362742433</v>
      </c>
      <c r="BJ46" s="62">
        <f t="shared" si="38"/>
        <v>296.39988431569537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170.60000000000002</v>
      </c>
      <c r="O47" s="14">
        <f>N47*VLOOKUP('Données projet'!$B$9,Paramètres!$A$1:$I$89,3,0)*VLOOKUP('Données projet'!$B$9,Paramètres!$A$1:$I$89,5,0)</f>
        <v>154.35888000000003</v>
      </c>
      <c r="P47" s="14">
        <f t="shared" si="33"/>
        <v>39.567499286120309</v>
      </c>
      <c r="Q47" s="22">
        <f t="shared" si="53"/>
        <v>337.75511058999291</v>
      </c>
      <c r="R47" s="62">
        <f t="shared" si="0"/>
        <v>631.08844392332617</v>
      </c>
      <c r="S47" s="62">
        <f ca="1">AVERAGE(OFFSET($R$3,0,0,'Données projet'!$E$9+1,1))-AVERAGE(OFFSET($H$3,0,0,'Données projet'!$E$9+1,1))</f>
        <v>429.08703331308703</v>
      </c>
      <c r="T47" s="62">
        <f t="shared" si="34"/>
        <v>231.36959598460675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115.39999999999999</v>
      </c>
      <c r="AJ47" s="14">
        <f>AI47*VLOOKUP('Données projet'!$B$10,Paramètres!$A$1:$I$89,3,0)*VLOOKUP('Données projet'!$B$10,Paramètres!$A$1:$I$89,5,0)</f>
        <v>124.21655999999999</v>
      </c>
      <c r="AK47" s="14">
        <f t="shared" si="35"/>
        <v>32.656457317237347</v>
      </c>
      <c r="AL47" s="22">
        <f t="shared" si="4"/>
        <v>273.220505160855</v>
      </c>
      <c r="AM47" s="62">
        <f t="shared" si="5"/>
        <v>566.55383849418831</v>
      </c>
      <c r="AN47" s="62">
        <f ca="1">AVERAGE(OFFSET($AM$3,0,0,'Données projet'!$E$10+1,1))-AVERAGE(OFFSET($H$3,0,0,'Données projet'!$E$10+1,1))</f>
        <v>377.28543127606366</v>
      </c>
      <c r="AO47" s="62">
        <f t="shared" si="36"/>
        <v>166.97658184507776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6.6</v>
      </c>
      <c r="BD47" s="13">
        <f>IF('Données projet'!$A$88&gt;35,BD46+BC47-BL46,IF(A47&lt;'Données projet'!$A$88,$BA$205^A47,IF(A47='Données projet'!$A$88,'Données projet'!$B$88,BD46+BC47-BL46)))</f>
        <v>158.39999999999992</v>
      </c>
      <c r="BE47" s="14">
        <f>BD47*VLOOKUP('Données projet'!$B$11,Paramètres!$A$1:$I$89,3,0)*VLOOKUP('Données projet'!$B$11,Paramètres!$A$1:$I$89,5,0)</f>
        <v>138.37823999999995</v>
      </c>
      <c r="BF47" s="14">
        <f t="shared" si="37"/>
        <v>35.925231489823368</v>
      </c>
      <c r="BG47" s="22">
        <f t="shared" si="7"/>
        <v>303.57854617810898</v>
      </c>
      <c r="BH47" s="62">
        <f t="shared" si="8"/>
        <v>596.91187951144229</v>
      </c>
      <c r="BI47" s="62">
        <f ca="1">AVERAGE(OFFSET($BH$3,0,0,'Données projet'!$E$11+1,1))-AVERAGE(OFFSET($H$3,0,0,'Données projet'!$E$11+1,1))</f>
        <v>271.30269362742433</v>
      </c>
      <c r="BJ47" s="62">
        <f t="shared" si="38"/>
        <v>296.39988431569537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179.00000000000003</v>
      </c>
      <c r="O48" s="14">
        <f>N48*VLOOKUP('Données projet'!$B$9,Paramètres!$A$1:$I$89,3,0)*VLOOKUP('Données projet'!$B$9,Paramètres!$A$1:$I$89,5,0)</f>
        <v>161.95920000000001</v>
      </c>
      <c r="P48" s="14">
        <f t="shared" si="33"/>
        <v>41.284104935125683</v>
      </c>
      <c r="Q48" s="22">
        <f t="shared" si="53"/>
        <v>353.98208942867723</v>
      </c>
      <c r="R48" s="62">
        <f t="shared" si="0"/>
        <v>647.31542276201048</v>
      </c>
      <c r="S48" s="62">
        <f ca="1">AVERAGE(OFFSET($R$3,0,0,'Données projet'!$E$9+1,1))-AVERAGE(OFFSET($H$3,0,0,'Données projet'!$E$9+1,1))</f>
        <v>429.08703331308703</v>
      </c>
      <c r="T48" s="62">
        <f t="shared" si="34"/>
        <v>231.36959598460675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121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120.99999999999999</v>
      </c>
      <c r="AJ48" s="14">
        <f>AI48*VLOOKUP('Données projet'!$B$10,Paramètres!$A$1:$I$89,3,0)*VLOOKUP('Données projet'!$B$10,Paramètres!$A$1:$I$89,5,0)</f>
        <v>130.24439999999998</v>
      </c>
      <c r="AK48" s="14">
        <f t="shared" si="35"/>
        <v>34.052826821785409</v>
      </c>
      <c r="AL48" s="22">
        <f t="shared" si="4"/>
        <v>286.15100338127621</v>
      </c>
      <c r="AM48" s="62">
        <f t="shared" si="5"/>
        <v>579.48433671460953</v>
      </c>
      <c r="AN48" s="62">
        <f ca="1">AVERAGE(OFFSET($AM$3,0,0,'Données projet'!$E$10+1,1))-AVERAGE(OFFSET($H$3,0,0,'Données projet'!$E$10+1,1))</f>
        <v>377.28543127606366</v>
      </c>
      <c r="AO48" s="62">
        <f t="shared" si="36"/>
        <v>166.97658184507776</v>
      </c>
      <c r="AP48" s="16">
        <f>IF(ISNA(VLOOKUP(A48,'Données projet'!$A$61:$I$81,3,0)),0,VLOOKUP(A48,'Données projet'!$A$61:$I$81,3,0))</f>
        <v>2</v>
      </c>
      <c r="AQ48" s="16">
        <f>IF(ISNA(VLOOKUP(A48,'Données projet'!$A$61:$I$81,4,0)),0,VLOOKUP(A48,'Données projet'!$A$61:$I$81,4,0))</f>
        <v>27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165</v>
      </c>
      <c r="BB48" s="13">
        <f>VLOOKUP(A48,'Données projet'!$A$87:$I$107,9,0)</f>
        <v>6.6</v>
      </c>
      <c r="BC48" s="13">
        <f t="array" ref="BC48">INDEX(BB:BB,MIN(IF(ISNUMBER(BB48:BB244),ROW(BB48:BB244),"")))</f>
        <v>6.6</v>
      </c>
      <c r="BD48" s="13">
        <f>IF('Données projet'!$A$88&gt;35,BD47+BC48-BL47,IF(A48&lt;'Données projet'!$A$88,$BA$205^A48,IF(A48='Données projet'!$A$88,'Données projet'!$B$88,BD47+BC48-BL47)))</f>
        <v>164.99999999999991</v>
      </c>
      <c r="BE48" s="14">
        <f>BD48*VLOOKUP('Données projet'!$B$11,Paramètres!$A$1:$I$89,3,0)*VLOOKUP('Données projet'!$B$11,Paramètres!$A$1:$I$89,5,0)</f>
        <v>144.14399999999995</v>
      </c>
      <c r="BF48" s="14">
        <f t="shared" si="37"/>
        <v>37.244720006976216</v>
      </c>
      <c r="BG48" s="22">
        <f t="shared" si="7"/>
        <v>315.91868734548348</v>
      </c>
      <c r="BH48" s="62">
        <f t="shared" si="8"/>
        <v>609.25202067881673</v>
      </c>
      <c r="BI48" s="62">
        <f ca="1">AVERAGE(OFFSET($BH$3,0,0,'Données projet'!$E$11+1,1))-AVERAGE(OFFSET($H$3,0,0,'Données projet'!$E$11+1,1))</f>
        <v>271.30269362742433</v>
      </c>
      <c r="BJ48" s="62">
        <f t="shared" si="38"/>
        <v>296.39988431569537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145.20000000000002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429.08703331308703</v>
      </c>
      <c r="T49" s="62">
        <f t="shared" si="34"/>
        <v>231.36959598460675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5.4</v>
      </c>
      <c r="AI49" s="14">
        <f>IF('Données projet'!$A$62&gt;35,AI48+AH49-AQ48,IF(A49&lt;'Données projet'!$A$62,$AF$205^A49,IF(A49='Données projet'!$A$62,'Données projet'!$B$62,AI48+AH49-AQ48)))</f>
        <v>99.399999999999991</v>
      </c>
      <c r="AJ49" s="14">
        <f>AI49*VLOOKUP('Données projet'!$B$10,Paramètres!$A$1:$I$89,3,0)*VLOOKUP('Données projet'!$B$10,Paramètres!$A$1:$I$89,5,0)</f>
        <v>106.99415999999998</v>
      </c>
      <c r="AK49" s="14">
        <f t="shared" si="35"/>
        <v>28.621647308528274</v>
      </c>
      <c r="AL49" s="22">
        <f t="shared" si="4"/>
        <v>236.19753106235336</v>
      </c>
      <c r="AM49" s="62">
        <f t="shared" si="5"/>
        <v>529.53086439568665</v>
      </c>
      <c r="AN49" s="62">
        <f ca="1">AVERAGE(OFFSET($AM$3,0,0,'Données projet'!$E$10+1,1))-AVERAGE(OFFSET($H$3,0,0,'Données projet'!$E$10+1,1))</f>
        <v>377.28543127606366</v>
      </c>
      <c r="AO49" s="62">
        <f t="shared" si="36"/>
        <v>166.97658184507776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5.4</v>
      </c>
      <c r="BD49" s="13">
        <f>IF('Données projet'!$A$88&gt;35,BD48+BC49-BL48,IF(A49&lt;'Données projet'!$A$88,$BA$205^A49,IF(A49='Données projet'!$A$88,'Données projet'!$B$88,BD48+BC49-BL48)))</f>
        <v>170.39999999999992</v>
      </c>
      <c r="BE49" s="14">
        <f>BD49*VLOOKUP('Données projet'!$B$11,Paramètres!$A$1:$I$89,3,0)*VLOOKUP('Données projet'!$B$11,Paramètres!$A$1:$I$89,5,0)</f>
        <v>148.86143999999996</v>
      </c>
      <c r="BF49" s="14">
        <f t="shared" si="37"/>
        <v>38.319729148991918</v>
      </c>
      <c r="BG49" s="22">
        <f t="shared" si="7"/>
        <v>326.00720293449416</v>
      </c>
      <c r="BH49" s="62">
        <f t="shared" si="8"/>
        <v>619.34053626782747</v>
      </c>
      <c r="BI49" s="62">
        <f ca="1">AVERAGE(OFFSET($BH$3,0,0,'Données projet'!$E$11+1,1))-AVERAGE(OFFSET($H$3,0,0,'Données projet'!$E$11+1,1))</f>
        <v>271.30269362742433</v>
      </c>
      <c r="BJ49" s="62">
        <f t="shared" si="38"/>
        <v>296.39988431569537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429.08703331308703</v>
      </c>
      <c r="T50" s="62">
        <f t="shared" si="34"/>
        <v>231.36959598460675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5.4</v>
      </c>
      <c r="AI50" s="14">
        <f>IF('Données projet'!$A$62&gt;35,AI49+AH50-AQ49,IF(A50&lt;'Données projet'!$A$62,$AF$205^A50,IF(A50='Données projet'!$A$62,'Données projet'!$B$62,AI49+AH50-AQ49)))</f>
        <v>104.8</v>
      </c>
      <c r="AJ50" s="14">
        <f>AI50*VLOOKUP('Données projet'!$B$10,Paramètres!$A$1:$I$89,3,0)*VLOOKUP('Données projet'!$B$10,Paramètres!$A$1:$I$89,5,0)</f>
        <v>112.80672</v>
      </c>
      <c r="AK50" s="14">
        <f t="shared" si="35"/>
        <v>29.991296881653309</v>
      </c>
      <c r="AL50" s="22">
        <f t="shared" si="4"/>
        <v>248.70654606887948</v>
      </c>
      <c r="AM50" s="62">
        <f t="shared" si="5"/>
        <v>542.03987940221282</v>
      </c>
      <c r="AN50" s="62">
        <f ca="1">AVERAGE(OFFSET($AM$3,0,0,'Données projet'!$E$10+1,1))-AVERAGE(OFFSET($H$3,0,0,'Données projet'!$E$10+1,1))</f>
        <v>377.28543127606366</v>
      </c>
      <c r="AO50" s="62">
        <f t="shared" si="36"/>
        <v>166.97658184507776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5.4</v>
      </c>
      <c r="BD50" s="13">
        <f>IF('Données projet'!$A$88&gt;35,BD49+BC50-BL49,IF(A50&lt;'Données projet'!$A$88,$BA$205^A50,IF(A50='Données projet'!$A$88,'Données projet'!$B$88,BD49+BC50-BL49)))</f>
        <v>175.79999999999993</v>
      </c>
      <c r="BE50" s="14">
        <f>BD50*VLOOKUP('Données projet'!$B$11,Paramètres!$A$1:$I$89,3,0)*VLOOKUP('Données projet'!$B$11,Paramètres!$A$1:$I$89,5,0)</f>
        <v>153.57887999999994</v>
      </c>
      <c r="BF50" s="14">
        <f t="shared" si="37"/>
        <v>39.390779474606113</v>
      </c>
      <c r="BG50" s="22">
        <f t="shared" si="7"/>
        <v>336.08882358493884</v>
      </c>
      <c r="BH50" s="62">
        <f t="shared" si="8"/>
        <v>629.42215691827209</v>
      </c>
      <c r="BI50" s="62">
        <f ca="1">AVERAGE(OFFSET($BH$3,0,0,'Données projet'!$E$11+1,1))-AVERAGE(OFFSET($H$3,0,0,'Données projet'!$E$11+1,1))</f>
        <v>271.30269362742433</v>
      </c>
      <c r="BJ50" s="62">
        <f t="shared" si="38"/>
        <v>296.39988431569537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</v>
      </c>
      <c r="O51" s="14">
        <f>N51*VLOOKUP('Données projet'!$B$9,Paramètres!$A$1:$I$89,3,0)*VLOOKUP('Données projet'!$B$9,Paramètres!$A$1:$I$89,5,0)</f>
        <v>146.21567999999999</v>
      </c>
      <c r="P51" s="14">
        <f t="shared" si="33"/>
        <v>37.717310552893402</v>
      </c>
      <c r="Q51" s="22">
        <f t="shared" si="53"/>
        <v>320.34995854628932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429.08703331308703</v>
      </c>
      <c r="T51" s="62">
        <f t="shared" si="34"/>
        <v>231.36959598460675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5.4</v>
      </c>
      <c r="AI51" s="14">
        <f>IF('Données projet'!$A$62&gt;35,AI50+AH51-AQ50,IF(A51&lt;'Données projet'!$A$62,$AF$205^A51,IF(A51='Données projet'!$A$62,'Données projet'!$B$62,AI50+AH51-AQ50)))</f>
        <v>110.2</v>
      </c>
      <c r="AJ51" s="14">
        <f>AI51*VLOOKUP('Données projet'!$B$10,Paramètres!$A$1:$I$89,3,0)*VLOOKUP('Données projet'!$B$10,Paramètres!$A$1:$I$89,5,0)</f>
        <v>118.61928</v>
      </c>
      <c r="AK51" s="14">
        <f t="shared" si="35"/>
        <v>31.352752451796285</v>
      </c>
      <c r="AL51" s="22">
        <f t="shared" si="4"/>
        <v>261.20128985354518</v>
      </c>
      <c r="AM51" s="62">
        <f t="shared" si="5"/>
        <v>554.53462318687843</v>
      </c>
      <c r="AN51" s="62">
        <f ca="1">AVERAGE(OFFSET($AM$3,0,0,'Données projet'!$E$10+1,1))-AVERAGE(OFFSET($H$3,0,0,'Données projet'!$E$10+1,1))</f>
        <v>377.28543127606366</v>
      </c>
      <c r="AO51" s="62">
        <f t="shared" si="36"/>
        <v>166.97658184507776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5.4</v>
      </c>
      <c r="BD51" s="13">
        <f>IF('Données projet'!$A$88&gt;35,BD50+BC51-BL50,IF(A51&lt;'Données projet'!$A$88,$BA$205^A51,IF(A51='Données projet'!$A$88,'Données projet'!$B$88,BD50+BC51-BL50)))</f>
        <v>181.19999999999993</v>
      </c>
      <c r="BE51" s="14">
        <f>BD51*VLOOKUP('Données projet'!$B$11,Paramètres!$A$1:$I$89,3,0)*VLOOKUP('Données projet'!$B$11,Paramètres!$A$1:$I$89,5,0)</f>
        <v>158.29631999999995</v>
      </c>
      <c r="BF51" s="14">
        <f t="shared" si="37"/>
        <v>40.458006540983739</v>
      </c>
      <c r="BG51" s="22">
        <f t="shared" si="7"/>
        <v>346.16378539221324</v>
      </c>
      <c r="BH51" s="62">
        <f t="shared" si="8"/>
        <v>639.49711872554656</v>
      </c>
      <c r="BI51" s="62">
        <f ca="1">AVERAGE(OFFSET($BH$3,0,0,'Données projet'!$E$11+1,1))-AVERAGE(OFFSET($H$3,0,0,'Données projet'!$E$11+1,1))</f>
        <v>271.30269362742433</v>
      </c>
      <c r="BJ51" s="62">
        <f t="shared" si="38"/>
        <v>296.39988431569537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169.79999999999998</v>
      </c>
      <c r="O52" s="14">
        <f>N52*VLOOKUP('Données projet'!$B$9,Paramètres!$A$1:$I$89,3,0)*VLOOKUP('Données projet'!$B$9,Paramètres!$A$1:$I$89,5,0)</f>
        <v>153.63503999999998</v>
      </c>
      <c r="P52" s="14">
        <f t="shared" si="33"/>
        <v>39.403506785222667</v>
      </c>
      <c r="Q52" s="22">
        <f t="shared" si="53"/>
        <v>336.20880231759611</v>
      </c>
      <c r="R52" s="62">
        <f t="shared" si="0"/>
        <v>629.54213565092937</v>
      </c>
      <c r="S52" s="62">
        <f ca="1">AVERAGE(OFFSET($R$3,0,0,'Données projet'!$E$9+1,1))-AVERAGE(OFFSET($H$3,0,0,'Données projet'!$E$9+1,1))</f>
        <v>429.08703331308703</v>
      </c>
      <c r="T52" s="62">
        <f t="shared" si="34"/>
        <v>231.36959598460675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5.4</v>
      </c>
      <c r="AI52" s="14">
        <f>IF('Données projet'!$A$62&gt;35,AI51+AH52-AQ51,IF(A52&lt;'Données projet'!$A$62,$AF$205^A52,IF(A52='Données projet'!$A$62,'Données projet'!$B$62,AI51+AH52-AQ51)))</f>
        <v>115.60000000000001</v>
      </c>
      <c r="AJ52" s="14">
        <f>AI52*VLOOKUP('Données projet'!$B$10,Paramètres!$A$1:$I$89,3,0)*VLOOKUP('Données projet'!$B$10,Paramètres!$A$1:$I$89,5,0)</f>
        <v>124.43183999999999</v>
      </c>
      <c r="AK52" s="14">
        <f t="shared" si="35"/>
        <v>32.70646136755245</v>
      </c>
      <c r="AL52" s="22">
        <f t="shared" si="4"/>
        <v>273.68254154848722</v>
      </c>
      <c r="AM52" s="62">
        <f t="shared" si="5"/>
        <v>567.01587488182054</v>
      </c>
      <c r="AN52" s="62">
        <f ca="1">AVERAGE(OFFSET($AM$3,0,0,'Données projet'!$E$10+1,1))-AVERAGE(OFFSET($H$3,0,0,'Données projet'!$E$10+1,1))</f>
        <v>377.28543127606366</v>
      </c>
      <c r="AO52" s="62">
        <f t="shared" si="36"/>
        <v>166.97658184507776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5.4</v>
      </c>
      <c r="BD52" s="13">
        <f>IF('Données projet'!$A$88&gt;35,BD51+BC52-BL51,IF(A52&lt;'Données projet'!$A$88,$BA$205^A52,IF(A52='Données projet'!$A$88,'Données projet'!$B$88,BD51+BC52-BL51)))</f>
        <v>186.59999999999994</v>
      </c>
      <c r="BE52" s="14">
        <f>BD52*VLOOKUP('Données projet'!$B$11,Paramètres!$A$1:$I$89,3,0)*VLOOKUP('Données projet'!$B$11,Paramètres!$A$1:$I$89,5,0)</f>
        <v>163.01375999999996</v>
      </c>
      <c r="BF52" s="14">
        <f t="shared" si="37"/>
        <v>41.521537366475364</v>
      </c>
      <c r="BG52" s="22">
        <f t="shared" si="7"/>
        <v>356.23230957994451</v>
      </c>
      <c r="BH52" s="62">
        <f t="shared" si="8"/>
        <v>649.56564291327777</v>
      </c>
      <c r="BI52" s="62">
        <f ca="1">AVERAGE(OFFSET($BH$3,0,0,'Données projet'!$E$11+1,1))-AVERAGE(OFFSET($H$3,0,0,'Données projet'!$E$11+1,1))</f>
        <v>271.30269362742433</v>
      </c>
      <c r="BJ52" s="62">
        <f t="shared" si="38"/>
        <v>296.39988431569537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177.99999999999997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429.08703331308703</v>
      </c>
      <c r="T53" s="62">
        <f t="shared" si="34"/>
        <v>231.36959598460675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5.4</v>
      </c>
      <c r="AH53" s="13">
        <f t="array" ref="AH53">INDEX(AG:AG,MIN(IF(ISNUMBER(AG53:AG249),ROW(AG53:AG249),"")))</f>
        <v>5.4</v>
      </c>
      <c r="AI53" s="14">
        <f>IF('Données projet'!$A$62&gt;35,AI52+AH53-AQ52,IF(A53&lt;'Données projet'!$A$62,$AF$205^A53,IF(A53='Données projet'!$A$62,'Données projet'!$B$62,AI52+AH53-AQ52)))</f>
        <v>121.00000000000001</v>
      </c>
      <c r="AJ53" s="14">
        <f>AI53*VLOOKUP('Données projet'!$B$10,Paramètres!$A$1:$I$89,3,0)*VLOOKUP('Données projet'!$B$10,Paramètres!$A$1:$I$89,5,0)</f>
        <v>130.24440000000001</v>
      </c>
      <c r="AK53" s="14">
        <f t="shared" si="35"/>
        <v>34.052826821785409</v>
      </c>
      <c r="AL53" s="22">
        <f t="shared" si="4"/>
        <v>286.15100338127621</v>
      </c>
      <c r="AM53" s="62">
        <f t="shared" si="5"/>
        <v>579.48433671460953</v>
      </c>
      <c r="AN53" s="62">
        <f ca="1">AVERAGE(OFFSET($AM$3,0,0,'Données projet'!$E$10+1,1))-AVERAGE(OFFSET($H$3,0,0,'Données projet'!$E$10+1,1))</f>
        <v>377.28543127606366</v>
      </c>
      <c r="AO53" s="62">
        <f t="shared" si="36"/>
        <v>166.97658184507776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192</v>
      </c>
      <c r="BB53" s="13">
        <f>VLOOKUP(A53,'Données projet'!$A$87:$I$107,9,0)</f>
        <v>5.4</v>
      </c>
      <c r="BC53" s="13">
        <f t="array" ref="BC53">INDEX(BB:BB,MIN(IF(ISNUMBER(BB53:BB249),ROW(BB53:BB249),"")))</f>
        <v>5.4</v>
      </c>
      <c r="BD53" s="13">
        <f>IF('Données projet'!$A$88&gt;35,BD52+BC53-BL52,IF(A53&lt;'Données projet'!$A$88,$BA$205^A53,IF(A53='Données projet'!$A$88,'Données projet'!$B$88,BD52+BC53-BL52)))</f>
        <v>191.99999999999994</v>
      </c>
      <c r="BE53" s="14">
        <f>BD53*VLOOKUP('Données projet'!$B$11,Paramètres!$A$1:$I$89,3,0)*VLOOKUP('Données projet'!$B$11,Paramètres!$A$1:$I$89,5,0)</f>
        <v>167.73119999999997</v>
      </c>
      <c r="BF53" s="14">
        <f t="shared" si="37"/>
        <v>42.581491199832655</v>
      </c>
      <c r="BG53" s="22">
        <f t="shared" si="7"/>
        <v>366.29460383970849</v>
      </c>
      <c r="BH53" s="62">
        <f t="shared" si="8"/>
        <v>659.6279371730418</v>
      </c>
      <c r="BI53" s="62">
        <f ca="1">AVERAGE(OFFSET($BH$3,0,0,'Données projet'!$E$11+1,1))-AVERAGE(OFFSET($H$3,0,0,'Données projet'!$E$11+1,1))</f>
        <v>271.30269362742433</v>
      </c>
      <c r="BJ53" s="62">
        <f t="shared" si="38"/>
        <v>296.39988431569537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185.99999999999997</v>
      </c>
      <c r="O54" s="14">
        <f>N54*VLOOKUP('Données projet'!$B$9,Paramètres!$A$1:$I$89,3,0)*VLOOKUP('Données projet'!$B$9,Paramètres!$A$1:$I$89,5,0)</f>
        <v>168.29279999999997</v>
      </c>
      <c r="P54" s="14">
        <f t="shared" si="33"/>
        <v>42.707443263135104</v>
      </c>
      <c r="Q54" s="22">
        <f t="shared" si="53"/>
        <v>367.49209034996028</v>
      </c>
      <c r="R54" s="62">
        <f t="shared" si="0"/>
        <v>660.82542368329359</v>
      </c>
      <c r="S54" s="62">
        <f ca="1">AVERAGE(OFFSET($R$3,0,0,'Données projet'!$E$9+1,1))-AVERAGE(OFFSET($H$3,0,0,'Données projet'!$E$9+1,1))</f>
        <v>429.08703331308703</v>
      </c>
      <c r="T54" s="62">
        <f t="shared" si="34"/>
        <v>231.36959598460675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126.60000000000001</v>
      </c>
      <c r="AJ54" s="14">
        <f>AI54*VLOOKUP('Données projet'!$B$10,Paramètres!$A$1:$I$89,3,0)*VLOOKUP('Données projet'!$B$10,Paramètres!$A$1:$I$89,5,0)</f>
        <v>136.27224000000001</v>
      </c>
      <c r="AK54" s="14">
        <f t="shared" si="35"/>
        <v>35.441691330456997</v>
      </c>
      <c r="AL54" s="22">
        <f t="shared" si="4"/>
        <v>299.06843040054588</v>
      </c>
      <c r="AM54" s="62">
        <f t="shared" si="5"/>
        <v>592.40176373387919</v>
      </c>
      <c r="AN54" s="62">
        <f ca="1">AVERAGE(OFFSET($AM$3,0,0,'Données projet'!$E$10+1,1))-AVERAGE(OFFSET($H$3,0,0,'Données projet'!$E$10+1,1))</f>
        <v>377.28543127606366</v>
      </c>
      <c r="AO54" s="62">
        <f t="shared" si="36"/>
        <v>166.97658184507776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4.8</v>
      </c>
      <c r="BD54" s="13">
        <f>IF('Données projet'!$A$88&gt;35,BD53+BC54-BL53,IF(A54&lt;'Données projet'!$A$88,$BA$205^A54,IF(A54='Données projet'!$A$88,'Données projet'!$B$88,BD53+BC54-BL53)))</f>
        <v>165.79999999999995</v>
      </c>
      <c r="BE54" s="14">
        <f>BD54*VLOOKUP('Données projet'!$B$11,Paramètres!$A$1:$I$89,3,0)*VLOOKUP('Données projet'!$B$11,Paramètres!$A$1:$I$89,5,0)</f>
        <v>144.84287999999998</v>
      </c>
      <c r="BF54" s="14">
        <f t="shared" si="37"/>
        <v>37.40423595784457</v>
      </c>
      <c r="BG54" s="22">
        <f t="shared" si="7"/>
        <v>317.41372695991259</v>
      </c>
      <c r="BH54" s="62">
        <f t="shared" si="8"/>
        <v>610.74706029324591</v>
      </c>
      <c r="BI54" s="62">
        <f ca="1">AVERAGE(OFFSET($BH$3,0,0,'Données projet'!$E$11+1,1))-AVERAGE(OFFSET($H$3,0,0,'Données projet'!$E$11+1,1))</f>
        <v>271.30269362742433</v>
      </c>
      <c r="BJ54" s="62">
        <f t="shared" si="38"/>
        <v>296.39988431569537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193.99999999999997</v>
      </c>
      <c r="O55" s="14">
        <f>N55*VLOOKUP('Données projet'!$B$9,Paramètres!$A$1:$I$89,3,0)*VLOOKUP('Données projet'!$B$9,Paramètres!$A$1:$I$89,5,0)</f>
        <v>175.53119999999998</v>
      </c>
      <c r="P55" s="14">
        <f t="shared" si="33"/>
        <v>44.326510481422488</v>
      </c>
      <c r="Q55" s="22">
        <f t="shared" si="53"/>
        <v>382.9188457551441</v>
      </c>
      <c r="R55" s="62">
        <f t="shared" si="0"/>
        <v>676.25217908847742</v>
      </c>
      <c r="S55" s="62">
        <f ca="1">AVERAGE(OFFSET($R$3,0,0,'Données projet'!$E$9+1,1))-AVERAGE(OFFSET($H$3,0,0,'Données projet'!$E$9+1,1))</f>
        <v>429.08703331308703</v>
      </c>
      <c r="T55" s="62">
        <f t="shared" si="34"/>
        <v>231.36959598460675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132.20000000000002</v>
      </c>
      <c r="AJ55" s="14">
        <f>AI55*VLOOKUP('Données projet'!$B$10,Paramètres!$A$1:$I$89,3,0)*VLOOKUP('Données projet'!$B$10,Paramètres!$A$1:$I$89,5,0)</f>
        <v>142.30008000000001</v>
      </c>
      <c r="AK55" s="14">
        <f t="shared" si="35"/>
        <v>36.823420753495235</v>
      </c>
      <c r="AL55" s="22">
        <f t="shared" si="4"/>
        <v>311.97343047900421</v>
      </c>
      <c r="AM55" s="62">
        <f t="shared" si="5"/>
        <v>605.30676381233752</v>
      </c>
      <c r="AN55" s="62">
        <f ca="1">AVERAGE(OFFSET($AM$3,0,0,'Données projet'!$E$10+1,1))-AVERAGE(OFFSET($H$3,0,0,'Données projet'!$E$10+1,1))</f>
        <v>377.28543127606366</v>
      </c>
      <c r="AO55" s="62">
        <f t="shared" si="36"/>
        <v>166.97658184507776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4.8</v>
      </c>
      <c r="BD55" s="13">
        <f>IF('Données projet'!$A$88&gt;35,BD54+BC55-BL54,IF(A55&lt;'Données projet'!$A$88,$BA$205^A55,IF(A55='Données projet'!$A$88,'Données projet'!$B$88,BD54+BC55-BL54)))</f>
        <v>170.59999999999997</v>
      </c>
      <c r="BE55" s="14">
        <f>BD55*VLOOKUP('Données projet'!$B$11,Paramètres!$A$1:$I$89,3,0)*VLOOKUP('Données projet'!$B$11,Paramètres!$A$1:$I$89,5,0)</f>
        <v>149.03616</v>
      </c>
      <c r="BF55" s="14">
        <f t="shared" si="37"/>
        <v>38.35946741279561</v>
      </c>
      <c r="BG55" s="22">
        <f t="shared" si="7"/>
        <v>326.38071774395229</v>
      </c>
      <c r="BH55" s="62">
        <f t="shared" si="8"/>
        <v>619.7140510772856</v>
      </c>
      <c r="BI55" s="62">
        <f ca="1">AVERAGE(OFFSET($BH$3,0,0,'Données projet'!$E$11+1,1))-AVERAGE(OFFSET($H$3,0,0,'Données projet'!$E$11+1,1))</f>
        <v>271.30269362742433</v>
      </c>
      <c r="BJ55" s="62">
        <f t="shared" si="38"/>
        <v>296.39988431569537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201.99999999999997</v>
      </c>
      <c r="O56" s="14">
        <f>N56*VLOOKUP('Données projet'!$B$9,Paramètres!$A$1:$I$89,3,0)*VLOOKUP('Données projet'!$B$9,Paramètres!$A$1:$I$89,5,0)</f>
        <v>182.76959999999997</v>
      </c>
      <c r="P56" s="14">
        <f t="shared" si="33"/>
        <v>45.937822477650357</v>
      </c>
      <c r="Q56" s="22">
        <f t="shared" si="53"/>
        <v>398.33209414857424</v>
      </c>
      <c r="R56" s="62">
        <f t="shared" si="0"/>
        <v>691.6654274819075</v>
      </c>
      <c r="S56" s="62">
        <f ca="1">AVERAGE(OFFSET($R$3,0,0,'Données projet'!$E$9+1,1))-AVERAGE(OFFSET($H$3,0,0,'Données projet'!$E$9+1,1))</f>
        <v>429.08703331308703</v>
      </c>
      <c r="T56" s="62">
        <f t="shared" si="34"/>
        <v>231.36959598460675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137.80000000000001</v>
      </c>
      <c r="AJ56" s="14">
        <f>AI56*VLOOKUP('Données projet'!$B$10,Paramètres!$A$1:$I$89,3,0)*VLOOKUP('Données projet'!$B$10,Paramètres!$A$1:$I$89,5,0)</f>
        <v>148.32792000000001</v>
      </c>
      <c r="AK56" s="14">
        <f t="shared" si="35"/>
        <v>38.198351889603508</v>
      </c>
      <c r="AL56" s="22">
        <f t="shared" si="4"/>
        <v>324.86659020772612</v>
      </c>
      <c r="AM56" s="62">
        <f t="shared" si="5"/>
        <v>618.19992354105943</v>
      </c>
      <c r="AN56" s="62">
        <f ca="1">AVERAGE(OFFSET($AM$3,0,0,'Données projet'!$E$10+1,1))-AVERAGE(OFFSET($H$3,0,0,'Données projet'!$E$10+1,1))</f>
        <v>377.28543127606366</v>
      </c>
      <c r="AO56" s="62">
        <f t="shared" si="36"/>
        <v>166.97658184507776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4.8</v>
      </c>
      <c r="BD56" s="13">
        <f>IF('Données projet'!$A$88&gt;35,BD55+BC56-BL55,IF(A56&lt;'Données projet'!$A$88,$BA$205^A56,IF(A56='Données projet'!$A$88,'Données projet'!$B$88,BD55+BC56-BL55)))</f>
        <v>175.39999999999998</v>
      </c>
      <c r="BE56" s="14">
        <f>BD56*VLOOKUP('Données projet'!$B$11,Paramètres!$A$1:$I$89,3,0)*VLOOKUP('Données projet'!$B$11,Paramètres!$A$1:$I$89,5,0)</f>
        <v>153.22943999999998</v>
      </c>
      <c r="BF56" s="14">
        <f t="shared" si="37"/>
        <v>39.311575138468363</v>
      </c>
      <c r="BG56" s="22">
        <f t="shared" si="7"/>
        <v>335.34226803283235</v>
      </c>
      <c r="BH56" s="62">
        <f t="shared" si="8"/>
        <v>628.67560136616567</v>
      </c>
      <c r="BI56" s="62">
        <f ca="1">AVERAGE(OFFSET($BH$3,0,0,'Données projet'!$E$11+1,1))-AVERAGE(OFFSET($H$3,0,0,'Données projet'!$E$11+1,1))</f>
        <v>271.30269362742433</v>
      </c>
      <c r="BJ56" s="62">
        <f t="shared" si="38"/>
        <v>296.39988431569537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209.99999999999997</v>
      </c>
      <c r="O57" s="14">
        <f>N57*VLOOKUP('Données projet'!$B$9,Paramètres!$A$1:$I$89,3,0)*VLOOKUP('Données projet'!$B$9,Paramètres!$A$1:$I$89,5,0)</f>
        <v>190.00799999999995</v>
      </c>
      <c r="P57" s="14">
        <f t="shared" si="33"/>
        <v>47.541721533308163</v>
      </c>
      <c r="Q57" s="22">
        <f t="shared" si="53"/>
        <v>413.73243167051163</v>
      </c>
      <c r="R57" s="62">
        <f t="shared" si="0"/>
        <v>707.06576500384494</v>
      </c>
      <c r="S57" s="62">
        <f ca="1">AVERAGE(OFFSET($R$3,0,0,'Données projet'!$E$9+1,1))-AVERAGE(OFFSET($H$3,0,0,'Données projet'!$E$9+1,1))</f>
        <v>429.08703331308703</v>
      </c>
      <c r="T57" s="62">
        <f t="shared" si="34"/>
        <v>231.36959598460675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143.4</v>
      </c>
      <c r="AJ57" s="14">
        <f>AI57*VLOOKUP('Données projet'!$B$10,Paramètres!$A$1:$I$89,3,0)*VLOOKUP('Données projet'!$B$10,Paramètres!$A$1:$I$89,5,0)</f>
        <v>154.35576</v>
      </c>
      <c r="AK57" s="14">
        <f t="shared" si="35"/>
        <v>39.566792614262397</v>
      </c>
      <c r="AL57" s="22">
        <f t="shared" si="4"/>
        <v>337.74844580317364</v>
      </c>
      <c r="AM57" s="62">
        <f t="shared" si="5"/>
        <v>631.08177913650695</v>
      </c>
      <c r="AN57" s="62">
        <f ca="1">AVERAGE(OFFSET($AM$3,0,0,'Données projet'!$E$10+1,1))-AVERAGE(OFFSET($H$3,0,0,'Données projet'!$E$10+1,1))</f>
        <v>377.28543127606366</v>
      </c>
      <c r="AO57" s="62">
        <f t="shared" si="36"/>
        <v>166.97658184507776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4.8</v>
      </c>
      <c r="BD57" s="13">
        <f>IF('Données projet'!$A$88&gt;35,BD56+BC57-BL56,IF(A57&lt;'Données projet'!$A$88,$BA$205^A57,IF(A57='Données projet'!$A$88,'Données projet'!$B$88,BD56+BC57-BL56)))</f>
        <v>180.2</v>
      </c>
      <c r="BE57" s="14">
        <f>BD57*VLOOKUP('Données projet'!$B$11,Paramètres!$A$1:$I$89,3,0)*VLOOKUP('Données projet'!$B$11,Paramètres!$A$1:$I$89,5,0)</f>
        <v>157.42272000000003</v>
      </c>
      <c r="BF57" s="14">
        <f t="shared" si="37"/>
        <v>40.260654441499831</v>
      </c>
      <c r="BG57" s="22">
        <f t="shared" si="7"/>
        <v>344.29854381894557</v>
      </c>
      <c r="BH57" s="62">
        <f t="shared" si="8"/>
        <v>637.63187715227889</v>
      </c>
      <c r="BI57" s="62">
        <f ca="1">AVERAGE(OFFSET($BH$3,0,0,'Données projet'!$E$11+1,1))-AVERAGE(OFFSET($H$3,0,0,'Données projet'!$E$11+1,1))</f>
        <v>271.30269362742433</v>
      </c>
      <c r="BJ57" s="62">
        <f t="shared" si="38"/>
        <v>296.39988431569537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217.99999999999997</v>
      </c>
      <c r="O58" s="14">
        <f>N58*VLOOKUP('Données projet'!$B$9,Paramètres!$A$1:$I$89,3,0)*VLOOKUP('Données projet'!$B$9,Paramètres!$A$1:$I$89,5,0)</f>
        <v>197.24639999999997</v>
      </c>
      <c r="P58" s="14">
        <f t="shared" si="33"/>
        <v>49.138522374247202</v>
      </c>
      <c r="Q58" s="22">
        <f t="shared" si="53"/>
        <v>429.1204064684805</v>
      </c>
      <c r="R58" s="62">
        <f t="shared" si="0"/>
        <v>722.45373980181375</v>
      </c>
      <c r="S58" s="62">
        <f ca="1">AVERAGE(OFFSET($R$3,0,0,'Données projet'!$E$9+1,1))-AVERAGE(OFFSET($H$3,0,0,'Données projet'!$E$9+1,1))</f>
        <v>429.08703331308703</v>
      </c>
      <c r="T58" s="62">
        <f t="shared" si="34"/>
        <v>231.36959598460675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149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149</v>
      </c>
      <c r="AJ58" s="14">
        <f>AI58*VLOOKUP('Données projet'!$B$10,Paramètres!$A$1:$I$89,3,0)*VLOOKUP('Données projet'!$B$10,Paramètres!$A$1:$I$89,5,0)</f>
        <v>160.38359999999997</v>
      </c>
      <c r="AK58" s="14">
        <f t="shared" si="35"/>
        <v>40.929025395397851</v>
      </c>
      <c r="AL58" s="22">
        <f t="shared" si="4"/>
        <v>350.61948923031787</v>
      </c>
      <c r="AM58" s="62">
        <f t="shared" si="5"/>
        <v>643.95282256365113</v>
      </c>
      <c r="AN58" s="62">
        <f ca="1">AVERAGE(OFFSET($AM$3,0,0,'Données projet'!$E$10+1,1))-AVERAGE(OFFSET($H$3,0,0,'Données projet'!$E$10+1,1))</f>
        <v>377.28543127606366</v>
      </c>
      <c r="AO58" s="62">
        <f t="shared" si="36"/>
        <v>166.97658184507776</v>
      </c>
      <c r="AP58" s="16">
        <f>IF(ISNA(VLOOKUP(A58,'Données projet'!$A$61:$I$81,3,0)),0,VLOOKUP(A58,'Données projet'!$A$61:$I$81,3,0))</f>
        <v>3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185</v>
      </c>
      <c r="BB58" s="13">
        <f>VLOOKUP(A58,'Données projet'!$A$87:$I$107,9,0)</f>
        <v>4.8</v>
      </c>
      <c r="BC58" s="13">
        <f t="array" ref="BC58">INDEX(BB:BB,MIN(IF(ISNUMBER(BB58:BB254),ROW(BB58:BB254),"")))</f>
        <v>4.8</v>
      </c>
      <c r="BD58" s="13">
        <f>IF('Données projet'!$A$88&gt;35,BD57+BC58-BL57,IF(A58&lt;'Données projet'!$A$88,$BA$205^A58,IF(A58='Données projet'!$A$88,'Données projet'!$B$88,BD57+BC58-BL57)))</f>
        <v>185</v>
      </c>
      <c r="BE58" s="14">
        <f>BD58*VLOOKUP('Données projet'!$B$11,Paramètres!$A$1:$I$89,3,0)*VLOOKUP('Données projet'!$B$11,Paramètres!$A$1:$I$89,5,0)</f>
        <v>161.61600000000001</v>
      </c>
      <c r="BF58" s="14">
        <f t="shared" si="37"/>
        <v>41.20679526204917</v>
      </c>
      <c r="BG58" s="22">
        <f t="shared" si="7"/>
        <v>353.24970174806896</v>
      </c>
      <c r="BH58" s="62">
        <f t="shared" si="8"/>
        <v>646.58303508140227</v>
      </c>
      <c r="BI58" s="62">
        <f ca="1">AVERAGE(OFFSET($BH$3,0,0,'Données projet'!$E$11+1,1))-AVERAGE(OFFSET($H$3,0,0,'Données projet'!$E$11+1,1))</f>
        <v>271.30269362742433</v>
      </c>
      <c r="BJ58" s="62">
        <f t="shared" si="38"/>
        <v>296.39988431569537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183.59999999999997</v>
      </c>
      <c r="O59" s="14">
        <f>N59*VLOOKUP('Données projet'!$B$9,Paramètres!$A$1:$I$89,3,0)*VLOOKUP('Données projet'!$B$9,Paramètres!$A$1:$I$89,5,0)</f>
        <v>166.12127999999996</v>
      </c>
      <c r="P59" s="14">
        <f t="shared" si="33"/>
        <v>42.220155874487318</v>
      </c>
      <c r="Q59" s="22">
        <f t="shared" si="53"/>
        <v>362.86133414806528</v>
      </c>
      <c r="R59" s="62">
        <f t="shared" si="0"/>
        <v>656.1946674813986</v>
      </c>
      <c r="S59" s="62">
        <f ca="1">AVERAGE(OFFSET($R$3,0,0,'Données projet'!$E$9+1,1))-AVERAGE(OFFSET($H$3,0,0,'Données projet'!$E$9+1,1))</f>
        <v>429.08703331308703</v>
      </c>
      <c r="T59" s="62">
        <f t="shared" si="34"/>
        <v>231.36959598460675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5.4</v>
      </c>
      <c r="AI59" s="14">
        <f>IF('Données projet'!$A$62&gt;35,AI58+AH59-AQ58,IF(A59&lt;'Données projet'!$A$62,$AF$205^A59,IF(A59='Données projet'!$A$62,'Données projet'!$B$62,AI58+AH59-AQ58)))</f>
        <v>126.4</v>
      </c>
      <c r="AJ59" s="14">
        <f>AI59*VLOOKUP('Données projet'!$B$10,Paramètres!$A$1:$I$89,3,0)*VLOOKUP('Données projet'!$B$10,Paramètres!$A$1:$I$89,5,0)</f>
        <v>136.05696</v>
      </c>
      <c r="AK59" s="14">
        <f t="shared" si="35"/>
        <v>35.392213985322201</v>
      </c>
      <c r="AL59" s="22">
        <f t="shared" si="4"/>
        <v>298.6073113577695</v>
      </c>
      <c r="AM59" s="62">
        <f t="shared" si="5"/>
        <v>591.94064469110276</v>
      </c>
      <c r="AN59" s="62">
        <f ca="1">AVERAGE(OFFSET($AM$3,0,0,'Données projet'!$E$10+1,1))-AVERAGE(OFFSET($H$3,0,0,'Données projet'!$E$10+1,1))</f>
        <v>377.28543127606366</v>
      </c>
      <c r="AO59" s="62">
        <f t="shared" si="36"/>
        <v>166.97658184507776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4.2</v>
      </c>
      <c r="BD59" s="13">
        <f>IF('Données projet'!$A$88&gt;35,BD58+BC59-BL58,IF(A59&lt;'Données projet'!$A$88,$BA$205^A59,IF(A59='Données projet'!$A$88,'Données projet'!$B$88,BD58+BC59-BL58)))</f>
        <v>189.2</v>
      </c>
      <c r="BE59" s="14">
        <f>BD59*VLOOKUP('Données projet'!$B$11,Paramètres!$A$1:$I$89,3,0)*VLOOKUP('Données projet'!$B$11,Paramètres!$A$1:$I$89,5,0)</f>
        <v>165.28512000000001</v>
      </c>
      <c r="BF59" s="14">
        <f t="shared" si="37"/>
        <v>42.032324946671778</v>
      </c>
      <c r="BG59" s="22">
        <f t="shared" si="7"/>
        <v>361.07788328212001</v>
      </c>
      <c r="BH59" s="62">
        <f t="shared" si="8"/>
        <v>654.41121661545333</v>
      </c>
      <c r="BI59" s="62">
        <f ca="1">AVERAGE(OFFSET($BH$3,0,0,'Données projet'!$E$11+1,1))-AVERAGE(OFFSET($H$3,0,0,'Données projet'!$E$11+1,1))</f>
        <v>271.30269362742433</v>
      </c>
      <c r="BJ59" s="62">
        <f t="shared" si="38"/>
        <v>296.39988431569537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191.19999999999996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429.08703331308703</v>
      </c>
      <c r="T60" s="62">
        <f t="shared" si="34"/>
        <v>231.36959598460675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5.4</v>
      </c>
      <c r="AI60" s="14">
        <f>IF('Données projet'!$A$62&gt;35,AI59+AH60-AQ59,IF(A60&lt;'Données projet'!$A$62,$AF$205^A60,IF(A60='Données projet'!$A$62,'Données projet'!$B$62,AI59+AH60-AQ59)))</f>
        <v>131.80000000000001</v>
      </c>
      <c r="AJ60" s="14">
        <f>AI60*VLOOKUP('Données projet'!$B$10,Paramètres!$A$1:$I$89,3,0)*VLOOKUP('Données projet'!$B$10,Paramètres!$A$1:$I$89,5,0)</f>
        <v>141.86952000000002</v>
      </c>
      <c r="AK60" s="14">
        <f t="shared" si="35"/>
        <v>36.724955062927386</v>
      </c>
      <c r="AL60" s="22">
        <f t="shared" si="4"/>
        <v>311.05204406793189</v>
      </c>
      <c r="AM60" s="62">
        <f t="shared" si="5"/>
        <v>604.38537740126526</v>
      </c>
      <c r="AN60" s="62">
        <f ca="1">AVERAGE(OFFSET($AM$3,0,0,'Données projet'!$E$10+1,1))-AVERAGE(OFFSET($H$3,0,0,'Données projet'!$E$10+1,1))</f>
        <v>377.28543127606366</v>
      </c>
      <c r="AO60" s="62">
        <f t="shared" si="36"/>
        <v>166.97658184507776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4.2</v>
      </c>
      <c r="BD60" s="13">
        <f>IF('Données projet'!$A$88&gt;35,BD59+BC60-BL59,IF(A60&lt;'Données projet'!$A$88,$BA$205^A60,IF(A60='Données projet'!$A$88,'Données projet'!$B$88,BD59+BC60-BL59)))</f>
        <v>193.39999999999998</v>
      </c>
      <c r="BE60" s="14">
        <f>BD60*VLOOKUP('Données projet'!$B$11,Paramètres!$A$1:$I$89,3,0)*VLOOKUP('Données projet'!$B$11,Paramètres!$A$1:$I$89,5,0)</f>
        <v>168.95424</v>
      </c>
      <c r="BF60" s="14">
        <f t="shared" si="37"/>
        <v>42.855724087026708</v>
      </c>
      <c r="BG60" s="22">
        <f t="shared" si="7"/>
        <v>368.90235411823818</v>
      </c>
      <c r="BH60" s="62">
        <f t="shared" si="8"/>
        <v>662.23568745157149</v>
      </c>
      <c r="BI60" s="62">
        <f ca="1">AVERAGE(OFFSET($BH$3,0,0,'Données projet'!$E$11+1,1))-AVERAGE(OFFSET($H$3,0,0,'Données projet'!$E$11+1,1))</f>
        <v>271.30269362742433</v>
      </c>
      <c r="BJ60" s="62">
        <f t="shared" si="38"/>
        <v>296.39988431569537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198.79999999999995</v>
      </c>
      <c r="O61" s="14">
        <f>N61*VLOOKUP('Données projet'!$B$9,Paramètres!$A$1:$I$89,3,0)*VLOOKUP('Données projet'!$B$9,Paramètres!$A$1:$I$89,5,0)</f>
        <v>179.87423999999993</v>
      </c>
      <c r="P61" s="14">
        <f t="shared" si="33"/>
        <v>45.294205745553846</v>
      </c>
      <c r="Q61" s="22">
        <f t="shared" si="53"/>
        <v>392.16837634017276</v>
      </c>
      <c r="R61" s="62">
        <f t="shared" si="0"/>
        <v>685.50170967350607</v>
      </c>
      <c r="S61" s="62">
        <f ca="1">AVERAGE(OFFSET($R$3,0,0,'Données projet'!$E$9+1,1))-AVERAGE(OFFSET($H$3,0,0,'Données projet'!$E$9+1,1))</f>
        <v>429.08703331308703</v>
      </c>
      <c r="T61" s="62">
        <f t="shared" si="34"/>
        <v>231.36959598460675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5.4</v>
      </c>
      <c r="AI61" s="14">
        <f>IF('Données projet'!$A$62&gt;35,AI60+AH61-AQ60,IF(A61&lt;'Données projet'!$A$62,$AF$205^A61,IF(A61='Données projet'!$A$62,'Données projet'!$B$62,AI60+AH61-AQ60)))</f>
        <v>137.20000000000002</v>
      </c>
      <c r="AJ61" s="14">
        <f>AI61*VLOOKUP('Données projet'!$B$10,Paramètres!$A$1:$I$89,3,0)*VLOOKUP('Données projet'!$B$10,Paramètres!$A$1:$I$89,5,0)</f>
        <v>147.68208000000001</v>
      </c>
      <c r="AK61" s="14">
        <f t="shared" si="35"/>
        <v>38.051353497342525</v>
      </c>
      <c r="AL61" s="22">
        <f t="shared" si="4"/>
        <v>323.48573000787155</v>
      </c>
      <c r="AM61" s="62">
        <f t="shared" si="5"/>
        <v>616.81906334120481</v>
      </c>
      <c r="AN61" s="62">
        <f ca="1">AVERAGE(OFFSET($AM$3,0,0,'Données projet'!$E$10+1,1))-AVERAGE(OFFSET($H$3,0,0,'Données projet'!$E$10+1,1))</f>
        <v>377.28543127606366</v>
      </c>
      <c r="AO61" s="62">
        <f t="shared" si="36"/>
        <v>166.97658184507776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4.2</v>
      </c>
      <c r="BD61" s="13">
        <f>IF('Données projet'!$A$88&gt;35,BD60+BC61-BL60,IF(A61&lt;'Données projet'!$A$88,$BA$205^A61,IF(A61='Données projet'!$A$88,'Données projet'!$B$88,BD60+BC61-BL60)))</f>
        <v>197.59999999999997</v>
      </c>
      <c r="BE61" s="14">
        <f>BD61*VLOOKUP('Données projet'!$B$11,Paramètres!$A$1:$I$89,3,0)*VLOOKUP('Données projet'!$B$11,Paramètres!$A$1:$I$89,5,0)</f>
        <v>172.62335999999999</v>
      </c>
      <c r="BF61" s="14">
        <f t="shared" si="37"/>
        <v>43.67704427998607</v>
      </c>
      <c r="BG61" s="22">
        <f t="shared" si="7"/>
        <v>376.72320412097571</v>
      </c>
      <c r="BH61" s="62">
        <f t="shared" si="8"/>
        <v>670.05653745430902</v>
      </c>
      <c r="BI61" s="62">
        <f ca="1">AVERAGE(OFFSET($BH$3,0,0,'Données projet'!$E$11+1,1))-AVERAGE(OFFSET($H$3,0,0,'Données projet'!$E$11+1,1))</f>
        <v>271.30269362742433</v>
      </c>
      <c r="BJ61" s="62">
        <f t="shared" si="38"/>
        <v>296.39988431569537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206.39999999999995</v>
      </c>
      <c r="O62" s="14">
        <f>N62*VLOOKUP('Données projet'!$B$9,Paramètres!$A$1:$I$89,3,0)*VLOOKUP('Données projet'!$B$9,Paramètres!$A$1:$I$89,5,0)</f>
        <v>186.75071999999994</v>
      </c>
      <c r="P62" s="14">
        <f t="shared" si="33"/>
        <v>46.820863587839391</v>
      </c>
      <c r="Q62" s="22">
        <f t="shared" si="53"/>
        <v>406.80384141548683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429.08703331308703</v>
      </c>
      <c r="T62" s="62">
        <f t="shared" si="34"/>
        <v>231.36959598460675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5.4</v>
      </c>
      <c r="AI62" s="14">
        <f>IF('Données projet'!$A$62&gt;35,AI61+AH62-AQ61,IF(A62&lt;'Données projet'!$A$62,$AF$205^A62,IF(A62='Données projet'!$A$62,'Données projet'!$B$62,AI61+AH62-AQ61)))</f>
        <v>142.60000000000002</v>
      </c>
      <c r="AJ62" s="14">
        <f>AI62*VLOOKUP('Données projet'!$B$10,Paramètres!$A$1:$I$89,3,0)*VLOOKUP('Données projet'!$B$10,Paramètres!$A$1:$I$89,5,0)</f>
        <v>153.49464</v>
      </c>
      <c r="AK62" s="14">
        <f t="shared" si="35"/>
        <v>39.371687492841382</v>
      </c>
      <c r="AL62" s="22">
        <f t="shared" si="4"/>
        <v>335.90885371669873</v>
      </c>
      <c r="AM62" s="62">
        <f t="shared" si="5"/>
        <v>629.24218705003204</v>
      </c>
      <c r="AN62" s="62">
        <f ca="1">AVERAGE(OFFSET($AM$3,0,0,'Données projet'!$E$10+1,1))-AVERAGE(OFFSET($H$3,0,0,'Données projet'!$E$10+1,1))</f>
        <v>377.28543127606366</v>
      </c>
      <c r="AO62" s="62">
        <f t="shared" si="36"/>
        <v>166.97658184507776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4.2</v>
      </c>
      <c r="BD62" s="13">
        <f>IF('Données projet'!$A$88&gt;35,BD61+BC62-BL61,IF(A62&lt;'Données projet'!$A$88,$BA$205^A62,IF(A62='Données projet'!$A$88,'Données projet'!$B$88,BD61+BC62-BL61)))</f>
        <v>201.79999999999995</v>
      </c>
      <c r="BE62" s="14">
        <f>BD62*VLOOKUP('Données projet'!$B$11,Paramètres!$A$1:$I$89,3,0)*VLOOKUP('Données projet'!$B$11,Paramètres!$A$1:$I$89,5,0)</f>
        <v>176.29247999999998</v>
      </c>
      <c r="BF62" s="14">
        <f t="shared" si="37"/>
        <v>44.496334803721894</v>
      </c>
      <c r="BG62" s="22">
        <f t="shared" si="7"/>
        <v>384.5405191164823</v>
      </c>
      <c r="BH62" s="62">
        <f t="shared" si="8"/>
        <v>677.87385244981556</v>
      </c>
      <c r="BI62" s="62">
        <f ca="1">AVERAGE(OFFSET($BH$3,0,0,'Données projet'!$E$11+1,1))-AVERAGE(OFFSET($H$3,0,0,'Données projet'!$E$11+1,1))</f>
        <v>271.30269362742433</v>
      </c>
      <c r="BJ62" s="62">
        <f t="shared" si="38"/>
        <v>296.39988431569537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213.99999999999994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429.08703331308703</v>
      </c>
      <c r="T63" s="62">
        <f t="shared" si="34"/>
        <v>231.36959598460675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148</v>
      </c>
      <c r="AG63" s="13">
        <f>VLOOKUP(A63,'Données projet'!$A$61:$I$81,9,0)</f>
        <v>5.4</v>
      </c>
      <c r="AH63" s="13">
        <f t="array" ref="AH63">INDEX(AG:AG,MIN(IF(ISNUMBER(AG63:AG259),ROW(AG63:AG259),"")))</f>
        <v>5.4</v>
      </c>
      <c r="AI63" s="14">
        <f>IF('Données projet'!$A$62&gt;35,AI62+AH63-AQ62,IF(A63&lt;'Données projet'!$A$62,$AF$205^A63,IF(A63='Données projet'!$A$62,'Données projet'!$B$62,AI62+AH63-AQ62)))</f>
        <v>148.00000000000003</v>
      </c>
      <c r="AJ63" s="14">
        <f>AI63*VLOOKUP('Données projet'!$B$10,Paramètres!$A$1:$I$89,3,0)*VLOOKUP('Données projet'!$B$10,Paramètres!$A$1:$I$89,5,0)</f>
        <v>159.30720000000002</v>
      </c>
      <c r="AK63" s="14">
        <f t="shared" si="35"/>
        <v>40.686212990054052</v>
      </c>
      <c r="AL63" s="22">
        <f t="shared" si="4"/>
        <v>348.32186095767747</v>
      </c>
      <c r="AM63" s="62">
        <f t="shared" si="5"/>
        <v>641.65519429101073</v>
      </c>
      <c r="AN63" s="62">
        <f ca="1">AVERAGE(OFFSET($AM$3,0,0,'Données projet'!$E$10+1,1))-AVERAGE(OFFSET($H$3,0,0,'Données projet'!$E$10+1,1))</f>
        <v>377.28543127606366</v>
      </c>
      <c r="AO63" s="62">
        <f t="shared" si="36"/>
        <v>166.97658184507776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206</v>
      </c>
      <c r="BB63" s="13">
        <f>VLOOKUP(A63,'Données projet'!$A$87:$I$107,9,0)</f>
        <v>4.2</v>
      </c>
      <c r="BC63" s="13">
        <f t="array" ref="BC63">INDEX(BB:BB,MIN(IF(ISNUMBER(BB63:BB259),ROW(BB63:BB259),"")))</f>
        <v>4.2</v>
      </c>
      <c r="BD63" s="13">
        <f>IF('Données projet'!$A$88&gt;35,BD62+BC63-BL62,IF(A63&lt;'Données projet'!$A$88,$BA$205^A63,IF(A63='Données projet'!$A$88,'Données projet'!$B$88,BD62+BC63-BL62)))</f>
        <v>205.99999999999994</v>
      </c>
      <c r="BE63" s="14">
        <f>BD63*VLOOKUP('Données projet'!$B$11,Paramètres!$A$1:$I$89,3,0)*VLOOKUP('Données projet'!$B$11,Paramètres!$A$1:$I$89,5,0)</f>
        <v>179.96159999999998</v>
      </c>
      <c r="BF63" s="14">
        <f t="shared" si="37"/>
        <v>45.313642767960104</v>
      </c>
      <c r="BG63" s="22">
        <f t="shared" si="7"/>
        <v>392.35438115419714</v>
      </c>
      <c r="BH63" s="62">
        <f t="shared" si="8"/>
        <v>685.68771448753046</v>
      </c>
      <c r="BI63" s="62">
        <f ca="1">AVERAGE(OFFSET($BH$3,0,0,'Données projet'!$E$11+1,1))-AVERAGE(OFFSET($H$3,0,0,'Données projet'!$E$11+1,1))</f>
        <v>271.30269362742433</v>
      </c>
      <c r="BJ63" s="62">
        <f t="shared" si="38"/>
        <v>296.39988431569537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221.19999999999993</v>
      </c>
      <c r="O64" s="14">
        <f>N64*VLOOKUP('Données projet'!$B$9,Paramètres!$A$1:$I$89,3,0)*VLOOKUP('Données projet'!$B$9,Paramètres!$A$1:$I$89,5,0)</f>
        <v>200.14175999999995</v>
      </c>
      <c r="P64" s="14">
        <f t="shared" si="33"/>
        <v>49.775320997880847</v>
      </c>
      <c r="Q64" s="22">
        <f t="shared" si="53"/>
        <v>435.27224940464231</v>
      </c>
      <c r="R64" s="62">
        <f t="shared" si="0"/>
        <v>728.60558273797562</v>
      </c>
      <c r="S64" s="62">
        <f ca="1">AVERAGE(OFFSET($R$3,0,0,'Données projet'!$E$9+1,1))-AVERAGE(OFFSET($H$3,0,0,'Données projet'!$E$9+1,1))</f>
        <v>429.08703331308703</v>
      </c>
      <c r="T64" s="62">
        <f t="shared" si="34"/>
        <v>231.36959598460675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5.4</v>
      </c>
      <c r="AI64" s="14">
        <f>IF('Données projet'!$A$62&gt;35,AI63+AH64-AQ63,IF(A64&lt;'Données projet'!$A$62,$AF$205^A64,IF(A64='Données projet'!$A$62,'Données projet'!$B$62,AI63+AH64-AQ63)))</f>
        <v>153.40000000000003</v>
      </c>
      <c r="AJ64" s="14">
        <f>AI64*VLOOKUP('Données projet'!$B$10,Paramètres!$A$1:$I$89,3,0)*VLOOKUP('Données projet'!$B$10,Paramètres!$A$1:$I$89,5,0)</f>
        <v>165.11976000000004</v>
      </c>
      <c r="AK64" s="14">
        <f t="shared" si="35"/>
        <v>41.995166194425131</v>
      </c>
      <c r="AL64" s="22">
        <f t="shared" si="4"/>
        <v>360.72516312195717</v>
      </c>
      <c r="AM64" s="62">
        <f t="shared" si="5"/>
        <v>654.05849645529042</v>
      </c>
      <c r="AN64" s="62">
        <f ca="1">AVERAGE(OFFSET($AM$3,0,0,'Données projet'!$E$10+1,1))-AVERAGE(OFFSET($H$3,0,0,'Données projet'!$E$10+1,1))</f>
        <v>377.28543127606366</v>
      </c>
      <c r="AO64" s="62">
        <f t="shared" si="36"/>
        <v>166.97658184507776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3.2</v>
      </c>
      <c r="BD64" s="13">
        <f>IF('Données projet'!$A$88&gt;35,BD63+BC64-BL63,IF(A64&lt;'Données projet'!$A$88,$BA$205^A64,IF(A64='Données projet'!$A$88,'Données projet'!$B$88,BD63+BC64-BL63)))</f>
        <v>189.19999999999993</v>
      </c>
      <c r="BE64" s="14">
        <f>BD64*VLOOKUP('Données projet'!$B$11,Paramètres!$A$1:$I$89,3,0)*VLOOKUP('Données projet'!$B$11,Paramètres!$A$1:$I$89,5,0)</f>
        <v>165.28511999999995</v>
      </c>
      <c r="BF64" s="14">
        <f t="shared" si="37"/>
        <v>42.032324946671778</v>
      </c>
      <c r="BG64" s="22">
        <f t="shared" si="7"/>
        <v>361.07788328211996</v>
      </c>
      <c r="BH64" s="62">
        <f t="shared" si="8"/>
        <v>654.41121661545321</v>
      </c>
      <c r="BI64" s="62">
        <f ca="1">AVERAGE(OFFSET($BH$3,0,0,'Données projet'!$E$11+1,1))-AVERAGE(OFFSET($H$3,0,0,'Données projet'!$E$11+1,1))</f>
        <v>271.30269362742433</v>
      </c>
      <c r="BJ64" s="62">
        <f t="shared" si="38"/>
        <v>296.39988431569537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228.39999999999992</v>
      </c>
      <c r="O65" s="14">
        <f>N65*VLOOKUP('Données projet'!$B$9,Paramètres!$A$1:$I$89,3,0)*VLOOKUP('Données projet'!$B$9,Paramètres!$A$1:$I$89,5,0)</f>
        <v>206.65631999999994</v>
      </c>
      <c r="P65" s="14">
        <f t="shared" si="33"/>
        <v>51.20422634371338</v>
      </c>
      <c r="Q65" s="22">
        <f t="shared" si="53"/>
        <v>449.10711821530072</v>
      </c>
      <c r="R65" s="62">
        <f t="shared" si="0"/>
        <v>742.44045154863397</v>
      </c>
      <c r="S65" s="62">
        <f ca="1">AVERAGE(OFFSET($R$3,0,0,'Données projet'!$E$9+1,1))-AVERAGE(OFFSET($H$3,0,0,'Données projet'!$E$9+1,1))</f>
        <v>429.08703331308703</v>
      </c>
      <c r="T65" s="62">
        <f t="shared" si="34"/>
        <v>231.36959598460675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5.4</v>
      </c>
      <c r="AI65" s="14">
        <f>IF('Données projet'!$A$62&gt;35,AI64+AH65-AQ64,IF(A65&lt;'Données projet'!$A$62,$AF$205^A65,IF(A65='Données projet'!$A$62,'Données projet'!$B$62,AI64+AH65-AQ64)))</f>
        <v>158.80000000000004</v>
      </c>
      <c r="AJ65" s="14">
        <f>AI65*VLOOKUP('Données projet'!$B$10,Paramètres!$A$1:$I$89,3,0)*VLOOKUP('Données projet'!$B$10,Paramètres!$A$1:$I$89,5,0)</f>
        <v>170.93232000000003</v>
      </c>
      <c r="AK65" s="14">
        <f t="shared" si="35"/>
        <v>43.298765738639716</v>
      </c>
      <c r="AL65" s="22">
        <f t="shared" si="4"/>
        <v>373.11914099479759</v>
      </c>
      <c r="AM65" s="62">
        <f t="shared" si="5"/>
        <v>666.45247432813085</v>
      </c>
      <c r="AN65" s="62">
        <f ca="1">AVERAGE(OFFSET($AM$3,0,0,'Données projet'!$E$10+1,1))-AVERAGE(OFFSET($H$3,0,0,'Données projet'!$E$10+1,1))</f>
        <v>377.28543127606366</v>
      </c>
      <c r="AO65" s="62">
        <f t="shared" si="36"/>
        <v>166.97658184507776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3.2</v>
      </c>
      <c r="BD65" s="13">
        <f>IF('Données projet'!$A$88&gt;35,BD64+BC65-BL64,IF(A65&lt;'Données projet'!$A$88,$BA$205^A65,IF(A65='Données projet'!$A$88,'Données projet'!$B$88,BD64+BC65-BL64)))</f>
        <v>192.39999999999992</v>
      </c>
      <c r="BE65" s="14">
        <f>BD65*VLOOKUP('Données projet'!$B$11,Paramètres!$A$1:$I$89,3,0)*VLOOKUP('Données projet'!$B$11,Paramètres!$A$1:$I$89,5,0)</f>
        <v>168.08063999999996</v>
      </c>
      <c r="BF65" s="14">
        <f t="shared" si="37"/>
        <v>42.659867131343425</v>
      </c>
      <c r="BG65" s="22">
        <f t="shared" si="7"/>
        <v>367.03971658708974</v>
      </c>
      <c r="BH65" s="62">
        <f t="shared" si="8"/>
        <v>660.373049920423</v>
      </c>
      <c r="BI65" s="62">
        <f ca="1">AVERAGE(OFFSET($BH$3,0,0,'Données projet'!$E$11+1,1))-AVERAGE(OFFSET($H$3,0,0,'Données projet'!$E$11+1,1))</f>
        <v>271.30269362742433</v>
      </c>
      <c r="BJ65" s="62">
        <f t="shared" si="38"/>
        <v>296.39988431569537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235.59999999999991</v>
      </c>
      <c r="O66" s="14">
        <f>N66*VLOOKUP('Données projet'!$B$9,Paramètres!$A$1:$I$89,3,0)*VLOOKUP('Données projet'!$B$9,Paramètres!$A$1:$I$89,5,0)</f>
        <v>213.17087999999993</v>
      </c>
      <c r="P66" s="14">
        <f t="shared" si="33"/>
        <v>52.627897224631596</v>
      </c>
      <c r="Q66" s="22">
        <f t="shared" si="53"/>
        <v>462.93287033289988</v>
      </c>
      <c r="R66" s="62">
        <f t="shared" si="0"/>
        <v>756.2662036662332</v>
      </c>
      <c r="S66" s="62">
        <f ca="1">AVERAGE(OFFSET($R$3,0,0,'Données projet'!$E$9+1,1))-AVERAGE(OFFSET($H$3,0,0,'Données projet'!$E$9+1,1))</f>
        <v>429.08703331308703</v>
      </c>
      <c r="T66" s="62">
        <f t="shared" si="34"/>
        <v>231.36959598460675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5.4</v>
      </c>
      <c r="AI66" s="14">
        <f>IF('Données projet'!$A$62&gt;35,AI65+AH66-AQ65,IF(A66&lt;'Données projet'!$A$62,$AF$205^A66,IF(A66='Données projet'!$A$62,'Données projet'!$B$62,AI65+AH66-AQ65)))</f>
        <v>164.20000000000005</v>
      </c>
      <c r="AJ66" s="14">
        <f>AI66*VLOOKUP('Données projet'!$B$10,Paramètres!$A$1:$I$89,3,0)*VLOOKUP('Données projet'!$B$10,Paramètres!$A$1:$I$89,5,0)</f>
        <v>176.74488000000002</v>
      </c>
      <c r="AK66" s="14">
        <f t="shared" si="35"/>
        <v>44.59721454265302</v>
      </c>
      <c r="AL66" s="22">
        <f t="shared" si="4"/>
        <v>385.50414799512072</v>
      </c>
      <c r="AM66" s="62">
        <f t="shared" si="5"/>
        <v>678.83748132845403</v>
      </c>
      <c r="AN66" s="62">
        <f ca="1">AVERAGE(OFFSET($AM$3,0,0,'Données projet'!$E$10+1,1))-AVERAGE(OFFSET($H$3,0,0,'Données projet'!$E$10+1,1))</f>
        <v>377.28543127606366</v>
      </c>
      <c r="AO66" s="62">
        <f t="shared" si="36"/>
        <v>166.97658184507776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3.2</v>
      </c>
      <c r="BD66" s="13">
        <f>IF('Données projet'!$A$88&gt;35,BD65+BC66-BL65,IF(A66&lt;'Données projet'!$A$88,$BA$205^A66,IF(A66='Données projet'!$A$88,'Données projet'!$B$88,BD65+BC66-BL65)))</f>
        <v>195.59999999999991</v>
      </c>
      <c r="BE66" s="14">
        <f>BD66*VLOOKUP('Données projet'!$B$11,Paramètres!$A$1:$I$89,3,0)*VLOOKUP('Données projet'!$B$11,Paramètres!$A$1:$I$89,5,0)</f>
        <v>170.87615999999994</v>
      </c>
      <c r="BF66" s="14">
        <f t="shared" si="37"/>
        <v>43.286195531301551</v>
      </c>
      <c r="BG66" s="22">
        <f t="shared" si="7"/>
        <v>372.99943588368342</v>
      </c>
      <c r="BH66" s="62">
        <f t="shared" si="8"/>
        <v>666.33276921701668</v>
      </c>
      <c r="BI66" s="62">
        <f ca="1">AVERAGE(OFFSET($BH$3,0,0,'Données projet'!$E$11+1,1))-AVERAGE(OFFSET($H$3,0,0,'Données projet'!$E$11+1,1))</f>
        <v>271.30269362742433</v>
      </c>
      <c r="BJ66" s="62">
        <f t="shared" si="38"/>
        <v>296.39988431569537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</v>
      </c>
      <c r="O67" s="14">
        <f>N67*VLOOKUP('Données projet'!$B$9,Paramètres!$A$1:$I$89,3,0)*VLOOKUP('Données projet'!$B$9,Paramètres!$A$1:$I$89,5,0)</f>
        <v>219.68543999999989</v>
      </c>
      <c r="P67" s="14">
        <f t="shared" si="33"/>
        <v>54.046511966469559</v>
      </c>
      <c r="Q67" s="22">
        <f t="shared" ref="Q67:Q98" si="54">(O67+P67)*0.475*44/12</f>
        <v>476.74981634160099</v>
      </c>
      <c r="R67" s="62">
        <f t="shared" ref="R67:R130" si="55">Q67+(I67+J67)*44/12</f>
        <v>770.08314967493425</v>
      </c>
      <c r="S67" s="62">
        <f ca="1">AVERAGE(OFFSET($R$3,0,0,'Données projet'!$E$9+1,1))-AVERAGE(OFFSET($H$3,0,0,'Données projet'!$E$9+1,1))</f>
        <v>429.08703331308703</v>
      </c>
      <c r="T67" s="62">
        <f t="shared" si="34"/>
        <v>231.36959598460675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5.4</v>
      </c>
      <c r="AI67" s="14">
        <f>IF('Données projet'!$A$62&gt;35,AI66+AH67-AQ66,IF(A67&lt;'Données projet'!$A$62,$AF$205^A67,IF(A67='Données projet'!$A$62,'Données projet'!$B$62,AI66+AH67-AQ66)))</f>
        <v>169.60000000000005</v>
      </c>
      <c r="AJ67" s="14">
        <f>AI67*VLOOKUP('Données projet'!$B$10,Paramètres!$A$1:$I$89,3,0)*VLOOKUP('Données projet'!$B$10,Paramètres!$A$1:$I$89,5,0)</f>
        <v>182.55744000000004</v>
      </c>
      <c r="AK67" s="14">
        <f t="shared" si="35"/>
        <v>45.890701422165712</v>
      </c>
      <c r="AL67" s="22">
        <f t="shared" si="4"/>
        <v>397.88051297693869</v>
      </c>
      <c r="AM67" s="62">
        <f t="shared" si="5"/>
        <v>691.21384631027195</v>
      </c>
      <c r="AN67" s="62">
        <f ca="1">AVERAGE(OFFSET($AM$3,0,0,'Données projet'!$E$10+1,1))-AVERAGE(OFFSET($H$3,0,0,'Données projet'!$E$10+1,1))</f>
        <v>377.28543127606366</v>
      </c>
      <c r="AO67" s="62">
        <f t="shared" si="36"/>
        <v>166.97658184507776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3.2</v>
      </c>
      <c r="BD67" s="13">
        <f>IF('Données projet'!$A$88&gt;35,BD66+BC67-BL66,IF(A67&lt;'Données projet'!$A$88,$BA$205^A67,IF(A67='Données projet'!$A$88,'Données projet'!$B$88,BD66+BC67-BL66)))</f>
        <v>198.7999999999999</v>
      </c>
      <c r="BE67" s="14">
        <f>BD67*VLOOKUP('Données projet'!$B$11,Paramètres!$A$1:$I$89,3,0)*VLOOKUP('Données projet'!$B$11,Paramètres!$A$1:$I$89,5,0)</f>
        <v>173.67167999999995</v>
      </c>
      <c r="BF67" s="14">
        <f t="shared" si="37"/>
        <v>43.911332296264369</v>
      </c>
      <c r="BG67" s="22">
        <f t="shared" si="7"/>
        <v>378.95707974932702</v>
      </c>
      <c r="BH67" s="62">
        <f t="shared" si="8"/>
        <v>672.29041308266028</v>
      </c>
      <c r="BI67" s="62">
        <f ca="1">AVERAGE(OFFSET($BH$3,0,0,'Données projet'!$E$11+1,1))-AVERAGE(OFFSET($H$3,0,0,'Données projet'!$E$11+1,1))</f>
        <v>271.30269362742433</v>
      </c>
      <c r="BJ67" s="62">
        <f t="shared" si="38"/>
        <v>296.39988431569537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249.99999999999989</v>
      </c>
      <c r="O68" s="14">
        <f>N68*VLOOKUP('Données projet'!$B$9,Paramètres!$A$1:$I$89,3,0)*VLOOKUP('Données projet'!$B$9,Paramètres!$A$1:$I$89,5,0)</f>
        <v>226.19999999999987</v>
      </c>
      <c r="P68" s="14">
        <f t="shared" si="33"/>
        <v>55.460237717698107</v>
      </c>
      <c r="Q68" s="22">
        <f t="shared" si="54"/>
        <v>490.55824735832402</v>
      </c>
      <c r="R68" s="62">
        <f t="shared" si="55"/>
        <v>783.89158069165728</v>
      </c>
      <c r="S68" s="62">
        <f ca="1">AVERAGE(OFFSET($R$3,0,0,'Données projet'!$E$9+1,1))-AVERAGE(OFFSET($H$3,0,0,'Données projet'!$E$9+1,1))</f>
        <v>429.08703331308703</v>
      </c>
      <c r="T68" s="62">
        <f t="shared" si="34"/>
        <v>231.36959598460675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175</v>
      </c>
      <c r="AG68" s="13">
        <f>VLOOKUP(A68,'Données projet'!$A$61:$I$81,9,0)</f>
        <v>5.4</v>
      </c>
      <c r="AH68" s="13">
        <f t="array" ref="AH68">INDEX(AG:AG,MIN(IF(ISNUMBER(AG68:AG264),ROW(AG68:AG264),"")))</f>
        <v>5.4</v>
      </c>
      <c r="AI68" s="14">
        <f>IF('Données projet'!$A$62&gt;35,AI67+AH68-AQ67,IF(A68&lt;'Données projet'!$A$62,$AF$205^A68,IF(A68='Données projet'!$A$62,'Données projet'!$B$62,AI67+AH68-AQ67)))</f>
        <v>175.00000000000006</v>
      </c>
      <c r="AJ68" s="14">
        <f>AI68*VLOOKUP('Données projet'!$B$10,Paramètres!$A$1:$I$89,3,0)*VLOOKUP('Données projet'!$B$10,Paramètres!$A$1:$I$89,5,0)</f>
        <v>188.37000000000006</v>
      </c>
      <c r="AK68" s="14">
        <f t="shared" si="35"/>
        <v>47.179402486491298</v>
      </c>
      <c r="AL68" s="22">
        <f t="shared" ref="AL68:AL131" si="58">(AJ68+AK68)*0.475*44/12</f>
        <v>410.2485426639725</v>
      </c>
      <c r="AM68" s="62">
        <f t="shared" ref="AM68:AM131" si="59">AL68+(AD68+AE68)*44/12</f>
        <v>703.58187599730581</v>
      </c>
      <c r="AN68" s="62">
        <f ca="1">AVERAGE(OFFSET($AM$3,0,0,'Données projet'!$E$10+1,1))-AVERAGE(OFFSET($H$3,0,0,'Données projet'!$E$10+1,1))</f>
        <v>377.28543127606366</v>
      </c>
      <c r="AO68" s="62">
        <f t="shared" si="36"/>
        <v>166.97658184507776</v>
      </c>
      <c r="AP68" s="16">
        <f>IF(ISNA(VLOOKUP(A68,'Données projet'!$A$61:$I$81,3,0)),0,VLOOKUP(A68,'Données projet'!$A$61:$I$81,3,0))</f>
        <v>4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202</v>
      </c>
      <c r="BB68" s="13">
        <f>VLOOKUP(A68,'Données projet'!$A$87:$I$107,9,0)</f>
        <v>3.2</v>
      </c>
      <c r="BC68" s="13">
        <f t="array" ref="BC68">INDEX(BB:BB,MIN(IF(ISNUMBER(BB68:BB264),ROW(BB68:BB264),"")))</f>
        <v>3.2</v>
      </c>
      <c r="BD68" s="13">
        <f>IF('Données projet'!$A$88&gt;35,BD67+BC68-BL67,IF(A68&lt;'Données projet'!$A$88,$BA$205^A68,IF(A68='Données projet'!$A$88,'Données projet'!$B$88,BD67+BC68-BL67)))</f>
        <v>201.99999999999989</v>
      </c>
      <c r="BE68" s="14">
        <f>BD68*VLOOKUP('Données projet'!$B$11,Paramètres!$A$1:$I$89,3,0)*VLOOKUP('Données projet'!$B$11,Paramètres!$A$1:$I$89,5,0)</f>
        <v>176.46719999999993</v>
      </c>
      <c r="BF68" s="14">
        <f t="shared" si="37"/>
        <v>44.535298821989393</v>
      </c>
      <c r="BG68" s="22">
        <f t="shared" ref="BG68:BG131" si="61">(BE68+BF68)*0.475*44/12</f>
        <v>384.91268544829808</v>
      </c>
      <c r="BH68" s="62">
        <f t="shared" ref="BH68:BH131" si="62">BG68+(AY68+AZ68)*44/12</f>
        <v>678.24601878163139</v>
      </c>
      <c r="BI68" s="62">
        <f ca="1">AVERAGE(OFFSET($BH$3,0,0,'Données projet'!$E$11+1,1))-AVERAGE(OFFSET($H$3,0,0,'Données projet'!$E$11+1,1))</f>
        <v>271.30269362742433</v>
      </c>
      <c r="BJ68" s="62">
        <f t="shared" si="38"/>
        <v>296.39988431569537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194.3510399999999</v>
      </c>
      <c r="P69" s="14">
        <f t="shared" ref="P69:P132" si="87">EXP(-1.0587+0.8836*LN(O69)+0.284)</f>
        <v>48.500634729810116</v>
      </c>
      <c r="Q69" s="22">
        <f t="shared" si="54"/>
        <v>422.96666682108577</v>
      </c>
      <c r="R69" s="62">
        <f t="shared" si="55"/>
        <v>716.30000015441908</v>
      </c>
      <c r="S69" s="62">
        <f ca="1">AVERAGE(OFFSET($R$3,0,0,'Données projet'!$E$9+1,1))-AVERAGE(OFFSET($H$3,0,0,'Données projet'!$E$9+1,1))</f>
        <v>429.08703331308703</v>
      </c>
      <c r="T69" s="62">
        <f t="shared" ref="T69:T132" si="88">$T$3</f>
        <v>231.36959598460675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152.00000000000006</v>
      </c>
      <c r="AJ69" s="14">
        <f>AI69*VLOOKUP('Données projet'!$B$10,Paramètres!$A$1:$I$89,3,0)*VLOOKUP('Données projet'!$B$10,Paramètres!$A$1:$I$89,5,0)</f>
        <v>163.61280000000008</v>
      </c>
      <c r="AK69" s="14">
        <f t="shared" ref="AK69:AK132" si="89">EXP(-1.0587+0.8836*LN(AJ69)+0.284)</f>
        <v>41.656330547871846</v>
      </c>
      <c r="AL69" s="22">
        <f t="shared" si="58"/>
        <v>357.51040237087688</v>
      </c>
      <c r="AM69" s="62">
        <f t="shared" si="59"/>
        <v>650.84373570421019</v>
      </c>
      <c r="AN69" s="62">
        <f ca="1">AVERAGE(OFFSET($AM$3,0,0,'Données projet'!$E$10+1,1))-AVERAGE(OFFSET($H$3,0,0,'Données projet'!$E$10+1,1))</f>
        <v>377.28543127606366</v>
      </c>
      <c r="AO69" s="62">
        <f t="shared" ref="AO69:AO132" si="90">$AO$3</f>
        <v>166.97658184507776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</v>
      </c>
      <c r="BD69" s="13">
        <f>IF('Données projet'!$A$88&gt;35,BD68+BC69-BL68,IF(A69&lt;'Données projet'!$A$88,$BA$205^A69,IF(A69='Données projet'!$A$88,'Données projet'!$B$88,BD68+BC69-BL68)))</f>
        <v>204.99999999999989</v>
      </c>
      <c r="BE69" s="14">
        <f>BD69*VLOOKUP('Données projet'!$B$11,Paramètres!$A$1:$I$89,3,0)*VLOOKUP('Données projet'!$B$11,Paramètres!$A$1:$I$89,5,0)</f>
        <v>179.08799999999991</v>
      </c>
      <c r="BF69" s="14">
        <f t="shared" ref="BF69:BF132" si="91">EXP(-1.0587+0.8836*LN(BE69)+0.284)</f>
        <v>45.119223023956835</v>
      </c>
      <c r="BG69" s="22">
        <f t="shared" si="61"/>
        <v>390.49424676672464</v>
      </c>
      <c r="BH69" s="62">
        <f t="shared" si="62"/>
        <v>683.82758010005796</v>
      </c>
      <c r="BI69" s="62">
        <f ca="1">AVERAGE(OFFSET($BH$3,0,0,'Données projet'!$E$11+1,1))-AVERAGE(OFFSET($H$3,0,0,'Données projet'!$E$11+1,1))</f>
        <v>271.30269362742433</v>
      </c>
      <c r="BJ69" s="62">
        <f t="shared" ref="BJ69:BJ132" si="92">$BJ$3</f>
        <v>296.39988431569537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200.50367999999992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429.08703331308703</v>
      </c>
      <c r="T70" s="62">
        <f t="shared" si="88"/>
        <v>231.36959598460675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157.00000000000006</v>
      </c>
      <c r="AJ70" s="14">
        <f>AI70*VLOOKUP('Données projet'!$B$10,Paramètres!$A$1:$I$89,3,0)*VLOOKUP('Données projet'!$B$10,Paramètres!$A$1:$I$89,5,0)</f>
        <v>168.99480000000005</v>
      </c>
      <c r="AK70" s="14">
        <f t="shared" si="89"/>
        <v>42.864814577758281</v>
      </c>
      <c r="AL70" s="22">
        <f t="shared" si="58"/>
        <v>368.9888287229291</v>
      </c>
      <c r="AM70" s="62">
        <f t="shared" si="59"/>
        <v>662.32216205626241</v>
      </c>
      <c r="AN70" s="62">
        <f ca="1">AVERAGE(OFFSET($AM$3,0,0,'Données projet'!$E$10+1,1))-AVERAGE(OFFSET($H$3,0,0,'Données projet'!$E$10+1,1))</f>
        <v>377.28543127606366</v>
      </c>
      <c r="AO70" s="62">
        <f t="shared" si="90"/>
        <v>166.97658184507776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</v>
      </c>
      <c r="BD70" s="13">
        <f>IF('Données projet'!$A$88&gt;35,BD69+BC70-BL69,IF(A70&lt;'Données projet'!$A$88,$BA$205^A70,IF(A70='Données projet'!$A$88,'Données projet'!$B$88,BD69+BC70-BL69)))</f>
        <v>207.99999999999989</v>
      </c>
      <c r="BE70" s="14">
        <f>BD70*VLOOKUP('Données projet'!$B$11,Paramètres!$A$1:$I$89,3,0)*VLOOKUP('Données projet'!$B$11,Paramètres!$A$1:$I$89,5,0)</f>
        <v>181.70879999999991</v>
      </c>
      <c r="BF70" s="14">
        <f t="shared" si="91"/>
        <v>45.702153370067769</v>
      </c>
      <c r="BG70" s="22">
        <f t="shared" si="61"/>
        <v>396.07407711953448</v>
      </c>
      <c r="BH70" s="62">
        <f t="shared" si="62"/>
        <v>689.40741045286779</v>
      </c>
      <c r="BI70" s="62">
        <f ca="1">AVERAGE(OFFSET($BH$3,0,0,'Données projet'!$E$11+1,1))-AVERAGE(OFFSET($H$3,0,0,'Données projet'!$E$11+1,1))</f>
        <v>271.30269362742433</v>
      </c>
      <c r="BJ70" s="62">
        <f t="shared" si="92"/>
        <v>296.39988431569537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429.08703331308703</v>
      </c>
      <c r="T71" s="62">
        <f t="shared" si="88"/>
        <v>231.36959598460675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162.00000000000006</v>
      </c>
      <c r="AJ71" s="14">
        <f>AI71*VLOOKUP('Données projet'!$B$10,Paramètres!$A$1:$I$89,3,0)*VLOOKUP('Données projet'!$B$10,Paramètres!$A$1:$I$89,5,0)</f>
        <v>174.37680000000006</v>
      </c>
      <c r="AK71" s="14">
        <f t="shared" si="89"/>
        <v>44.06882624410639</v>
      </c>
      <c r="AL71" s="22">
        <f t="shared" si="58"/>
        <v>380.45946570848537</v>
      </c>
      <c r="AM71" s="62">
        <f t="shared" si="59"/>
        <v>673.79279904181863</v>
      </c>
      <c r="AN71" s="62">
        <f ca="1">AVERAGE(OFFSET($AM$3,0,0,'Données projet'!$E$10+1,1))-AVERAGE(OFFSET($H$3,0,0,'Données projet'!$E$10+1,1))</f>
        <v>377.28543127606366</v>
      </c>
      <c r="AO71" s="62">
        <f t="shared" si="90"/>
        <v>166.97658184507776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</v>
      </c>
      <c r="BD71" s="13">
        <f>IF('Données projet'!$A$88&gt;35,BD70+BC71-BL70,IF(A71&lt;'Données projet'!$A$88,$BA$205^A71,IF(A71='Données projet'!$A$88,'Données projet'!$B$88,BD70+BC71-BL70)))</f>
        <v>210.99999999999989</v>
      </c>
      <c r="BE71" s="14">
        <f>BD71*VLOOKUP('Données projet'!$B$11,Paramètres!$A$1:$I$89,3,0)*VLOOKUP('Données projet'!$B$11,Paramètres!$A$1:$I$89,5,0)</f>
        <v>184.32959999999994</v>
      </c>
      <c r="BF71" s="14">
        <f t="shared" si="91"/>
        <v>46.284105851003062</v>
      </c>
      <c r="BG71" s="22">
        <f t="shared" si="61"/>
        <v>401.65220435716355</v>
      </c>
      <c r="BH71" s="62">
        <f t="shared" si="62"/>
        <v>694.98553769049681</v>
      </c>
      <c r="BI71" s="62">
        <f ca="1">AVERAGE(OFFSET($BH$3,0,0,'Données projet'!$E$11+1,1))-AVERAGE(OFFSET($H$3,0,0,'Données projet'!$E$11+1,1))</f>
        <v>271.30269362742433</v>
      </c>
      <c r="BJ71" s="62">
        <f t="shared" si="92"/>
        <v>296.39988431569537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212.8089599999999</v>
      </c>
      <c r="P72" s="14">
        <f t="shared" si="87"/>
        <v>52.548938637485847</v>
      </c>
      <c r="Q72" s="22">
        <f t="shared" si="54"/>
        <v>462.16500679362093</v>
      </c>
      <c r="R72" s="62">
        <f t="shared" si="55"/>
        <v>755.49834012695419</v>
      </c>
      <c r="S72" s="62">
        <f ca="1">AVERAGE(OFFSET($R$3,0,0,'Données projet'!$E$9+1,1))-AVERAGE(OFFSET($H$3,0,0,'Données projet'!$E$9+1,1))</f>
        <v>429.08703331308703</v>
      </c>
      <c r="T72" s="62">
        <f t="shared" si="88"/>
        <v>231.36959598460675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167.00000000000006</v>
      </c>
      <c r="AJ72" s="14">
        <f>AI72*VLOOKUP('Données projet'!$B$10,Paramètres!$A$1:$I$89,3,0)*VLOOKUP('Données projet'!$B$10,Paramètres!$A$1:$I$89,5,0)</f>
        <v>179.75880000000006</v>
      </c>
      <c r="AK72" s="14">
        <f t="shared" si="89"/>
        <v>45.26851942328657</v>
      </c>
      <c r="AL72" s="22">
        <f t="shared" si="58"/>
        <v>391.92258132889083</v>
      </c>
      <c r="AM72" s="62">
        <f t="shared" si="59"/>
        <v>685.25591466222409</v>
      </c>
      <c r="AN72" s="62">
        <f ca="1">AVERAGE(OFFSET($AM$3,0,0,'Données projet'!$E$10+1,1))-AVERAGE(OFFSET($H$3,0,0,'Données projet'!$E$10+1,1))</f>
        <v>377.28543127606366</v>
      </c>
      <c r="AO72" s="62">
        <f t="shared" si="90"/>
        <v>166.97658184507776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</v>
      </c>
      <c r="BD72" s="13">
        <f>IF('Données projet'!$A$88&gt;35,BD71+BC72-BL71,IF(A72&lt;'Données projet'!$A$88,$BA$205^A72,IF(A72='Données projet'!$A$88,'Données projet'!$B$88,BD71+BC72-BL71)))</f>
        <v>213.99999999999989</v>
      </c>
      <c r="BE72" s="14">
        <f>BD72*VLOOKUP('Données projet'!$B$11,Paramètres!$A$1:$I$89,3,0)*VLOOKUP('Données projet'!$B$11,Paramètres!$A$1:$I$89,5,0)</f>
        <v>186.95039999999992</v>
      </c>
      <c r="BF72" s="14">
        <f t="shared" si="91"/>
        <v>46.86509597661761</v>
      </c>
      <c r="BG72" s="22">
        <f t="shared" si="61"/>
        <v>407.22865549260882</v>
      </c>
      <c r="BH72" s="62">
        <f t="shared" si="62"/>
        <v>700.56198882594208</v>
      </c>
      <c r="BI72" s="62">
        <f ca="1">AVERAGE(OFFSET($BH$3,0,0,'Données projet'!$E$11+1,1))-AVERAGE(OFFSET($H$3,0,0,'Données projet'!$E$11+1,1))</f>
        <v>271.30269362742433</v>
      </c>
      <c r="BJ72" s="62">
        <f t="shared" si="92"/>
        <v>296.39988431569537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218.96159999999995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429.08703331308703</v>
      </c>
      <c r="T73" s="62">
        <f t="shared" si="88"/>
        <v>231.36959598460675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172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172.00000000000006</v>
      </c>
      <c r="AJ73" s="14">
        <f>AI73*VLOOKUP('Données projet'!$B$10,Paramètres!$A$1:$I$89,3,0)*VLOOKUP('Données projet'!$B$10,Paramètres!$A$1:$I$89,5,0)</f>
        <v>185.14080000000007</v>
      </c>
      <c r="AK73" s="14">
        <f t="shared" si="89"/>
        <v>46.464038253813506</v>
      </c>
      <c r="AL73" s="22">
        <f t="shared" si="58"/>
        <v>403.37842662539197</v>
      </c>
      <c r="AM73" s="62">
        <f t="shared" si="59"/>
        <v>696.71175995872522</v>
      </c>
      <c r="AN73" s="62">
        <f ca="1">AVERAGE(OFFSET($AM$3,0,0,'Données projet'!$E$10+1,1))-AVERAGE(OFFSET($H$3,0,0,'Données projet'!$E$10+1,1))</f>
        <v>377.28543127606366</v>
      </c>
      <c r="AO73" s="62">
        <f t="shared" si="90"/>
        <v>166.97658184507776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217</v>
      </c>
      <c r="BB73" s="13">
        <f>VLOOKUP(A73,'Données projet'!$A$87:$I$107,9,0)</f>
        <v>3</v>
      </c>
      <c r="BC73" s="13">
        <f t="array" ref="BC73">INDEX(BB:BB,MIN(IF(ISNUMBER(BB73:BB269),ROW(BB73:BB269),"")))</f>
        <v>3</v>
      </c>
      <c r="BD73" s="13">
        <f>IF('Données projet'!$A$88&gt;35,BD72+BC73-BL72,IF(A73&lt;'Données projet'!$A$88,$BA$205^A73,IF(A73='Données projet'!$A$88,'Données projet'!$B$88,BD72+BC73-BL72)))</f>
        <v>216.99999999999989</v>
      </c>
      <c r="BE73" s="14">
        <f>BD73*VLOOKUP('Données projet'!$B$11,Paramètres!$A$1:$I$89,3,0)*VLOOKUP('Données projet'!$B$11,Paramètres!$A$1:$I$89,5,0)</f>
        <v>189.57119999999995</v>
      </c>
      <c r="BF73" s="14">
        <f t="shared" si="91"/>
        <v>47.44513879693244</v>
      </c>
      <c r="BG73" s="22">
        <f t="shared" si="61"/>
        <v>412.80345673799053</v>
      </c>
      <c r="BH73" s="62">
        <f t="shared" si="62"/>
        <v>706.13679007132384</v>
      </c>
      <c r="BI73" s="62">
        <f ca="1">AVERAGE(OFFSET($BH$3,0,0,'Données projet'!$E$11+1,1))-AVERAGE(OFFSET($H$3,0,0,'Données projet'!$E$11+1,1))</f>
        <v>271.30269362742433</v>
      </c>
      <c r="BJ73" s="62">
        <f t="shared" si="92"/>
        <v>296.39988431569537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16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224.57135999999994</v>
      </c>
      <c r="P74" s="14">
        <f t="shared" si="87"/>
        <v>55.107255873104265</v>
      </c>
      <c r="Q74" s="22">
        <f t="shared" si="54"/>
        <v>487.10692264565643</v>
      </c>
      <c r="R74" s="62">
        <f t="shared" si="55"/>
        <v>780.44025597898974</v>
      </c>
      <c r="S74" s="62">
        <f ca="1">AVERAGE(OFFSET($R$3,0,0,'Données projet'!$E$9+1,1))-AVERAGE(OFFSET($H$3,0,0,'Données projet'!$E$9+1,1))</f>
        <v>429.08703331308703</v>
      </c>
      <c r="T74" s="62">
        <f t="shared" si="88"/>
        <v>231.36959598460675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2.2000000000000002</v>
      </c>
      <c r="AI74" s="14">
        <f>IF('Données projet'!$A$62&gt;35,AI73+AH74-AQ73,IF(A74&lt;'Données projet'!$A$62,$AF$205^A74,IF(A74='Données projet'!$A$62,'Données projet'!$B$62,AI73+AH74-AQ73)))</f>
        <v>174.20000000000005</v>
      </c>
      <c r="AJ74" s="14">
        <f>AI74*VLOOKUP('Données projet'!$B$10,Paramètres!$A$1:$I$89,3,0)*VLOOKUP('Données projet'!$B$10,Paramètres!$A$1:$I$89,5,0)</f>
        <v>187.50888000000003</v>
      </c>
      <c r="AK74" s="14">
        <f t="shared" si="89"/>
        <v>46.988779262414276</v>
      </c>
      <c r="AL74" s="22">
        <f t="shared" si="58"/>
        <v>408.41675654870488</v>
      </c>
      <c r="AM74" s="62">
        <f t="shared" si="59"/>
        <v>701.7500898820382</v>
      </c>
      <c r="AN74" s="62">
        <f ca="1">AVERAGE(OFFSET($AM$3,0,0,'Données projet'!$E$10+1,1))-AVERAGE(OFFSET($H$3,0,0,'Données projet'!$E$10+1,1))</f>
        <v>377.28543127606366</v>
      </c>
      <c r="AO74" s="62">
        <f t="shared" si="90"/>
        <v>166.97658184507776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2.6</v>
      </c>
      <c r="BD74" s="13">
        <f>IF('Données projet'!$A$88&gt;35,BD73+BC74-BL73,IF(A74&lt;'Données projet'!$A$88,$BA$205^A74,IF(A74='Données projet'!$A$88,'Données projet'!$B$88,BD73+BC74-BL73)))</f>
        <v>203.59999999999988</v>
      </c>
      <c r="BE74" s="14">
        <f>BD74*VLOOKUP('Données projet'!$B$11,Paramètres!$A$1:$I$89,3,0)*VLOOKUP('Données projet'!$B$11,Paramètres!$A$1:$I$89,5,0)</f>
        <v>177.86495999999994</v>
      </c>
      <c r="BF74" s="14">
        <f t="shared" si="91"/>
        <v>44.846849734353725</v>
      </c>
      <c r="BG74" s="22">
        <f t="shared" si="61"/>
        <v>387.8897352873326</v>
      </c>
      <c r="BH74" s="62">
        <f t="shared" si="62"/>
        <v>681.22306862066591</v>
      </c>
      <c r="BI74" s="62">
        <f ca="1">AVERAGE(OFFSET($BH$3,0,0,'Données projet'!$E$11+1,1))-AVERAGE(OFFSET($H$3,0,0,'Données projet'!$E$11+1,1))</f>
        <v>271.30269362742433</v>
      </c>
      <c r="BJ74" s="62">
        <f t="shared" si="92"/>
        <v>296.39988431569537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230.18111999999991</v>
      </c>
      <c r="P75" s="14">
        <f t="shared" si="87"/>
        <v>56.321842115392933</v>
      </c>
      <c r="Q75" s="22">
        <f t="shared" si="54"/>
        <v>498.99265901764255</v>
      </c>
      <c r="R75" s="62">
        <f t="shared" si="55"/>
        <v>792.32599235097587</v>
      </c>
      <c r="S75" s="62">
        <f ca="1">AVERAGE(OFFSET($R$3,0,0,'Données projet'!$E$9+1,1))-AVERAGE(OFFSET($H$3,0,0,'Données projet'!$E$9+1,1))</f>
        <v>429.08703331308703</v>
      </c>
      <c r="T75" s="62">
        <f t="shared" si="88"/>
        <v>231.36959598460675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2.2000000000000002</v>
      </c>
      <c r="AI75" s="14">
        <f>IF('Données projet'!$A$62&gt;35,AI74+AH75-AQ74,IF(A75&lt;'Données projet'!$A$62,$AF$205^A75,IF(A75='Données projet'!$A$62,'Données projet'!$B$62,AI74+AH75-AQ74)))</f>
        <v>176.40000000000003</v>
      </c>
      <c r="AJ75" s="14">
        <f>AI75*VLOOKUP('Données projet'!$B$10,Paramètres!$A$1:$I$89,3,0)*VLOOKUP('Données projet'!$B$10,Paramètres!$A$1:$I$89,5,0)</f>
        <v>189.87696000000003</v>
      </c>
      <c r="AK75" s="14">
        <f t="shared" si="89"/>
        <v>47.512749428695443</v>
      </c>
      <c r="AL75" s="22">
        <f t="shared" si="58"/>
        <v>413.45374392164462</v>
      </c>
      <c r="AM75" s="62">
        <f t="shared" si="59"/>
        <v>706.78707725497793</v>
      </c>
      <c r="AN75" s="62">
        <f ca="1">AVERAGE(OFFSET($AM$3,0,0,'Données projet'!$E$10+1,1))-AVERAGE(OFFSET($H$3,0,0,'Données projet'!$E$10+1,1))</f>
        <v>377.28543127606366</v>
      </c>
      <c r="AO75" s="62">
        <f t="shared" si="90"/>
        <v>166.97658184507776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2.6</v>
      </c>
      <c r="BD75" s="13">
        <f>IF('Données projet'!$A$88&gt;35,BD74+BC75-BL74,IF(A75&lt;'Données projet'!$A$88,$BA$205^A75,IF(A75='Données projet'!$A$88,'Données projet'!$B$88,BD74+BC75-BL74)))</f>
        <v>206.19999999999987</v>
      </c>
      <c r="BE75" s="14">
        <f>BD75*VLOOKUP('Données projet'!$B$11,Paramètres!$A$1:$I$89,3,0)*VLOOKUP('Données projet'!$B$11,Paramètres!$A$1:$I$89,5,0)</f>
        <v>180.1363199999999</v>
      </c>
      <c r="BF75" s="14">
        <f t="shared" si="91"/>
        <v>45.352513518602102</v>
      </c>
      <c r="BG75" s="22">
        <f t="shared" si="61"/>
        <v>392.72638504489845</v>
      </c>
      <c r="BH75" s="62">
        <f t="shared" si="62"/>
        <v>686.05971837823176</v>
      </c>
      <c r="BI75" s="62">
        <f ca="1">AVERAGE(OFFSET($BH$3,0,0,'Données projet'!$E$11+1,1))-AVERAGE(OFFSET($H$3,0,0,'Données projet'!$E$11+1,1))</f>
        <v>271.30269362742433</v>
      </c>
      <c r="BJ75" s="62">
        <f t="shared" si="92"/>
        <v>296.39988431569537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235.7908799999999</v>
      </c>
      <c r="P76" s="14">
        <f t="shared" si="87"/>
        <v>57.532987351107714</v>
      </c>
      <c r="Q76" s="22">
        <f t="shared" si="54"/>
        <v>510.87240230317911</v>
      </c>
      <c r="R76" s="62">
        <f t="shared" si="55"/>
        <v>804.20573563651237</v>
      </c>
      <c r="S76" s="62">
        <f ca="1">AVERAGE(OFFSET($R$3,0,0,'Données projet'!$E$9+1,1))-AVERAGE(OFFSET($H$3,0,0,'Données projet'!$E$9+1,1))</f>
        <v>429.08703331308703</v>
      </c>
      <c r="T76" s="62">
        <f t="shared" si="88"/>
        <v>231.36959598460675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2.2000000000000002</v>
      </c>
      <c r="AI76" s="14">
        <f>IF('Données projet'!$A$62&gt;35,AI75+AH76-AQ75,IF(A76&lt;'Données projet'!$A$62,$AF$205^A76,IF(A76='Données projet'!$A$62,'Données projet'!$B$62,AI75+AH76-AQ75)))</f>
        <v>178.60000000000002</v>
      </c>
      <c r="AJ76" s="14">
        <f>AI76*VLOOKUP('Données projet'!$B$10,Paramètres!$A$1:$I$89,3,0)*VLOOKUP('Données projet'!$B$10,Paramètres!$A$1:$I$89,5,0)</f>
        <v>192.24504000000002</v>
      </c>
      <c r="AK76" s="14">
        <f t="shared" si="89"/>
        <v>48.035959478141606</v>
      </c>
      <c r="AL76" s="22">
        <f t="shared" si="58"/>
        <v>418.48940742443</v>
      </c>
      <c r="AM76" s="62">
        <f t="shared" si="59"/>
        <v>711.82274075776331</v>
      </c>
      <c r="AN76" s="62">
        <f ca="1">AVERAGE(OFFSET($AM$3,0,0,'Données projet'!$E$10+1,1))-AVERAGE(OFFSET($H$3,0,0,'Données projet'!$E$10+1,1))</f>
        <v>377.28543127606366</v>
      </c>
      <c r="AO76" s="62">
        <f t="shared" si="90"/>
        <v>166.97658184507776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2.6</v>
      </c>
      <c r="BD76" s="13">
        <f>IF('Données projet'!$A$88&gt;35,BD75+BC76-BL75,IF(A76&lt;'Données projet'!$A$88,$BA$205^A76,IF(A76='Données projet'!$A$88,'Données projet'!$B$88,BD75+BC76-BL75)))</f>
        <v>208.79999999999987</v>
      </c>
      <c r="BE76" s="14">
        <f>BD76*VLOOKUP('Données projet'!$B$11,Paramètres!$A$1:$I$89,3,0)*VLOOKUP('Données projet'!$B$11,Paramètres!$A$1:$I$89,5,0)</f>
        <v>182.40767999999991</v>
      </c>
      <c r="BF76" s="14">
        <f t="shared" si="91"/>
        <v>45.857435663065921</v>
      </c>
      <c r="BG76" s="22">
        <f t="shared" si="61"/>
        <v>397.56174311317301</v>
      </c>
      <c r="BH76" s="62">
        <f t="shared" si="62"/>
        <v>690.89507644650632</v>
      </c>
      <c r="BI76" s="62">
        <f ca="1">AVERAGE(OFFSET($BH$3,0,0,'Données projet'!$E$11+1,1))-AVERAGE(OFFSET($H$3,0,0,'Données projet'!$E$11+1,1))</f>
        <v>271.30269362742433</v>
      </c>
      <c r="BJ76" s="62">
        <f t="shared" si="92"/>
        <v>296.39988431569537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241.40063999999992</v>
      </c>
      <c r="P77" s="14">
        <f t="shared" si="87"/>
        <v>58.740782866262698</v>
      </c>
      <c r="Q77" s="22">
        <f t="shared" si="54"/>
        <v>522.74631149207403</v>
      </c>
      <c r="R77" s="62">
        <f t="shared" si="55"/>
        <v>816.07964482540729</v>
      </c>
      <c r="S77" s="62">
        <f ca="1">AVERAGE(OFFSET($R$3,0,0,'Données projet'!$E$9+1,1))-AVERAGE(OFFSET($H$3,0,0,'Données projet'!$E$9+1,1))</f>
        <v>429.08703331308703</v>
      </c>
      <c r="T77" s="62">
        <f t="shared" si="88"/>
        <v>231.36959598460675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2.2000000000000002</v>
      </c>
      <c r="AI77" s="14">
        <f>IF('Données projet'!$A$62&gt;35,AI76+AH77-AQ76,IF(A77&lt;'Données projet'!$A$62,$AF$205^A77,IF(A77='Données projet'!$A$62,'Données projet'!$B$62,AI76+AH77-AQ76)))</f>
        <v>180.8</v>
      </c>
      <c r="AJ77" s="14">
        <f>AI77*VLOOKUP('Données projet'!$B$10,Paramètres!$A$1:$I$89,3,0)*VLOOKUP('Données projet'!$B$10,Paramètres!$A$1:$I$89,5,0)</f>
        <v>194.61312000000001</v>
      </c>
      <c r="AK77" s="14">
        <f t="shared" si="89"/>
        <v>48.558419856804839</v>
      </c>
      <c r="AL77" s="22">
        <f t="shared" si="58"/>
        <v>423.5237652506018</v>
      </c>
      <c r="AM77" s="62">
        <f t="shared" si="59"/>
        <v>716.85709858393511</v>
      </c>
      <c r="AN77" s="62">
        <f ca="1">AVERAGE(OFFSET($AM$3,0,0,'Données projet'!$E$10+1,1))-AVERAGE(OFFSET($H$3,0,0,'Données projet'!$E$10+1,1))</f>
        <v>377.28543127606366</v>
      </c>
      <c r="AO77" s="62">
        <f t="shared" si="90"/>
        <v>166.97658184507776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2.6</v>
      </c>
      <c r="BD77" s="13">
        <f>IF('Données projet'!$A$88&gt;35,BD76+BC77-BL76,IF(A77&lt;'Données projet'!$A$88,$BA$205^A77,IF(A77='Données projet'!$A$88,'Données projet'!$B$88,BD76+BC77-BL76)))</f>
        <v>211.39999999999986</v>
      </c>
      <c r="BE77" s="14">
        <f>BD77*VLOOKUP('Données projet'!$B$11,Paramètres!$A$1:$I$89,3,0)*VLOOKUP('Données projet'!$B$11,Paramètres!$A$1:$I$89,5,0)</f>
        <v>184.6790399999999</v>
      </c>
      <c r="BF77" s="14">
        <f t="shared" si="91"/>
        <v>46.361626470742181</v>
      </c>
      <c r="BG77" s="22">
        <f t="shared" si="61"/>
        <v>402.39582743654245</v>
      </c>
      <c r="BH77" s="62">
        <f t="shared" si="62"/>
        <v>695.72916076987576</v>
      </c>
      <c r="BI77" s="62">
        <f ca="1">AVERAGE(OFFSET($BH$3,0,0,'Données projet'!$E$11+1,1))-AVERAGE(OFFSET($H$3,0,0,'Données projet'!$E$11+1,1))</f>
        <v>271.30269362742433</v>
      </c>
      <c r="BJ77" s="62">
        <f t="shared" si="92"/>
        <v>296.39988431569537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247.01039999999989</v>
      </c>
      <c r="P78" s="14">
        <f t="shared" si="87"/>
        <v>59.945315462121812</v>
      </c>
      <c r="Q78" s="22">
        <f t="shared" si="54"/>
        <v>534.61453776319524</v>
      </c>
      <c r="R78" s="62">
        <f t="shared" si="55"/>
        <v>827.94787109652862</v>
      </c>
      <c r="S78" s="62">
        <f ca="1">AVERAGE(OFFSET($R$3,0,0,'Données projet'!$E$9+1,1))-AVERAGE(OFFSET($H$3,0,0,'Données projet'!$E$9+1,1))</f>
        <v>429.08703331308703</v>
      </c>
      <c r="T78" s="62">
        <f t="shared" si="88"/>
        <v>231.36959598460675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2.2000000000000002</v>
      </c>
      <c r="AH78" s="13">
        <f t="array" ref="AH78">INDEX(AG:AG,MIN(IF(ISNUMBER(AG78:AG274),ROW(AG78:AG274),"")))</f>
        <v>2.2000000000000002</v>
      </c>
      <c r="AI78" s="14">
        <f>IF('Données projet'!$A$62&gt;35,AI77+AH78-AQ77,IF(A78&lt;'Données projet'!$A$62,$AF$205^A78,IF(A78='Données projet'!$A$62,'Données projet'!$B$62,AI77+AH78-AQ77)))</f>
        <v>183</v>
      </c>
      <c r="AJ78" s="14">
        <f>AI78*VLOOKUP('Données projet'!$B$10,Paramètres!$A$1:$I$89,3,0)*VLOOKUP('Données projet'!$B$10,Paramètres!$A$1:$I$89,5,0)</f>
        <v>196.9812</v>
      </c>
      <c r="AK78" s="14">
        <f t="shared" si="89"/>
        <v>49.080140741894134</v>
      </c>
      <c r="AL78" s="22">
        <f t="shared" si="58"/>
        <v>428.55683512546557</v>
      </c>
      <c r="AM78" s="62">
        <f t="shared" si="59"/>
        <v>721.89016845879883</v>
      </c>
      <c r="AN78" s="62">
        <f ca="1">AVERAGE(OFFSET($AM$3,0,0,'Données projet'!$E$10+1,1))-AVERAGE(OFFSET($H$3,0,0,'Données projet'!$E$10+1,1))</f>
        <v>377.28543127606366</v>
      </c>
      <c r="AO78" s="62">
        <f t="shared" si="90"/>
        <v>166.97658184507776</v>
      </c>
      <c r="AP78" s="16">
        <f>IF(ISNA(VLOOKUP(A78,'Données projet'!$A$61:$I$81,3,0)),0,VLOOKUP(A78,'Données projet'!$A$61:$I$81,3,0))</f>
        <v>5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214</v>
      </c>
      <c r="BB78" s="13">
        <f>VLOOKUP(A78,'Données projet'!$A$87:$I$107,9,0)</f>
        <v>2.6</v>
      </c>
      <c r="BC78" s="13">
        <f t="array" ref="BC78">INDEX(BB:BB,MIN(IF(ISNUMBER(BB78:BB274),ROW(BB78:BB274),"")))</f>
        <v>2.6</v>
      </c>
      <c r="BD78" s="13">
        <f>IF('Données projet'!$A$88&gt;35,BD77+BC78-BL77,IF(A78&lt;'Données projet'!$A$88,$BA$205^A78,IF(A78='Données projet'!$A$88,'Données projet'!$B$88,BD77+BC78-BL77)))</f>
        <v>213.99999999999986</v>
      </c>
      <c r="BE78" s="14">
        <f>BD78*VLOOKUP('Données projet'!$B$11,Paramètres!$A$1:$I$89,3,0)*VLOOKUP('Données projet'!$B$11,Paramètres!$A$1:$I$89,5,0)</f>
        <v>186.95039999999989</v>
      </c>
      <c r="BF78" s="14">
        <f t="shared" si="91"/>
        <v>46.86509597661761</v>
      </c>
      <c r="BG78" s="22">
        <f t="shared" si="61"/>
        <v>407.22865549260882</v>
      </c>
      <c r="BH78" s="62">
        <f t="shared" si="62"/>
        <v>700.56198882594208</v>
      </c>
      <c r="BI78" s="62">
        <f ca="1">AVERAGE(OFFSET($BH$3,0,0,'Données projet'!$E$11+1,1))-AVERAGE(OFFSET($H$3,0,0,'Données projet'!$E$11+1,1))</f>
        <v>271.30269362742433</v>
      </c>
      <c r="BJ78" s="62">
        <f t="shared" si="92"/>
        <v>296.39988431569537</v>
      </c>
      <c r="BK78" s="16">
        <f>IF(ISNA(VLOOKUP(A78,'Données projet'!$A$87:$I$107,3,0)),0,VLOOKUP(A78,'Données projet'!$A$87:$I$107,3,0))</f>
        <v>7</v>
      </c>
      <c r="BL78" s="16">
        <f>IF(ISNA(VLOOKUP(A78,'Données projet'!$A$87:$I$107,4,0)),0,VLOOKUP(A78,'Données projet'!$A$87:$I$107,4,0))</f>
        <v>7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236.89999999999986</v>
      </c>
      <c r="O79" s="14">
        <f>N79*VLOOKUP('Données projet'!$B$9,Paramètres!$A$1:$I$89,3,0)*VLOOKUP('Données projet'!$B$9,Paramètres!$A$1:$I$89,5,0)</f>
        <v>214.34711999999985</v>
      </c>
      <c r="P79" s="14">
        <f t="shared" si="87"/>
        <v>52.884405030781778</v>
      </c>
      <c r="Q79" s="22">
        <f t="shared" si="54"/>
        <v>465.42823942861133</v>
      </c>
      <c r="R79" s="62">
        <f t="shared" si="55"/>
        <v>758.76157276194465</v>
      </c>
      <c r="S79" s="62">
        <f ca="1">AVERAGE(OFFSET($R$3,0,0,'Données projet'!$E$9+1,1))-AVERAGE(OFFSET($H$3,0,0,'Données projet'!$E$9+1,1))</f>
        <v>429.08703331308703</v>
      </c>
      <c r="T79" s="62">
        <f t="shared" si="88"/>
        <v>231.36959598460675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IF('Données projet'!$A$62&gt;35,AI78+AH79-AQ78,IF(A79&lt;'Données projet'!$A$62,$AF$205^A79,IF(A79='Données projet'!$A$62,'Données projet'!$B$62,AI78+AH79-AQ78)))</f>
        <v>160.9</v>
      </c>
      <c r="AJ79" s="14">
        <f>AI79*VLOOKUP('Données projet'!$B$10,Paramètres!$A$1:$I$89,3,0)*VLOOKUP('Données projet'!$B$10,Paramètres!$A$1:$I$89,5,0)</f>
        <v>173.19276000000002</v>
      </c>
      <c r="AK79" s="14">
        <f t="shared" si="89"/>
        <v>43.80431941507441</v>
      </c>
      <c r="AL79" s="22">
        <f t="shared" si="58"/>
        <v>377.93657998125462</v>
      </c>
      <c r="AM79" s="62">
        <f t="shared" si="59"/>
        <v>671.26991331458794</v>
      </c>
      <c r="AN79" s="62">
        <f ca="1">AVERAGE(OFFSET($AM$3,0,0,'Données projet'!$E$10+1,1))-AVERAGE(OFFSET($H$3,0,0,'Données projet'!$E$10+1,1))</f>
        <v>377.28543127606366</v>
      </c>
      <c r="AO79" s="62">
        <f t="shared" si="90"/>
        <v>166.97658184507776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2.4</v>
      </c>
      <c r="BD79" s="13">
        <f>IF('Données projet'!$A$88&gt;35,BD78+BC79-BL78,IF(A79&lt;'Données projet'!$A$88,$BA$205^A79,IF(A79='Données projet'!$A$88,'Données projet'!$B$88,BD78+BC79-BL78)))</f>
        <v>209.39999999999986</v>
      </c>
      <c r="BE79" s="14">
        <f>BD79*VLOOKUP('Données projet'!$B$11,Paramètres!$A$1:$I$89,3,0)*VLOOKUP('Données projet'!$B$11,Paramètres!$A$1:$I$89,5,0)</f>
        <v>182.93183999999991</v>
      </c>
      <c r="BF79" s="14">
        <f t="shared" si="91"/>
        <v>45.973851929814643</v>
      </c>
      <c r="BG79" s="22">
        <f t="shared" si="61"/>
        <v>398.67741344442697</v>
      </c>
      <c r="BH79" s="62">
        <f t="shared" si="62"/>
        <v>692.01074677776023</v>
      </c>
      <c r="BI79" s="62">
        <f ca="1">AVERAGE(OFFSET($BH$3,0,0,'Données projet'!$E$11+1,1))-AVERAGE(OFFSET($H$3,0,0,'Données projet'!$E$11+1,1))</f>
        <v>271.30269362742433</v>
      </c>
      <c r="BJ79" s="62">
        <f t="shared" si="92"/>
        <v>296.39988431569537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242.79999999999987</v>
      </c>
      <c r="O80" s="14">
        <f>N80*VLOOKUP('Données projet'!$B$9,Paramètres!$A$1:$I$89,3,0)*VLOOKUP('Données projet'!$B$9,Paramètres!$A$1:$I$89,5,0)</f>
        <v>219.68543999999989</v>
      </c>
      <c r="P80" s="14">
        <f t="shared" si="87"/>
        <v>54.046511966469559</v>
      </c>
      <c r="Q80" s="22">
        <f t="shared" si="54"/>
        <v>476.74981634160099</v>
      </c>
      <c r="R80" s="62">
        <f t="shared" si="55"/>
        <v>770.08314967493425</v>
      </c>
      <c r="S80" s="62">
        <f ca="1">AVERAGE(OFFSET($R$3,0,0,'Données projet'!$E$9+1,1))-AVERAGE(OFFSET($H$3,0,0,'Données projet'!$E$9+1,1))</f>
        <v>429.08703331308703</v>
      </c>
      <c r="T80" s="62">
        <f t="shared" si="88"/>
        <v>231.36959598460675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IF('Données projet'!$A$62&gt;35,AI79+AH80-AQ79,IF(A80&lt;'Données projet'!$A$62,$AF$205^A80,IF(A80='Données projet'!$A$62,'Données projet'!$B$62,AI79+AH80-AQ79)))</f>
        <v>166.8</v>
      </c>
      <c r="AJ80" s="14">
        <f>AI80*VLOOKUP('Données projet'!$B$10,Paramètres!$A$1:$I$89,3,0)*VLOOKUP('Données projet'!$B$10,Paramètres!$A$1:$I$89,5,0)</f>
        <v>179.54352</v>
      </c>
      <c r="AK80" s="14">
        <f t="shared" si="89"/>
        <v>45.22061277301308</v>
      </c>
      <c r="AL80" s="22">
        <f t="shared" si="58"/>
        <v>391.46419791299769</v>
      </c>
      <c r="AM80" s="62">
        <f t="shared" si="59"/>
        <v>684.797531246331</v>
      </c>
      <c r="AN80" s="62">
        <f ca="1">AVERAGE(OFFSET($AM$3,0,0,'Données projet'!$E$10+1,1))-AVERAGE(OFFSET($H$3,0,0,'Données projet'!$E$10+1,1))</f>
        <v>377.28543127606366</v>
      </c>
      <c r="AO80" s="62">
        <f t="shared" si="90"/>
        <v>166.97658184507776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2.4</v>
      </c>
      <c r="BD80" s="13">
        <f>IF('Données projet'!$A$88&gt;35,BD79+BC80-BL79,IF(A80&lt;'Données projet'!$A$88,$BA$205^A80,IF(A80='Données projet'!$A$88,'Données projet'!$B$88,BD79+BC80-BL79)))</f>
        <v>211.79999999999987</v>
      </c>
      <c r="BE80" s="14">
        <f>BD80*VLOOKUP('Données projet'!$B$11,Paramètres!$A$1:$I$89,3,0)*VLOOKUP('Données projet'!$B$11,Paramètres!$A$1:$I$89,5,0)</f>
        <v>185.02847999999989</v>
      </c>
      <c r="BF80" s="14">
        <f t="shared" si="91"/>
        <v>46.439130018745807</v>
      </c>
      <c r="BG80" s="22">
        <f t="shared" si="61"/>
        <v>403.13942078264876</v>
      </c>
      <c r="BH80" s="62">
        <f t="shared" si="62"/>
        <v>696.47275411598207</v>
      </c>
      <c r="BI80" s="62">
        <f ca="1">AVERAGE(OFFSET($BH$3,0,0,'Données projet'!$E$11+1,1))-AVERAGE(OFFSET($H$3,0,0,'Données projet'!$E$11+1,1))</f>
        <v>271.30269362742433</v>
      </c>
      <c r="BJ80" s="62">
        <f t="shared" si="92"/>
        <v>296.39988431569537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248.69999999999987</v>
      </c>
      <c r="O81" s="14">
        <f>N81*VLOOKUP('Données projet'!$B$9,Paramètres!$A$1:$I$89,3,0)*VLOOKUP('Données projet'!$B$9,Paramètres!$A$1:$I$89,5,0)</f>
        <v>225.0237599999999</v>
      </c>
      <c r="P81" s="14">
        <f t="shared" si="87"/>
        <v>55.205336184590408</v>
      </c>
      <c r="Q81" s="22">
        <f t="shared" si="54"/>
        <v>488.06567585482804</v>
      </c>
      <c r="R81" s="62">
        <f t="shared" si="55"/>
        <v>781.39900918816136</v>
      </c>
      <c r="S81" s="62">
        <f ca="1">AVERAGE(OFFSET($R$3,0,0,'Données projet'!$E$9+1,1))-AVERAGE(OFFSET($H$3,0,0,'Données projet'!$E$9+1,1))</f>
        <v>429.08703331308703</v>
      </c>
      <c r="T81" s="62">
        <f t="shared" si="88"/>
        <v>231.36959598460675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</v>
      </c>
      <c r="AI81" s="14">
        <f>IF('Données projet'!$A$62&gt;35,AI80+AH81-AQ80,IF(A81&lt;'Données projet'!$A$62,$AF$205^A81,IF(A81='Données projet'!$A$62,'Données projet'!$B$62,AI80+AH81-AQ80)))</f>
        <v>172.70000000000002</v>
      </c>
      <c r="AJ81" s="14">
        <f>AI81*VLOOKUP('Données projet'!$B$10,Paramètres!$A$1:$I$89,3,0)*VLOOKUP('Données projet'!$B$10,Paramètres!$A$1:$I$89,5,0)</f>
        <v>185.89428000000001</v>
      </c>
      <c r="AK81" s="14">
        <f t="shared" si="89"/>
        <v>46.631085580034373</v>
      </c>
      <c r="AL81" s="22">
        <f t="shared" si="58"/>
        <v>404.98167838522659</v>
      </c>
      <c r="AM81" s="62">
        <f t="shared" si="59"/>
        <v>698.31501171855984</v>
      </c>
      <c r="AN81" s="62">
        <f ca="1">AVERAGE(OFFSET($AM$3,0,0,'Données projet'!$E$10+1,1))-AVERAGE(OFFSET($H$3,0,0,'Données projet'!$E$10+1,1))</f>
        <v>377.28543127606366</v>
      </c>
      <c r="AO81" s="62">
        <f t="shared" si="90"/>
        <v>166.97658184507776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2.4</v>
      </c>
      <c r="BD81" s="13">
        <f>IF('Données projet'!$A$88&gt;35,BD80+BC81-BL80,IF(A81&lt;'Données projet'!$A$88,$BA$205^A81,IF(A81='Données projet'!$A$88,'Données projet'!$B$88,BD80+BC81-BL80)))</f>
        <v>214.19999999999987</v>
      </c>
      <c r="BE81" s="14">
        <f>BD81*VLOOKUP('Données projet'!$B$11,Paramètres!$A$1:$I$89,3,0)*VLOOKUP('Données projet'!$B$11,Paramètres!$A$1:$I$89,5,0)</f>
        <v>187.12511999999992</v>
      </c>
      <c r="BF81" s="14">
        <f t="shared" si="91"/>
        <v>46.903794805770502</v>
      </c>
      <c r="BG81" s="22">
        <f t="shared" si="61"/>
        <v>407.60035995338347</v>
      </c>
      <c r="BH81" s="62">
        <f t="shared" si="62"/>
        <v>700.93369328671679</v>
      </c>
      <c r="BI81" s="62">
        <f ca="1">AVERAGE(OFFSET($BH$3,0,0,'Données projet'!$E$11+1,1))-AVERAGE(OFFSET($H$3,0,0,'Données projet'!$E$11+1,1))</f>
        <v>271.30269362742433</v>
      </c>
      <c r="BJ81" s="62">
        <f t="shared" si="92"/>
        <v>296.39988431569537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254.59999999999988</v>
      </c>
      <c r="O82" s="14">
        <f>N82*VLOOKUP('Données projet'!$B$9,Paramètres!$A$1:$I$89,3,0)*VLOOKUP('Données projet'!$B$9,Paramètres!$A$1:$I$89,5,0)</f>
        <v>230.36207999999988</v>
      </c>
      <c r="P82" s="14">
        <f t="shared" si="87"/>
        <v>56.360964523671768</v>
      </c>
      <c r="Q82" s="22">
        <f t="shared" si="54"/>
        <v>499.37596921206153</v>
      </c>
      <c r="R82" s="62">
        <f t="shared" si="55"/>
        <v>792.70930254539485</v>
      </c>
      <c r="S82" s="62">
        <f ca="1">AVERAGE(OFFSET($R$3,0,0,'Données projet'!$E$9+1,1))-AVERAGE(OFFSET($H$3,0,0,'Données projet'!$E$9+1,1))</f>
        <v>429.08703331308703</v>
      </c>
      <c r="T82" s="62">
        <f t="shared" si="88"/>
        <v>231.36959598460675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</v>
      </c>
      <c r="AI82" s="14">
        <f>IF('Données projet'!$A$62&gt;35,AI81+AH82-AQ81,IF(A82&lt;'Données projet'!$A$62,$AF$205^A82,IF(A82='Données projet'!$A$62,'Données projet'!$B$62,AI81+AH82-AQ81)))</f>
        <v>178.60000000000002</v>
      </c>
      <c r="AJ82" s="14">
        <f>AI82*VLOOKUP('Données projet'!$B$10,Paramètres!$A$1:$I$89,3,0)*VLOOKUP('Données projet'!$B$10,Paramètres!$A$1:$I$89,5,0)</f>
        <v>192.24504000000002</v>
      </c>
      <c r="AK82" s="14">
        <f t="shared" si="89"/>
        <v>48.035959478141606</v>
      </c>
      <c r="AL82" s="22">
        <f t="shared" si="58"/>
        <v>418.48940742443</v>
      </c>
      <c r="AM82" s="62">
        <f t="shared" si="59"/>
        <v>711.82274075776331</v>
      </c>
      <c r="AN82" s="62">
        <f ca="1">AVERAGE(OFFSET($AM$3,0,0,'Données projet'!$E$10+1,1))-AVERAGE(OFFSET($H$3,0,0,'Données projet'!$E$10+1,1))</f>
        <v>377.28543127606366</v>
      </c>
      <c r="AO82" s="62">
        <f t="shared" si="90"/>
        <v>166.97658184507776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2.4</v>
      </c>
      <c r="BD82" s="13">
        <f>IF('Données projet'!$A$88&gt;35,BD81+BC82-BL81,IF(A82&lt;'Données projet'!$A$88,$BA$205^A82,IF(A82='Données projet'!$A$88,'Données projet'!$B$88,BD81+BC82-BL81)))</f>
        <v>216.59999999999988</v>
      </c>
      <c r="BE82" s="14">
        <f>BD82*VLOOKUP('Données projet'!$B$11,Paramètres!$A$1:$I$89,3,0)*VLOOKUP('Données projet'!$B$11,Paramètres!$A$1:$I$89,5,0)</f>
        <v>189.22175999999993</v>
      </c>
      <c r="BF82" s="14">
        <f t="shared" si="91"/>
        <v>47.367853957810034</v>
      </c>
      <c r="BG82" s="22">
        <f t="shared" si="61"/>
        <v>412.06024430985235</v>
      </c>
      <c r="BH82" s="62">
        <f t="shared" si="62"/>
        <v>705.39357764318561</v>
      </c>
      <c r="BI82" s="62">
        <f ca="1">AVERAGE(OFFSET($BH$3,0,0,'Données projet'!$E$11+1,1))-AVERAGE(OFFSET($H$3,0,0,'Données projet'!$E$11+1,1))</f>
        <v>271.30269362742433</v>
      </c>
      <c r="BJ82" s="62">
        <f t="shared" si="92"/>
        <v>296.39988431569537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260.49999999999989</v>
      </c>
      <c r="O83" s="14">
        <f>N83*VLOOKUP('Données projet'!$B$9,Paramètres!$A$1:$I$89,3,0)*VLOOKUP('Données projet'!$B$9,Paramètres!$A$1:$I$89,5,0)</f>
        <v>235.70039999999989</v>
      </c>
      <c r="P83" s="14">
        <f t="shared" si="87"/>
        <v>57.513479567871634</v>
      </c>
      <c r="Q83" s="22">
        <f t="shared" si="54"/>
        <v>510.68084024737624</v>
      </c>
      <c r="R83" s="62">
        <f t="shared" si="55"/>
        <v>804.01417358070955</v>
      </c>
      <c r="S83" s="62">
        <f ca="1">AVERAGE(OFFSET($R$3,0,0,'Données projet'!$E$9+1,1))-AVERAGE(OFFSET($H$3,0,0,'Données projet'!$E$9+1,1))</f>
        <v>429.08703331308703</v>
      </c>
      <c r="T83" s="62">
        <f t="shared" si="88"/>
        <v>231.36959598460675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5.9</v>
      </c>
      <c r="AI83" s="14">
        <f>IF('Données projet'!$A$62&gt;35,AI82+AH83-AQ82,IF(A83&lt;'Données projet'!$A$62,$AF$205^A83,IF(A83='Données projet'!$A$62,'Données projet'!$B$62,AI82+AH83-AQ82)))</f>
        <v>184.50000000000003</v>
      </c>
      <c r="AJ83" s="14">
        <f>AI83*VLOOKUP('Données projet'!$B$10,Paramètres!$A$1:$I$89,3,0)*VLOOKUP('Données projet'!$B$10,Paramètres!$A$1:$I$89,5,0)</f>
        <v>198.59580000000003</v>
      </c>
      <c r="AK83" s="14">
        <f t="shared" si="89"/>
        <v>49.43544063450959</v>
      </c>
      <c r="AL83" s="22">
        <f t="shared" si="58"/>
        <v>431.98774410510424</v>
      </c>
      <c r="AM83" s="62">
        <f t="shared" si="59"/>
        <v>725.32107743843756</v>
      </c>
      <c r="AN83" s="62">
        <f ca="1">AVERAGE(OFFSET($AM$3,0,0,'Données projet'!$E$10+1,1))-AVERAGE(OFFSET($H$3,0,0,'Données projet'!$E$10+1,1))</f>
        <v>377.28543127606366</v>
      </c>
      <c r="AO83" s="62">
        <f t="shared" si="90"/>
        <v>166.97658184507776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219</v>
      </c>
      <c r="BB83" s="13">
        <f>VLOOKUP(A83,'Données projet'!$A$87:$I$107,9,0)</f>
        <v>2.4</v>
      </c>
      <c r="BC83" s="13">
        <f t="array" ref="BC83">INDEX(BB:BB,MIN(IF(ISNUMBER(BB83:BB279),ROW(BB83:BB279),"")))</f>
        <v>2.4</v>
      </c>
      <c r="BD83" s="13">
        <f>IF('Données projet'!$A$88&gt;35,BD82+BC83-BL82,IF(A83&lt;'Données projet'!$A$88,$BA$205^A83,IF(A83='Données projet'!$A$88,'Données projet'!$B$88,BD82+BC83-BL82)))</f>
        <v>218.99999999999989</v>
      </c>
      <c r="BE83" s="14">
        <f>BD83*VLOOKUP('Données projet'!$B$11,Paramètres!$A$1:$I$89,3,0)*VLOOKUP('Données projet'!$B$11,Paramètres!$A$1:$I$89,5,0)</f>
        <v>191.31839999999991</v>
      </c>
      <c r="BF83" s="14">
        <f t="shared" si="91"/>
        <v>47.831314962098354</v>
      </c>
      <c r="BG83" s="22">
        <f t="shared" si="61"/>
        <v>416.51908689232118</v>
      </c>
      <c r="BH83" s="62">
        <f t="shared" si="62"/>
        <v>709.85242022565444</v>
      </c>
      <c r="BI83" s="62">
        <f ca="1">AVERAGE(OFFSET($BH$3,0,0,'Données projet'!$E$11+1,1))-AVERAGE(OFFSET($H$3,0,0,'Données projet'!$E$11+1,1))</f>
        <v>271.30269362742433</v>
      </c>
      <c r="BJ83" s="62">
        <f t="shared" si="92"/>
        <v>296.39988431569537</v>
      </c>
      <c r="BK83" s="16">
        <f>IF(ISNA(VLOOKUP(A83,'Données projet'!$A$87:$I$107,3,0)),0,VLOOKUP(A83,'Données projet'!$A$87:$I$107,3,0))</f>
        <v>8</v>
      </c>
      <c r="BL83" s="23">
        <f>IF(ISNA(VLOOKUP(A83,'Données projet'!$A$87:$I$107,4,0)),0,VLOOKUP(A83,'Données projet'!$A$87:$I$107,4,0))</f>
        <v>219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266.39999999999986</v>
      </c>
      <c r="O84" s="14">
        <f>N84*VLOOKUP('Données projet'!$B$9,Paramètres!$A$1:$I$89,3,0)*VLOOKUP('Données projet'!$B$9,Paramètres!$A$1:$I$89,5,0)</f>
        <v>241.03871999999987</v>
      </c>
      <c r="P84" s="14">
        <f t="shared" si="87"/>
        <v>58.66295994697046</v>
      </c>
      <c r="Q84" s="22">
        <f t="shared" si="54"/>
        <v>521.98042590763998</v>
      </c>
      <c r="R84" s="62">
        <f t="shared" si="55"/>
        <v>815.31375924097324</v>
      </c>
      <c r="S84" s="62">
        <f ca="1">AVERAGE(OFFSET($R$3,0,0,'Données projet'!$E$9+1,1))-AVERAGE(OFFSET($H$3,0,0,'Données projet'!$E$9+1,1))</f>
        <v>429.08703331308703</v>
      </c>
      <c r="T84" s="62">
        <f t="shared" si="88"/>
        <v>231.36959598460675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5.9</v>
      </c>
      <c r="AI84" s="14">
        <f>IF('Données projet'!$A$62&gt;35,AI83+AH84-AQ83,IF(A84&lt;'Données projet'!$A$62,$AF$205^A84,IF(A84='Données projet'!$A$62,'Données projet'!$B$62,AI83+AH84-AQ83)))</f>
        <v>190.40000000000003</v>
      </c>
      <c r="AJ84" s="14">
        <f>AI84*VLOOKUP('Données projet'!$B$10,Paramètres!$A$1:$I$89,3,0)*VLOOKUP('Données projet'!$B$10,Paramètres!$A$1:$I$89,5,0)</f>
        <v>204.94656000000001</v>
      </c>
      <c r="AK84" s="14">
        <f t="shared" si="89"/>
        <v>50.829721281867236</v>
      </c>
      <c r="AL84" s="22">
        <f t="shared" si="58"/>
        <v>445.4770232325854</v>
      </c>
      <c r="AM84" s="62">
        <f t="shared" si="59"/>
        <v>738.81035656591871</v>
      </c>
      <c r="AN84" s="62">
        <f ca="1">AVERAGE(OFFSET($AM$3,0,0,'Données projet'!$E$10+1,1))-AVERAGE(OFFSET($H$3,0,0,'Données projet'!$E$10+1,1))</f>
        <v>377.28543127606366</v>
      </c>
      <c r="AO84" s="62">
        <f t="shared" si="90"/>
        <v>166.97658184507776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-1.1368683772161603E-13</v>
      </c>
      <c r="BE84" s="14">
        <f>BD84*VLOOKUP('Données projet'!$B$11,Paramètres!$A$1:$I$89,3,0)*VLOOKUP('Données projet'!$B$11,Paramètres!$A$1:$I$89,5,0)</f>
        <v>-9.9316821433603781E-14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271.30269362742433</v>
      </c>
      <c r="BJ84" s="62">
        <f t="shared" si="92"/>
        <v>296.39988431569537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IF('Données projet'!$A$36&gt;35,N84+M85-V84,IF(A85&lt;'Données projet'!$A$36,$K$205^A85,IF(A85='Données projet'!$A$36,'Données projet'!$B$36,N84+M85-V84)))</f>
        <v>272.29999999999984</v>
      </c>
      <c r="O85" s="14">
        <f>N85*VLOOKUP('Données projet'!$B$9,Paramètres!$A$1:$I$89,3,0)*VLOOKUP('Données projet'!$B$9,Paramètres!$A$1:$I$89,5,0)</f>
        <v>246.37703999999982</v>
      </c>
      <c r="P85" s="14">
        <f t="shared" si="87"/>
        <v>59.809480609038189</v>
      </c>
      <c r="Q85" s="22">
        <f t="shared" si="54"/>
        <v>533.27485672740784</v>
      </c>
      <c r="R85" s="62">
        <f t="shared" si="55"/>
        <v>826.60819006074121</v>
      </c>
      <c r="S85" s="62">
        <f ca="1">AVERAGE(OFFSET($R$3,0,0,'Données projet'!$E$9+1,1))-AVERAGE(OFFSET($H$3,0,0,'Données projet'!$E$9+1,1))</f>
        <v>429.08703331308703</v>
      </c>
      <c r="T85" s="62">
        <f t="shared" si="88"/>
        <v>231.36959598460675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5.9</v>
      </c>
      <c r="AI85" s="14">
        <f>IF('Données projet'!$A$62&gt;35,AI84+AH85-AQ84,IF(A85&lt;'Données projet'!$A$62,$AF$205^A85,IF(A85='Données projet'!$A$62,'Données projet'!$B$62,AI84+AH85-AQ84)))</f>
        <v>196.30000000000004</v>
      </c>
      <c r="AJ85" s="14">
        <f>AI85*VLOOKUP('Données projet'!$B$10,Paramètres!$A$1:$I$89,3,0)*VLOOKUP('Données projet'!$B$10,Paramètres!$A$1:$I$89,5,0)</f>
        <v>211.29732000000004</v>
      </c>
      <c r="AK85" s="14">
        <f t="shared" si="89"/>
        <v>52.218981062587083</v>
      </c>
      <c r="AL85" s="22">
        <f t="shared" si="58"/>
        <v>458.95755768400591</v>
      </c>
      <c r="AM85" s="62">
        <f t="shared" si="59"/>
        <v>752.29089101733916</v>
      </c>
      <c r="AN85" s="62">
        <f ca="1">AVERAGE(OFFSET($AM$3,0,0,'Données projet'!$E$10+1,1))-AVERAGE(OFFSET($H$3,0,0,'Données projet'!$E$10+1,1))</f>
        <v>377.28543127606366</v>
      </c>
      <c r="AO85" s="62">
        <f t="shared" si="90"/>
        <v>166.97658184507776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-1.1368683772161603E-13</v>
      </c>
      <c r="BE85" s="14">
        <f>BD85*VLOOKUP('Données projet'!$B$11,Paramètres!$A$1:$I$89,3,0)*VLOOKUP('Données projet'!$B$11,Paramètres!$A$1:$I$89,5,0)</f>
        <v>-9.9316821433603781E-14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271.30269362742433</v>
      </c>
      <c r="BJ85" s="62">
        <f t="shared" si="92"/>
        <v>296.39988431569537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IF('Données projet'!$A$36&gt;35,N85+M86-V85,IF(A86&lt;'Données projet'!$A$36,$K$205^A86,IF(A86='Données projet'!$A$36,'Données projet'!$B$36,N85+M86-V85)))</f>
        <v>278.19999999999982</v>
      </c>
      <c r="O86" s="14">
        <f>N86*VLOOKUP('Données projet'!$B$9,Paramètres!$A$1:$I$89,3,0)*VLOOKUP('Données projet'!$B$9,Paramètres!$A$1:$I$89,5,0)</f>
        <v>251.71535999999983</v>
      </c>
      <c r="P86" s="14">
        <f t="shared" si="87"/>
        <v>60.953113068801812</v>
      </c>
      <c r="Q86" s="22">
        <f t="shared" si="54"/>
        <v>544.5642572614961</v>
      </c>
      <c r="R86" s="62">
        <f t="shared" si="55"/>
        <v>837.89759059482935</v>
      </c>
      <c r="S86" s="62">
        <f ca="1">AVERAGE(OFFSET($R$3,0,0,'Données projet'!$E$9+1,1))-AVERAGE(OFFSET($H$3,0,0,'Données projet'!$E$9+1,1))</f>
        <v>429.08703331308703</v>
      </c>
      <c r="T86" s="62">
        <f t="shared" si="88"/>
        <v>231.36959598460675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5.9</v>
      </c>
      <c r="AI86" s="14">
        <f>IF('Données projet'!$A$62&gt;35,AI85+AH86-AQ85,IF(A86&lt;'Données projet'!$A$62,$AF$205^A86,IF(A86='Données projet'!$A$62,'Données projet'!$B$62,AI85+AH86-AQ85)))</f>
        <v>202.20000000000005</v>
      </c>
      <c r="AJ86" s="14">
        <f>AI86*VLOOKUP('Données projet'!$B$10,Paramètres!$A$1:$I$89,3,0)*VLOOKUP('Données projet'!$B$10,Paramètres!$A$1:$I$89,5,0)</f>
        <v>217.64808000000005</v>
      </c>
      <c r="AK86" s="14">
        <f t="shared" si="89"/>
        <v>53.603388206641782</v>
      </c>
      <c r="AL86" s="22">
        <f t="shared" si="58"/>
        <v>472.42964045990124</v>
      </c>
      <c r="AM86" s="62">
        <f t="shared" si="59"/>
        <v>765.76297379323455</v>
      </c>
      <c r="AN86" s="62">
        <f ca="1">AVERAGE(OFFSET($AM$3,0,0,'Données projet'!$E$10+1,1))-AVERAGE(OFFSET($H$3,0,0,'Données projet'!$E$10+1,1))</f>
        <v>377.28543127606366</v>
      </c>
      <c r="AO86" s="62">
        <f t="shared" si="90"/>
        <v>166.97658184507776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-1.1368683772161603E-13</v>
      </c>
      <c r="BE86" s="14">
        <f>BD86*VLOOKUP('Données projet'!$B$11,Paramètres!$A$1:$I$89,3,0)*VLOOKUP('Données projet'!$B$11,Paramètres!$A$1:$I$89,5,0)</f>
        <v>-9.9316821433603781E-14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271.30269362742433</v>
      </c>
      <c r="BJ86" s="62">
        <f t="shared" si="92"/>
        <v>296.39988431569537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IF('Données projet'!$A$36&gt;35,N86+M87-V86,IF(A87&lt;'Données projet'!$A$36,$K$205^A87,IF(A87='Données projet'!$A$36,'Données projet'!$B$36,N86+M87-V86)))</f>
        <v>284.0999999999998</v>
      </c>
      <c r="O87" s="14">
        <f>N87*VLOOKUP('Données projet'!$B$9,Paramètres!$A$1:$I$89,3,0)*VLOOKUP('Données projet'!$B$9,Paramètres!$A$1:$I$89,5,0)</f>
        <v>257.05367999999982</v>
      </c>
      <c r="P87" s="14">
        <f t="shared" si="87"/>
        <v>62.093925634350327</v>
      </c>
      <c r="Q87" s="22">
        <f t="shared" si="54"/>
        <v>555.84874647982645</v>
      </c>
      <c r="R87" s="62">
        <f t="shared" si="55"/>
        <v>849.18207981315982</v>
      </c>
      <c r="S87" s="62">
        <f ca="1">AVERAGE(OFFSET($R$3,0,0,'Données projet'!$E$9+1,1))-AVERAGE(OFFSET($H$3,0,0,'Données projet'!$E$9+1,1))</f>
        <v>429.08703331308703</v>
      </c>
      <c r="T87" s="62">
        <f t="shared" si="88"/>
        <v>231.36959598460675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5.9</v>
      </c>
      <c r="AI87" s="14">
        <f>IF('Données projet'!$A$62&gt;35,AI86+AH87-AQ86,IF(A87&lt;'Données projet'!$A$62,$AF$205^A87,IF(A87='Données projet'!$A$62,'Données projet'!$B$62,AI86+AH87-AQ86)))</f>
        <v>208.10000000000005</v>
      </c>
      <c r="AJ87" s="14">
        <f>AI87*VLOOKUP('Données projet'!$B$10,Paramètres!$A$1:$I$89,3,0)*VLOOKUP('Données projet'!$B$10,Paramètres!$A$1:$I$89,5,0)</f>
        <v>223.99884000000006</v>
      </c>
      <c r="AK87" s="14">
        <f t="shared" si="89"/>
        <v>54.983100568211349</v>
      </c>
      <c r="AL87" s="22">
        <f t="shared" si="58"/>
        <v>485.8935464896349</v>
      </c>
      <c r="AM87" s="62">
        <f t="shared" si="59"/>
        <v>779.22687982296816</v>
      </c>
      <c r="AN87" s="62">
        <f ca="1">AVERAGE(OFFSET($AM$3,0,0,'Données projet'!$E$10+1,1))-AVERAGE(OFFSET($H$3,0,0,'Données projet'!$E$10+1,1))</f>
        <v>377.28543127606366</v>
      </c>
      <c r="AO87" s="62">
        <f t="shared" si="90"/>
        <v>166.97658184507776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-1.1368683772161603E-13</v>
      </c>
      <c r="BE87" s="14">
        <f>BD87*VLOOKUP('Données projet'!$B$11,Paramètres!$A$1:$I$89,3,0)*VLOOKUP('Données projet'!$B$11,Paramètres!$A$1:$I$89,5,0)</f>
        <v>-9.9316821433603781E-14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271.30269362742433</v>
      </c>
      <c r="BJ87" s="62">
        <f t="shared" si="92"/>
        <v>296.39988431569537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IF('Données projet'!$A$36&gt;35,N87+M88-V87,IF(A88&lt;'Données projet'!$A$36,$K$205^A88,IF(A88='Données projet'!$A$36,'Données projet'!$B$36,N87+M88-V87)))</f>
        <v>289.99999999999977</v>
      </c>
      <c r="O88" s="14">
        <f>N88*VLOOKUP('Données projet'!$B$9,Paramètres!$A$1:$I$89,3,0)*VLOOKUP('Données projet'!$B$9,Paramètres!$A$1:$I$89,5,0)</f>
        <v>262.39199999999977</v>
      </c>
      <c r="P88" s="14">
        <f t="shared" si="87"/>
        <v>63.231983614474892</v>
      </c>
      <c r="Q88" s="22">
        <f t="shared" si="54"/>
        <v>567.12843812854328</v>
      </c>
      <c r="R88" s="62">
        <f t="shared" si="55"/>
        <v>860.46177146187665</v>
      </c>
      <c r="S88" s="62">
        <f ca="1">AVERAGE(OFFSET($R$3,0,0,'Données projet'!$E$9+1,1))-AVERAGE(OFFSET($H$3,0,0,'Données projet'!$E$9+1,1))</f>
        <v>429.08703331308703</v>
      </c>
      <c r="T88" s="62">
        <f t="shared" si="88"/>
        <v>231.36959598460675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214</v>
      </c>
      <c r="AG88" s="13">
        <f>VLOOKUP(A88,'Données projet'!$A$61:$I$81,9,0)</f>
        <v>5.9</v>
      </c>
      <c r="AH88" s="13">
        <f t="array" ref="AH88">INDEX(AG:AG,MIN(IF(ISNUMBER(AG88:AG284),ROW(AG88:AG284),"")))</f>
        <v>5.9</v>
      </c>
      <c r="AI88" s="14">
        <f>IF('Données projet'!$A$62&gt;35,AI87+AH88-AQ87,IF(A88&lt;'Données projet'!$A$62,$AF$205^A88,IF(A88='Données projet'!$A$62,'Données projet'!$B$62,AI87+AH88-AQ87)))</f>
        <v>214.00000000000006</v>
      </c>
      <c r="AJ88" s="14">
        <f>AI88*VLOOKUP('Données projet'!$B$10,Paramètres!$A$1:$I$89,3,0)*VLOOKUP('Données projet'!$B$10,Paramètres!$A$1:$I$89,5,0)</f>
        <v>230.34960000000004</v>
      </c>
      <c r="AK88" s="14">
        <f t="shared" si="89"/>
        <v>56.35826654142631</v>
      </c>
      <c r="AL88" s="22">
        <f t="shared" si="58"/>
        <v>499.34953422631753</v>
      </c>
      <c r="AM88" s="62">
        <f t="shared" si="59"/>
        <v>792.68286755965084</v>
      </c>
      <c r="AN88" s="62">
        <f ca="1">AVERAGE(OFFSET($AM$3,0,0,'Données projet'!$E$10+1,1))-AVERAGE(OFFSET($H$3,0,0,'Données projet'!$E$10+1,1))</f>
        <v>377.28543127606366</v>
      </c>
      <c r="AO88" s="62">
        <f t="shared" si="90"/>
        <v>166.97658184507776</v>
      </c>
      <c r="AP88" s="16">
        <f>IF(ISNA(VLOOKUP(A88,'Données projet'!$A$61:$I$81,3,0)),0,VLOOKUP(A88,'Données projet'!$A$61:$I$81,3,0))</f>
        <v>6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-1.1368683772161603E-13</v>
      </c>
      <c r="BE88" s="14">
        <f>BD88*VLOOKUP('Données projet'!$B$11,Paramètres!$A$1:$I$89,3,0)*VLOOKUP('Données projet'!$B$11,Paramètres!$A$1:$I$89,5,0)</f>
        <v>-9.9316821433603781E-14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271.30269362742433</v>
      </c>
      <c r="BJ88" s="62">
        <f t="shared" si="92"/>
        <v>296.39988431569537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253.19999999999976</v>
      </c>
      <c r="O89" s="14">
        <f>N89*VLOOKUP('Données projet'!$B$9,Paramètres!$A$1:$I$89,3,0)*VLOOKUP('Données projet'!$B$9,Paramètres!$A$1:$I$89,5,0)</f>
        <v>229.09535999999977</v>
      </c>
      <c r="P89" s="14">
        <f t="shared" si="87"/>
        <v>56.087032370558362</v>
      </c>
      <c r="Q89" s="22">
        <f t="shared" si="54"/>
        <v>496.69266671205543</v>
      </c>
      <c r="R89" s="62">
        <f t="shared" si="55"/>
        <v>790.02600004538874</v>
      </c>
      <c r="S89" s="62">
        <f ca="1">AVERAGE(OFFSET($R$3,0,0,'Données projet'!$E$9+1,1))-AVERAGE(OFFSET($H$3,0,0,'Données projet'!$E$9+1,1))</f>
        <v>429.08703331308703</v>
      </c>
      <c r="T89" s="62">
        <f t="shared" si="88"/>
        <v>231.36959598460675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</v>
      </c>
      <c r="AI89" s="14">
        <f>IF('Données projet'!$A$62&gt;35,AI88+AH89-AQ88,IF(A89&lt;'Données projet'!$A$62,$AF$205^A89,IF(A89='Données projet'!$A$62,'Données projet'!$B$62,AI88+AH89-AQ88)))</f>
        <v>190.00000000000006</v>
      </c>
      <c r="AJ89" s="14">
        <f>AI89*VLOOKUP('Données projet'!$B$10,Paramètres!$A$1:$I$89,3,0)*VLOOKUP('Données projet'!$B$10,Paramètres!$A$1:$I$89,5,0)</f>
        <v>204.51600000000005</v>
      </c>
      <c r="AK89" s="14">
        <f t="shared" si="89"/>
        <v>50.735354396355888</v>
      </c>
      <c r="AL89" s="22">
        <f t="shared" si="58"/>
        <v>444.5627755736532</v>
      </c>
      <c r="AM89" s="62">
        <f t="shared" si="59"/>
        <v>737.89610890698646</v>
      </c>
      <c r="AN89" s="62">
        <f ca="1">AVERAGE(OFFSET($AM$3,0,0,'Données projet'!$E$10+1,1))-AVERAGE(OFFSET($H$3,0,0,'Données projet'!$E$10+1,1))</f>
        <v>377.28543127606366</v>
      </c>
      <c r="AO89" s="62">
        <f t="shared" si="90"/>
        <v>166.97658184507776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-1.1368683772161603E-13</v>
      </c>
      <c r="BE89" s="14">
        <f>BD89*VLOOKUP('Données projet'!$B$11,Paramètres!$A$1:$I$89,3,0)*VLOOKUP('Données projet'!$B$11,Paramètres!$A$1:$I$89,5,0)</f>
        <v>-9.9316821433603781E-14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271.30269362742433</v>
      </c>
      <c r="BJ89" s="62">
        <f t="shared" si="92"/>
        <v>296.39988431569537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258.39999999999975</v>
      </c>
      <c r="O90" s="14">
        <f>N90*VLOOKUP('Données projet'!$B$9,Paramètres!$A$1:$I$89,3,0)*VLOOKUP('Données projet'!$B$9,Paramètres!$A$1:$I$89,5,0)</f>
        <v>233.80031999999977</v>
      </c>
      <c r="P90" s="14">
        <f t="shared" si="87"/>
        <v>57.103614181373779</v>
      </c>
      <c r="Q90" s="22">
        <f t="shared" si="54"/>
        <v>506.65768536589218</v>
      </c>
      <c r="R90" s="62">
        <f t="shared" si="55"/>
        <v>799.99101869922549</v>
      </c>
      <c r="S90" s="62">
        <f ca="1">AVERAGE(OFFSET($R$3,0,0,'Données projet'!$E$9+1,1))-AVERAGE(OFFSET($H$3,0,0,'Données projet'!$E$9+1,1))</f>
        <v>429.08703331308703</v>
      </c>
      <c r="T90" s="62">
        <f t="shared" si="88"/>
        <v>231.36959598460675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</v>
      </c>
      <c r="AI90" s="14">
        <f>IF('Données projet'!$A$62&gt;35,AI89+AH90-AQ89,IF(A90&lt;'Données projet'!$A$62,$AF$205^A90,IF(A90='Données projet'!$A$62,'Données projet'!$B$62,AI89+AH90-AQ89)))</f>
        <v>194.00000000000006</v>
      </c>
      <c r="AJ90" s="14">
        <f>AI90*VLOOKUP('Données projet'!$B$10,Paramètres!$A$1:$I$89,3,0)*VLOOKUP('Données projet'!$B$10,Paramètres!$A$1:$I$89,5,0)</f>
        <v>208.82160000000007</v>
      </c>
      <c r="AK90" s="14">
        <f t="shared" si="89"/>
        <v>51.677991375094443</v>
      </c>
      <c r="AL90" s="22">
        <f t="shared" si="58"/>
        <v>453.70345497828959</v>
      </c>
      <c r="AM90" s="62">
        <f t="shared" si="59"/>
        <v>747.0367883116229</v>
      </c>
      <c r="AN90" s="62">
        <f ca="1">AVERAGE(OFFSET($AM$3,0,0,'Données projet'!$E$10+1,1))-AVERAGE(OFFSET($H$3,0,0,'Données projet'!$E$10+1,1))</f>
        <v>377.28543127606366</v>
      </c>
      <c r="AO90" s="62">
        <f t="shared" si="90"/>
        <v>166.97658184507776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-1.1368683772161603E-13</v>
      </c>
      <c r="BE90" s="14">
        <f>BD90*VLOOKUP('Données projet'!$B$11,Paramètres!$A$1:$I$89,3,0)*VLOOKUP('Données projet'!$B$11,Paramètres!$A$1:$I$89,5,0)</f>
        <v>-9.9316821433603781E-14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271.30269362742433</v>
      </c>
      <c r="BJ90" s="62">
        <f t="shared" si="92"/>
        <v>296.39988431569537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263.59999999999974</v>
      </c>
      <c r="O91" s="14">
        <f>N91*VLOOKUP('Données projet'!$B$9,Paramètres!$A$1:$I$89,3,0)*VLOOKUP('Données projet'!$B$9,Paramètres!$A$1:$I$89,5,0)</f>
        <v>238.50527999999974</v>
      </c>
      <c r="P91" s="14">
        <f t="shared" si="87"/>
        <v>58.117817352909832</v>
      </c>
      <c r="Q91" s="22">
        <f t="shared" si="54"/>
        <v>516.61856122298411</v>
      </c>
      <c r="R91" s="62">
        <f t="shared" si="55"/>
        <v>809.95189455631748</v>
      </c>
      <c r="S91" s="62">
        <f ca="1">AVERAGE(OFFSET($R$3,0,0,'Données projet'!$E$9+1,1))-AVERAGE(OFFSET($H$3,0,0,'Données projet'!$E$9+1,1))</f>
        <v>429.08703331308703</v>
      </c>
      <c r="T91" s="62">
        <f t="shared" si="88"/>
        <v>231.36959598460675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</v>
      </c>
      <c r="AI91" s="14">
        <f>IF('Données projet'!$A$62&gt;35,AI90+AH91-AQ90,IF(A91&lt;'Données projet'!$A$62,$AF$205^A91,IF(A91='Données projet'!$A$62,'Données projet'!$B$62,AI90+AH91-AQ90)))</f>
        <v>198.00000000000006</v>
      </c>
      <c r="AJ91" s="14">
        <f>AI91*VLOOKUP('Données projet'!$B$10,Paramètres!$A$1:$I$89,3,0)*VLOOKUP('Données projet'!$B$10,Paramètres!$A$1:$I$89,5,0)</f>
        <v>213.12720000000004</v>
      </c>
      <c r="AK91" s="14">
        <f t="shared" si="89"/>
        <v>52.618368568459893</v>
      </c>
      <c r="AL91" s="22">
        <f t="shared" si="58"/>
        <v>462.8401985900677</v>
      </c>
      <c r="AM91" s="62">
        <f t="shared" si="59"/>
        <v>756.17353192340101</v>
      </c>
      <c r="AN91" s="62">
        <f ca="1">AVERAGE(OFFSET($AM$3,0,0,'Données projet'!$E$10+1,1))-AVERAGE(OFFSET($H$3,0,0,'Données projet'!$E$10+1,1))</f>
        <v>377.28543127606366</v>
      </c>
      <c r="AO91" s="62">
        <f t="shared" si="90"/>
        <v>166.97658184507776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-1.1368683772161603E-13</v>
      </c>
      <c r="BE91" s="14">
        <f>BD91*VLOOKUP('Données projet'!$B$11,Paramètres!$A$1:$I$89,3,0)*VLOOKUP('Données projet'!$B$11,Paramètres!$A$1:$I$89,5,0)</f>
        <v>-9.9316821433603781E-14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271.30269362742433</v>
      </c>
      <c r="BJ91" s="62">
        <f t="shared" si="92"/>
        <v>296.39988431569537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268.79999999999973</v>
      </c>
      <c r="O92" s="14">
        <f>N92*VLOOKUP('Données projet'!$B$9,Paramètres!$A$1:$I$89,3,0)*VLOOKUP('Données projet'!$B$9,Paramètres!$A$1:$I$89,5,0)</f>
        <v>243.21023999999974</v>
      </c>
      <c r="P92" s="14">
        <f t="shared" si="87"/>
        <v>59.129694216846687</v>
      </c>
      <c r="Q92" s="22">
        <f t="shared" si="54"/>
        <v>526.57538542767418</v>
      </c>
      <c r="R92" s="62">
        <f t="shared" si="55"/>
        <v>819.90871876100755</v>
      </c>
      <c r="S92" s="62">
        <f ca="1">AVERAGE(OFFSET($R$3,0,0,'Données projet'!$E$9+1,1))-AVERAGE(OFFSET($H$3,0,0,'Données projet'!$E$9+1,1))</f>
        <v>429.08703331308703</v>
      </c>
      <c r="T92" s="62">
        <f t="shared" si="88"/>
        <v>231.36959598460675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</v>
      </c>
      <c r="AI92" s="14">
        <f>IF('Données projet'!$A$62&gt;35,AI91+AH92-AQ91,IF(A92&lt;'Données projet'!$A$62,$AF$205^A92,IF(A92='Données projet'!$A$62,'Données projet'!$B$62,AI91+AH92-AQ91)))</f>
        <v>202.00000000000006</v>
      </c>
      <c r="AJ92" s="14">
        <f>AI92*VLOOKUP('Données projet'!$B$10,Paramètres!$A$1:$I$89,3,0)*VLOOKUP('Données projet'!$B$10,Paramètres!$A$1:$I$89,5,0)</f>
        <v>217.43280000000004</v>
      </c>
      <c r="AK92" s="14">
        <f t="shared" si="89"/>
        <v>53.556536889714792</v>
      </c>
      <c r="AL92" s="22">
        <f t="shared" si="58"/>
        <v>471.97309508291988</v>
      </c>
      <c r="AM92" s="62">
        <f t="shared" si="59"/>
        <v>765.3064284162532</v>
      </c>
      <c r="AN92" s="62">
        <f ca="1">AVERAGE(OFFSET($AM$3,0,0,'Données projet'!$E$10+1,1))-AVERAGE(OFFSET($H$3,0,0,'Données projet'!$E$10+1,1))</f>
        <v>377.28543127606366</v>
      </c>
      <c r="AO92" s="62">
        <f t="shared" si="90"/>
        <v>166.97658184507776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-1.1368683772161603E-13</v>
      </c>
      <c r="BE92" s="14">
        <f>BD92*VLOOKUP('Données projet'!$B$11,Paramètres!$A$1:$I$89,3,0)*VLOOKUP('Données projet'!$B$11,Paramètres!$A$1:$I$89,5,0)</f>
        <v>-9.9316821433603781E-14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271.30269362742433</v>
      </c>
      <c r="BJ92" s="62">
        <f t="shared" si="92"/>
        <v>296.39988431569537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273.99999999999972</v>
      </c>
      <c r="O93" s="14">
        <f>N93*VLOOKUP('Données projet'!$B$9,Paramètres!$A$1:$I$89,3,0)*VLOOKUP('Données projet'!$B$9,Paramètres!$A$1:$I$89,5,0)</f>
        <v>247.91519999999971</v>
      </c>
      <c r="P93" s="14">
        <f t="shared" si="87"/>
        <v>60.139294964297406</v>
      </c>
      <c r="Q93" s="22">
        <f t="shared" si="54"/>
        <v>536.52824539615074</v>
      </c>
      <c r="R93" s="62">
        <f t="shared" si="55"/>
        <v>829.86157872948411</v>
      </c>
      <c r="S93" s="62">
        <f ca="1">AVERAGE(OFFSET($R$3,0,0,'Données projet'!$E$9+1,1))-AVERAGE(OFFSET($H$3,0,0,'Données projet'!$E$9+1,1))</f>
        <v>429.08703331308703</v>
      </c>
      <c r="T93" s="62">
        <f t="shared" si="88"/>
        <v>231.36959598460675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4</v>
      </c>
      <c r="AI93" s="14">
        <f>IF('Données projet'!$A$62&gt;35,AI92+AH93-AQ92,IF(A93&lt;'Données projet'!$A$62,$AF$205^A93,IF(A93='Données projet'!$A$62,'Données projet'!$B$62,AI92+AH93-AQ92)))</f>
        <v>206.00000000000006</v>
      </c>
      <c r="AJ93" s="14">
        <f>AI93*VLOOKUP('Données projet'!$B$10,Paramètres!$A$1:$I$89,3,0)*VLOOKUP('Données projet'!$B$10,Paramètres!$A$1:$I$89,5,0)</f>
        <v>221.73840000000004</v>
      </c>
      <c r="AK93" s="14">
        <f t="shared" si="89"/>
        <v>54.492545120441797</v>
      </c>
      <c r="AL93" s="22">
        <f t="shared" si="58"/>
        <v>481.10222941810292</v>
      </c>
      <c r="AM93" s="62">
        <f t="shared" si="59"/>
        <v>774.43556275143624</v>
      </c>
      <c r="AN93" s="62">
        <f ca="1">AVERAGE(OFFSET($AM$3,0,0,'Données projet'!$E$10+1,1))-AVERAGE(OFFSET($H$3,0,0,'Données projet'!$E$10+1,1))</f>
        <v>377.28543127606366</v>
      </c>
      <c r="AO93" s="62">
        <f t="shared" si="90"/>
        <v>166.97658184507776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-1.1368683772161603E-13</v>
      </c>
      <c r="BE93" s="14">
        <f>BD93*VLOOKUP('Données projet'!$B$11,Paramètres!$A$1:$I$89,3,0)*VLOOKUP('Données projet'!$B$11,Paramètres!$A$1:$I$89,5,0)</f>
        <v>-9.9316821433603781E-14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271.30269362742433</v>
      </c>
      <c r="BJ93" s="62">
        <f t="shared" si="92"/>
        <v>296.39988431569537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279.1999999999997</v>
      </c>
      <c r="O94" s="14">
        <f>N94*VLOOKUP('Données projet'!$B$9,Paramètres!$A$1:$I$89,3,0)*VLOOKUP('Données projet'!$B$9,Paramètres!$A$1:$I$89,5,0)</f>
        <v>252.62015999999971</v>
      </c>
      <c r="P94" s="14">
        <f t="shared" si="87"/>
        <v>61.146667772298713</v>
      </c>
      <c r="Q94" s="22">
        <f t="shared" si="54"/>
        <v>546.477225036753</v>
      </c>
      <c r="R94" s="62">
        <f t="shared" si="55"/>
        <v>839.81055837008626</v>
      </c>
      <c r="S94" s="62">
        <f ca="1">AVERAGE(OFFSET($R$3,0,0,'Données projet'!$E$9+1,1))-AVERAGE(OFFSET($H$3,0,0,'Données projet'!$E$9+1,1))</f>
        <v>429.08703331308703</v>
      </c>
      <c r="T94" s="62">
        <f t="shared" si="88"/>
        <v>231.36959598460675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</v>
      </c>
      <c r="AI94" s="14">
        <f>IF('Données projet'!$A$62&gt;35,AI93+AH94-AQ93,IF(A94&lt;'Données projet'!$A$62,$AF$205^A94,IF(A94='Données projet'!$A$62,'Données projet'!$B$62,AI93+AH94-AQ93)))</f>
        <v>210.00000000000006</v>
      </c>
      <c r="AJ94" s="14">
        <f>AI94*VLOOKUP('Données projet'!$B$10,Paramètres!$A$1:$I$89,3,0)*VLOOKUP('Données projet'!$B$10,Paramètres!$A$1:$I$89,5,0)</f>
        <v>226.04400000000007</v>
      </c>
      <c r="AK94" s="14">
        <f t="shared" si="89"/>
        <v>55.426440039423504</v>
      </c>
      <c r="AL94" s="22">
        <f t="shared" si="58"/>
        <v>490.22768306866277</v>
      </c>
      <c r="AM94" s="62">
        <f t="shared" si="59"/>
        <v>783.56101640199608</v>
      </c>
      <c r="AN94" s="62">
        <f ca="1">AVERAGE(OFFSET($AM$3,0,0,'Données projet'!$E$10+1,1))-AVERAGE(OFFSET($H$3,0,0,'Données projet'!$E$10+1,1))</f>
        <v>377.28543127606366</v>
      </c>
      <c r="AO94" s="62">
        <f t="shared" si="90"/>
        <v>166.97658184507776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-9.9316821433603781E-14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271.30269362742433</v>
      </c>
      <c r="BJ94" s="62">
        <f t="shared" si="92"/>
        <v>296.39988431569537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284.39999999999969</v>
      </c>
      <c r="O95" s="14">
        <f>N95*VLOOKUP('Données projet'!$B$9,Paramètres!$A$1:$I$89,3,0)*VLOOKUP('Données projet'!$B$9,Paramètres!$A$1:$I$89,5,0)</f>
        <v>257.32511999999969</v>
      </c>
      <c r="P95" s="14">
        <f t="shared" si="87"/>
        <v>62.151858920612597</v>
      </c>
      <c r="Q95" s="22">
        <f t="shared" si="54"/>
        <v>556.42240495339968</v>
      </c>
      <c r="R95" s="62">
        <f t="shared" si="55"/>
        <v>849.75573828673305</v>
      </c>
      <c r="S95" s="62">
        <f ca="1">AVERAGE(OFFSET($R$3,0,0,'Données projet'!$E$9+1,1))-AVERAGE(OFFSET($H$3,0,0,'Données projet'!$E$9+1,1))</f>
        <v>429.08703331308703</v>
      </c>
      <c r="T95" s="62">
        <f t="shared" si="88"/>
        <v>231.36959598460675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</v>
      </c>
      <c r="AI95" s="14">
        <f>IF('Données projet'!$A$62&gt;35,AI94+AH95-AQ94,IF(A95&lt;'Données projet'!$A$62,$AF$205^A95,IF(A95='Données projet'!$A$62,'Données projet'!$B$62,AI94+AH95-AQ94)))</f>
        <v>214.00000000000006</v>
      </c>
      <c r="AJ95" s="14">
        <f>AI95*VLOOKUP('Données projet'!$B$10,Paramètres!$A$1:$I$89,3,0)*VLOOKUP('Données projet'!$B$10,Paramètres!$A$1:$I$89,5,0)</f>
        <v>230.34960000000004</v>
      </c>
      <c r="AK95" s="14">
        <f t="shared" si="89"/>
        <v>56.35826654142631</v>
      </c>
      <c r="AL95" s="22">
        <f t="shared" si="58"/>
        <v>499.34953422631753</v>
      </c>
      <c r="AM95" s="62">
        <f t="shared" si="59"/>
        <v>792.68286755965084</v>
      </c>
      <c r="AN95" s="62">
        <f ca="1">AVERAGE(OFFSET($AM$3,0,0,'Données projet'!$E$10+1,1))-AVERAGE(OFFSET($H$3,0,0,'Données projet'!$E$10+1,1))</f>
        <v>377.28543127606366</v>
      </c>
      <c r="AO95" s="62">
        <f t="shared" si="90"/>
        <v>166.97658184507776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-9.9316821433603781E-14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271.30269362742433</v>
      </c>
      <c r="BJ95" s="62">
        <f t="shared" si="92"/>
        <v>296.39988431569537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289.59999999999968</v>
      </c>
      <c r="O96" s="14">
        <f>N96*VLOOKUP('Données projet'!$B$9,Paramètres!$A$1:$I$89,3,0)*VLOOKUP('Données projet'!$B$9,Paramètres!$A$1:$I$89,5,0)</f>
        <v>262.03007999999966</v>
      </c>
      <c r="P96" s="14">
        <f t="shared" si="87"/>
        <v>63.154912899742527</v>
      </c>
      <c r="Q96" s="22">
        <f t="shared" si="54"/>
        <v>566.36386263371753</v>
      </c>
      <c r="R96" s="62">
        <f t="shared" si="55"/>
        <v>859.6971959670509</v>
      </c>
      <c r="S96" s="62">
        <f ca="1">AVERAGE(OFFSET($R$3,0,0,'Données projet'!$E$9+1,1))-AVERAGE(OFFSET($H$3,0,0,'Données projet'!$E$9+1,1))</f>
        <v>429.08703331308703</v>
      </c>
      <c r="T96" s="62">
        <f t="shared" si="88"/>
        <v>231.36959598460675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</v>
      </c>
      <c r="AI96" s="14">
        <f>IF('Données projet'!$A$62&gt;35,AI95+AH96-AQ95,IF(A96&lt;'Données projet'!$A$62,$AF$205^A96,IF(A96='Données projet'!$A$62,'Données projet'!$B$62,AI95+AH96-AQ95)))</f>
        <v>218.00000000000006</v>
      </c>
      <c r="AJ96" s="14">
        <f>AI96*VLOOKUP('Données projet'!$B$10,Paramètres!$A$1:$I$89,3,0)*VLOOKUP('Données projet'!$B$10,Paramètres!$A$1:$I$89,5,0)</f>
        <v>234.65520000000004</v>
      </c>
      <c r="AK96" s="14">
        <f t="shared" si="89"/>
        <v>57.288067746850999</v>
      </c>
      <c r="AL96" s="22">
        <f t="shared" si="58"/>
        <v>508.46785799243213</v>
      </c>
      <c r="AM96" s="62">
        <f t="shared" si="59"/>
        <v>801.80119132576544</v>
      </c>
      <c r="AN96" s="62">
        <f ca="1">AVERAGE(OFFSET($AM$3,0,0,'Données projet'!$E$10+1,1))-AVERAGE(OFFSET($H$3,0,0,'Données projet'!$E$10+1,1))</f>
        <v>377.28543127606366</v>
      </c>
      <c r="AO96" s="62">
        <f t="shared" si="90"/>
        <v>166.97658184507776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-9.9316821433603781E-14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271.30269362742433</v>
      </c>
      <c r="BJ96" s="62">
        <f t="shared" si="92"/>
        <v>296.39988431569537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294.79999999999967</v>
      </c>
      <c r="O97" s="14">
        <f>N97*VLOOKUP('Données projet'!$B$9,Paramètres!$A$1:$I$89,3,0)*VLOOKUP('Données projet'!$B$9,Paramètres!$A$1:$I$89,5,0)</f>
        <v>266.73503999999969</v>
      </c>
      <c r="P97" s="14">
        <f t="shared" si="87"/>
        <v>64.155872510973168</v>
      </c>
      <c r="Q97" s="22">
        <f t="shared" si="54"/>
        <v>576.30167262327768</v>
      </c>
      <c r="R97" s="62">
        <f t="shared" si="55"/>
        <v>869.63500595661094</v>
      </c>
      <c r="S97" s="62">
        <f ca="1">AVERAGE(OFFSET($R$3,0,0,'Données projet'!$E$9+1,1))-AVERAGE(OFFSET($H$3,0,0,'Données projet'!$E$9+1,1))</f>
        <v>429.08703331308703</v>
      </c>
      <c r="T97" s="62">
        <f t="shared" si="88"/>
        <v>231.36959598460675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</v>
      </c>
      <c r="AI97" s="14">
        <f>IF('Données projet'!$A$62&gt;35,AI96+AH97-AQ96,IF(A97&lt;'Données projet'!$A$62,$AF$205^A97,IF(A97='Données projet'!$A$62,'Données projet'!$B$62,AI96+AH97-AQ96)))</f>
        <v>222.00000000000006</v>
      </c>
      <c r="AJ97" s="14">
        <f>AI97*VLOOKUP('Données projet'!$B$10,Paramètres!$A$1:$I$89,3,0)*VLOOKUP('Données projet'!$B$10,Paramètres!$A$1:$I$89,5,0)</f>
        <v>238.96080000000006</v>
      </c>
      <c r="AK97" s="14">
        <f t="shared" si="89"/>
        <v>58.215885103108349</v>
      </c>
      <c r="AL97" s="22">
        <f t="shared" si="58"/>
        <v>517.5827265545804</v>
      </c>
      <c r="AM97" s="62">
        <f t="shared" si="59"/>
        <v>810.91605988791366</v>
      </c>
      <c r="AN97" s="62">
        <f ca="1">AVERAGE(OFFSET($AM$3,0,0,'Données projet'!$E$10+1,1))-AVERAGE(OFFSET($H$3,0,0,'Données projet'!$E$10+1,1))</f>
        <v>377.28543127606366</v>
      </c>
      <c r="AO97" s="62">
        <f t="shared" si="90"/>
        <v>166.97658184507776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-9.9316821433603781E-14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271.30269362742433</v>
      </c>
      <c r="BJ97" s="62">
        <f t="shared" si="92"/>
        <v>296.39988431569537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299.99999999999966</v>
      </c>
      <c r="O98" s="14">
        <f>N98*VLOOKUP('Données projet'!$B$9,Paramètres!$A$1:$I$89,3,0)*VLOOKUP('Données projet'!$B$9,Paramètres!$A$1:$I$89,5,0)</f>
        <v>271.43999999999971</v>
      </c>
      <c r="P98" s="14">
        <f t="shared" si="87"/>
        <v>65.154778959151116</v>
      </c>
      <c r="Q98" s="22">
        <f t="shared" si="54"/>
        <v>586.23590668718782</v>
      </c>
      <c r="R98" s="62">
        <f t="shared" si="55"/>
        <v>879.56924002052119</v>
      </c>
      <c r="S98" s="62">
        <f ca="1">AVERAGE(OFFSET($R$3,0,0,'Données projet'!$E$9+1,1))-AVERAGE(OFFSET($H$3,0,0,'Données projet'!$E$9+1,1))</f>
        <v>429.08703331308703</v>
      </c>
      <c r="T98" s="62">
        <f t="shared" si="88"/>
        <v>231.36959598460675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226</v>
      </c>
      <c r="AG98" s="13">
        <f>VLOOKUP(A98,'Données projet'!$A$61:$I$81,9,0)</f>
        <v>4</v>
      </c>
      <c r="AH98" s="13">
        <f t="array" ref="AH98">INDEX(AG:AG,MIN(IF(ISNUMBER(AG98:AG294),ROW(AG98:AG294),"")))</f>
        <v>4</v>
      </c>
      <c r="AI98" s="14">
        <f>IF('Données projet'!$A$62&gt;35,AI97+AH98-AQ97,IF(A98&lt;'Données projet'!$A$62,$AF$205^A98,IF(A98='Données projet'!$A$62,'Données projet'!$B$62,AI97+AH98-AQ97)))</f>
        <v>226.00000000000006</v>
      </c>
      <c r="AJ98" s="14">
        <f>AI98*VLOOKUP('Données projet'!$B$10,Paramètres!$A$1:$I$89,3,0)*VLOOKUP('Données projet'!$B$10,Paramètres!$A$1:$I$89,5,0)</f>
        <v>243.26640000000006</v>
      </c>
      <c r="AK98" s="14">
        <f t="shared" si="89"/>
        <v>59.141758478481812</v>
      </c>
      <c r="AL98" s="22">
        <f t="shared" si="58"/>
        <v>526.69420935002256</v>
      </c>
      <c r="AM98" s="62">
        <f t="shared" si="59"/>
        <v>820.02754268335593</v>
      </c>
      <c r="AN98" s="62">
        <f ca="1">AVERAGE(OFFSET($AM$3,0,0,'Données projet'!$E$10+1,1))-AVERAGE(OFFSET($H$3,0,0,'Données projet'!$E$10+1,1))</f>
        <v>377.28543127606366</v>
      </c>
      <c r="AO98" s="62">
        <f t="shared" si="90"/>
        <v>166.97658184507776</v>
      </c>
      <c r="AP98" s="16">
        <f>IF(ISNA(VLOOKUP(A98,'Données projet'!$A$61:$I$81,3,0)),0,VLOOKUP(A98,'Données projet'!$A$61:$I$81,3,0))</f>
        <v>7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-9.9316821433603781E-14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271.30269362742433</v>
      </c>
      <c r="BJ98" s="62">
        <f t="shared" si="92"/>
        <v>296.39988431569537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262.69999999999965</v>
      </c>
      <c r="O99" s="14">
        <f>N99*VLOOKUP('Données projet'!$B$9,Paramètres!$A$1:$I$89,3,0)*VLOOKUP('Données projet'!$B$9,Paramètres!$A$1:$I$89,5,0)</f>
        <v>237.69095999999968</v>
      </c>
      <c r="P99" s="14">
        <f t="shared" si="87"/>
        <v>57.942450096949344</v>
      </c>
      <c r="Q99" s="22">
        <f t="shared" ref="Q99:Q130" si="107">(O99+P99)*0.475*44/12</f>
        <v>514.89485591885284</v>
      </c>
      <c r="R99" s="62">
        <f t="shared" si="55"/>
        <v>808.22818925218621</v>
      </c>
      <c r="S99" s="62">
        <f ca="1">AVERAGE(OFFSET($R$3,0,0,'Données projet'!$E$9+1,1))-AVERAGE(OFFSET($H$3,0,0,'Données projet'!$E$9+1,1))</f>
        <v>429.08703331308703</v>
      </c>
      <c r="T99" s="62">
        <f t="shared" si="88"/>
        <v>231.36959598460675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3.4</v>
      </c>
      <c r="AI99" s="14">
        <f>IF('Données projet'!$A$62&gt;35,AI98+AH99-AQ98,IF(A99&lt;'Données projet'!$A$62,$AF$205^A99,IF(A99='Données projet'!$A$62,'Données projet'!$B$62,AI98+AH99-AQ98)))</f>
        <v>201.40000000000006</v>
      </c>
      <c r="AJ99" s="14">
        <f>AI99*VLOOKUP('Données projet'!$B$10,Paramètres!$A$1:$I$89,3,0)*VLOOKUP('Données projet'!$B$10,Paramètres!$A$1:$I$89,5,0)</f>
        <v>216.78696000000008</v>
      </c>
      <c r="AK99" s="14">
        <f t="shared" si="89"/>
        <v>53.415950516159398</v>
      </c>
      <c r="AL99" s="22">
        <f t="shared" si="58"/>
        <v>470.60340248231097</v>
      </c>
      <c r="AM99" s="62">
        <f t="shared" si="59"/>
        <v>763.93673581564428</v>
      </c>
      <c r="AN99" s="62">
        <f ca="1">AVERAGE(OFFSET($AM$3,0,0,'Données projet'!$E$10+1,1))-AVERAGE(OFFSET($H$3,0,0,'Données projet'!$E$10+1,1))</f>
        <v>377.28543127606366</v>
      </c>
      <c r="AO99" s="62">
        <f t="shared" si="90"/>
        <v>166.97658184507776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-9.9316821433603781E-14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271.30269362742433</v>
      </c>
      <c r="BJ99" s="62">
        <f t="shared" si="92"/>
        <v>296.39988431569537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267.39999999999964</v>
      </c>
      <c r="O100" s="14">
        <f>N100*VLOOKUP('Données projet'!$B$9,Paramètres!$A$1:$I$89,3,0)*VLOOKUP('Données projet'!$B$9,Paramètres!$A$1:$I$89,5,0)</f>
        <v>241.94351999999967</v>
      </c>
      <c r="P100" s="14">
        <f t="shared" si="87"/>
        <v>58.857491789961337</v>
      </c>
      <c r="Q100" s="22">
        <f t="shared" si="107"/>
        <v>523.89509553418213</v>
      </c>
      <c r="R100" s="62">
        <f t="shared" si="55"/>
        <v>817.2284288675155</v>
      </c>
      <c r="S100" s="62">
        <f ca="1">AVERAGE(OFFSET($R$3,0,0,'Données projet'!$E$9+1,1))-AVERAGE(OFFSET($H$3,0,0,'Données projet'!$E$9+1,1))</f>
        <v>429.08703331308703</v>
      </c>
      <c r="T100" s="62">
        <f t="shared" si="88"/>
        <v>231.36959598460675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3.4</v>
      </c>
      <c r="AI100" s="14">
        <f>IF('Données projet'!$A$62&gt;35,AI99+AH100-AQ99,IF(A100&lt;'Données projet'!$A$62,$AF$205^A100,IF(A100='Données projet'!$A$62,'Données projet'!$B$62,AI99+AH100-AQ99)))</f>
        <v>204.80000000000007</v>
      </c>
      <c r="AJ100" s="14">
        <f>AI100*VLOOKUP('Données projet'!$B$10,Paramètres!$A$1:$I$89,3,0)*VLOOKUP('Données projet'!$B$10,Paramètres!$A$1:$I$89,5,0)</f>
        <v>220.44672000000008</v>
      </c>
      <c r="AK100" s="14">
        <f t="shared" si="89"/>
        <v>54.211966639941046</v>
      </c>
      <c r="AL100" s="22">
        <f t="shared" si="58"/>
        <v>478.36387923123084</v>
      </c>
      <c r="AM100" s="62">
        <f t="shared" si="59"/>
        <v>771.6972125645641</v>
      </c>
      <c r="AN100" s="62">
        <f ca="1">AVERAGE(OFFSET($AM$3,0,0,'Données projet'!$E$10+1,1))-AVERAGE(OFFSET($H$3,0,0,'Données projet'!$E$10+1,1))</f>
        <v>377.28543127606366</v>
      </c>
      <c r="AO100" s="62">
        <f t="shared" si="90"/>
        <v>166.97658184507776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-9.9316821433603781E-14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271.30269362742433</v>
      </c>
      <c r="BJ100" s="62">
        <f t="shared" si="92"/>
        <v>296.39988431569537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272.09999999999962</v>
      </c>
      <c r="O101" s="14">
        <f>N101*VLOOKUP('Données projet'!$B$9,Paramètres!$A$1:$I$89,3,0)*VLOOKUP('Données projet'!$B$9,Paramètres!$A$1:$I$89,5,0)</f>
        <v>246.19607999999968</v>
      </c>
      <c r="P101" s="14">
        <f t="shared" si="87"/>
        <v>59.770663189456016</v>
      </c>
      <c r="Q101" s="22">
        <f t="shared" si="107"/>
        <v>532.89207772163536</v>
      </c>
      <c r="R101" s="62">
        <f t="shared" si="55"/>
        <v>826.22541105496862</v>
      </c>
      <c r="S101" s="62">
        <f ca="1">AVERAGE(OFFSET($R$3,0,0,'Données projet'!$E$9+1,1))-AVERAGE(OFFSET($H$3,0,0,'Données projet'!$E$9+1,1))</f>
        <v>429.08703331308703</v>
      </c>
      <c r="T101" s="62">
        <f t="shared" si="88"/>
        <v>231.36959598460675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3.4</v>
      </c>
      <c r="AI101" s="14">
        <f>IF('Données projet'!$A$62&gt;35,AI100+AH101-AQ100,IF(A101&lt;'Données projet'!$A$62,$AF$205^A101,IF(A101='Données projet'!$A$62,'Données projet'!$B$62,AI100+AH101-AQ100)))</f>
        <v>208.20000000000007</v>
      </c>
      <c r="AJ101" s="14">
        <f>AI101*VLOOKUP('Données projet'!$B$10,Paramètres!$A$1:$I$89,3,0)*VLOOKUP('Données projet'!$B$10,Paramètres!$A$1:$I$89,5,0)</f>
        <v>224.10648000000009</v>
      </c>
      <c r="AK101" s="14">
        <f t="shared" si="89"/>
        <v>55.00644593542259</v>
      </c>
      <c r="AL101" s="22">
        <f t="shared" si="58"/>
        <v>486.12167933752789</v>
      </c>
      <c r="AM101" s="62">
        <f t="shared" si="59"/>
        <v>779.45501267086115</v>
      </c>
      <c r="AN101" s="62">
        <f ca="1">AVERAGE(OFFSET($AM$3,0,0,'Données projet'!$E$10+1,1))-AVERAGE(OFFSET($H$3,0,0,'Données projet'!$E$10+1,1))</f>
        <v>377.28543127606366</v>
      </c>
      <c r="AO101" s="62">
        <f t="shared" si="90"/>
        <v>166.97658184507776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-9.9316821433603781E-14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271.30269362742433</v>
      </c>
      <c r="BJ101" s="62">
        <f t="shared" si="92"/>
        <v>296.39988431569537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276.79999999999961</v>
      </c>
      <c r="O102" s="14">
        <f>N102*VLOOKUP('Données projet'!$B$9,Paramètres!$A$1:$I$89,3,0)*VLOOKUP('Données projet'!$B$9,Paramètres!$A$1:$I$89,5,0)</f>
        <v>250.44863999999961</v>
      </c>
      <c r="P102" s="14">
        <f t="shared" si="87"/>
        <v>60.682000328889949</v>
      </c>
      <c r="Q102" s="22">
        <f t="shared" si="107"/>
        <v>541.88586523948277</v>
      </c>
      <c r="R102" s="62">
        <f t="shared" si="55"/>
        <v>835.21919857281614</v>
      </c>
      <c r="S102" s="62">
        <f ca="1">AVERAGE(OFFSET($R$3,0,0,'Données projet'!$E$9+1,1))-AVERAGE(OFFSET($H$3,0,0,'Données projet'!$E$9+1,1))</f>
        <v>429.08703331308703</v>
      </c>
      <c r="T102" s="62">
        <f t="shared" si="88"/>
        <v>231.36959598460675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3.4</v>
      </c>
      <c r="AI102" s="14">
        <f>IF('Données projet'!$A$62&gt;35,AI101+AH102-AQ101,IF(A102&lt;'Données projet'!$A$62,$AF$205^A102,IF(A102='Données projet'!$A$62,'Données projet'!$B$62,AI101+AH102-AQ101)))</f>
        <v>211.60000000000008</v>
      </c>
      <c r="AJ102" s="14">
        <f>AI102*VLOOKUP('Données projet'!$B$10,Paramètres!$A$1:$I$89,3,0)*VLOOKUP('Données projet'!$B$10,Paramètres!$A$1:$I$89,5,0)</f>
        <v>227.7662400000001</v>
      </c>
      <c r="AK102" s="14">
        <f t="shared" si="89"/>
        <v>55.799416396900632</v>
      </c>
      <c r="AL102" s="22">
        <f t="shared" si="58"/>
        <v>493.87685155793548</v>
      </c>
      <c r="AM102" s="62">
        <f t="shared" si="59"/>
        <v>787.2101848912688</v>
      </c>
      <c r="AN102" s="62">
        <f ca="1">AVERAGE(OFFSET($AM$3,0,0,'Données projet'!$E$10+1,1))-AVERAGE(OFFSET($H$3,0,0,'Données projet'!$E$10+1,1))</f>
        <v>377.28543127606366</v>
      </c>
      <c r="AO102" s="62">
        <f t="shared" si="90"/>
        <v>166.97658184507776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-9.9316821433603781E-14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271.30269362742433</v>
      </c>
      <c r="BJ102" s="62">
        <f t="shared" si="92"/>
        <v>296.39988431569537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281.4999999999996</v>
      </c>
      <c r="O103" s="14">
        <f>N103*VLOOKUP('Données projet'!$B$9,Paramètres!$A$1:$I$89,3,0)*VLOOKUP('Données projet'!$B$9,Paramètres!$A$1:$I$89,5,0)</f>
        <v>254.70119999999963</v>
      </c>
      <c r="P103" s="14">
        <f t="shared" si="87"/>
        <v>61.591537947915114</v>
      </c>
      <c r="Q103" s="22">
        <f t="shared" si="107"/>
        <v>550.87651859261814</v>
      </c>
      <c r="R103" s="62">
        <f t="shared" si="55"/>
        <v>844.2098519259514</v>
      </c>
      <c r="S103" s="62">
        <f ca="1">AVERAGE(OFFSET($R$3,0,0,'Données projet'!$E$9+1,1))-AVERAGE(OFFSET($H$3,0,0,'Données projet'!$E$9+1,1))</f>
        <v>429.08703331308703</v>
      </c>
      <c r="T103" s="62">
        <f t="shared" si="88"/>
        <v>231.36959598460675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3.4</v>
      </c>
      <c r="AI103" s="14">
        <f>IF('Données projet'!$A$62&gt;35,AI102+AH103-AQ102,IF(A103&lt;'Données projet'!$A$62,$AF$205^A103,IF(A103='Données projet'!$A$62,'Données projet'!$B$62,AI102+AH103-AQ102)))</f>
        <v>215.00000000000009</v>
      </c>
      <c r="AJ103" s="14">
        <f>AI103*VLOOKUP('Données projet'!$B$10,Paramètres!$A$1:$I$89,3,0)*VLOOKUP('Données projet'!$B$10,Paramètres!$A$1:$I$89,5,0)</f>
        <v>231.4260000000001</v>
      </c>
      <c r="AK103" s="14">
        <f t="shared" si="89"/>
        <v>56.590905067453221</v>
      </c>
      <c r="AL103" s="22">
        <f t="shared" si="58"/>
        <v>501.62944299248119</v>
      </c>
      <c r="AM103" s="62">
        <f t="shared" si="59"/>
        <v>794.9627763258145</v>
      </c>
      <c r="AN103" s="62">
        <f ca="1">AVERAGE(OFFSET($AM$3,0,0,'Données projet'!$E$10+1,1))-AVERAGE(OFFSET($H$3,0,0,'Données projet'!$E$10+1,1))</f>
        <v>377.28543127606366</v>
      </c>
      <c r="AO103" s="62">
        <f t="shared" si="90"/>
        <v>166.97658184507776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-9.9316821433603781E-14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271.30269362742433</v>
      </c>
      <c r="BJ103" s="62">
        <f t="shared" si="92"/>
        <v>296.39988431569537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286.19999999999959</v>
      </c>
      <c r="O104" s="14">
        <f>N104*VLOOKUP('Données projet'!$B$9,Paramètres!$A$1:$I$89,3,0)*VLOOKUP('Données projet'!$B$9,Paramètres!$A$1:$I$89,5,0)</f>
        <v>258.95375999999965</v>
      </c>
      <c r="P104" s="14">
        <f t="shared" si="87"/>
        <v>62.499309559645205</v>
      </c>
      <c r="Q104" s="22">
        <f t="shared" si="107"/>
        <v>559.86409614971478</v>
      </c>
      <c r="R104" s="62">
        <f t="shared" si="55"/>
        <v>853.19742948304815</v>
      </c>
      <c r="S104" s="62">
        <f ca="1">AVERAGE(OFFSET($R$3,0,0,'Données projet'!$E$9+1,1))-AVERAGE(OFFSET($H$3,0,0,'Données projet'!$E$9+1,1))</f>
        <v>429.08703331308703</v>
      </c>
      <c r="T104" s="62">
        <f t="shared" si="88"/>
        <v>231.36959598460675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3.4</v>
      </c>
      <c r="AI104" s="14">
        <f>IF('Données projet'!$A$62&gt;35,AI103+AH104-AQ103,IF(A104&lt;'Données projet'!$A$62,$AF$205^A104,IF(A104='Données projet'!$A$62,'Données projet'!$B$62,AI103+AH104-AQ103)))</f>
        <v>218.40000000000009</v>
      </c>
      <c r="AJ104" s="14">
        <f>AI104*VLOOKUP('Données projet'!$B$10,Paramètres!$A$1:$I$89,3,0)*VLOOKUP('Données projet'!$B$10,Paramètres!$A$1:$I$89,5,0)</f>
        <v>235.08576000000011</v>
      </c>
      <c r="AK104" s="14">
        <f t="shared" si="89"/>
        <v>57.380938085783058</v>
      </c>
      <c r="AL104" s="22">
        <f t="shared" si="58"/>
        <v>509.37949916607232</v>
      </c>
      <c r="AM104" s="62">
        <f t="shared" si="59"/>
        <v>802.71283249940564</v>
      </c>
      <c r="AN104" s="62">
        <f ca="1">AVERAGE(OFFSET($AM$3,0,0,'Données projet'!$E$10+1,1))-AVERAGE(OFFSET($H$3,0,0,'Données projet'!$E$10+1,1))</f>
        <v>377.28543127606366</v>
      </c>
      <c r="AO104" s="62">
        <f t="shared" si="90"/>
        <v>166.97658184507776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-9.9316821433603781E-14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271.30269362742433</v>
      </c>
      <c r="BJ104" s="62">
        <f t="shared" si="92"/>
        <v>296.39988431569537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290.89999999999958</v>
      </c>
      <c r="O105" s="14">
        <f>N105*VLOOKUP('Données projet'!$B$9,Paramètres!$A$1:$I$89,3,0)*VLOOKUP('Données projet'!$B$9,Paramètres!$A$1:$I$89,5,0)</f>
        <v>263.20631999999961</v>
      </c>
      <c r="P105" s="14">
        <f t="shared" si="87"/>
        <v>63.405347513378558</v>
      </c>
      <c r="Q105" s="22">
        <f t="shared" si="107"/>
        <v>568.84865425246687</v>
      </c>
      <c r="R105" s="62">
        <f t="shared" si="55"/>
        <v>862.18198758580024</v>
      </c>
      <c r="S105" s="62">
        <f ca="1">AVERAGE(OFFSET($R$3,0,0,'Données projet'!$E$9+1,1))-AVERAGE(OFFSET($H$3,0,0,'Données projet'!$E$9+1,1))</f>
        <v>429.08703331308703</v>
      </c>
      <c r="T105" s="62">
        <f t="shared" si="88"/>
        <v>231.36959598460675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3.4</v>
      </c>
      <c r="AI105" s="14">
        <f>IF('Données projet'!$A$62&gt;35,AI104+AH105-AQ104,IF(A105&lt;'Données projet'!$A$62,$AF$205^A105,IF(A105='Données projet'!$A$62,'Données projet'!$B$62,AI104+AH105-AQ104)))</f>
        <v>221.8000000000001</v>
      </c>
      <c r="AJ105" s="14">
        <f>AI105*VLOOKUP('Données projet'!$B$10,Paramètres!$A$1:$I$89,3,0)*VLOOKUP('Données projet'!$B$10,Paramètres!$A$1:$I$89,5,0)</f>
        <v>238.74552000000011</v>
      </c>
      <c r="AK105" s="14">
        <f t="shared" si="89"/>
        <v>58.169540730060781</v>
      </c>
      <c r="AL105" s="22">
        <f t="shared" si="58"/>
        <v>517.127064104856</v>
      </c>
      <c r="AM105" s="62">
        <f t="shared" si="59"/>
        <v>810.46039743818937</v>
      </c>
      <c r="AN105" s="62">
        <f ca="1">AVERAGE(OFFSET($AM$3,0,0,'Données projet'!$E$10+1,1))-AVERAGE(OFFSET($H$3,0,0,'Données projet'!$E$10+1,1))</f>
        <v>377.28543127606366</v>
      </c>
      <c r="AO105" s="62">
        <f t="shared" si="90"/>
        <v>166.97658184507776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-9.9316821433603781E-14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271.30269362742433</v>
      </c>
      <c r="BJ105" s="62">
        <f t="shared" si="92"/>
        <v>296.39988431569537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295.59999999999957</v>
      </c>
      <c r="O106" s="14">
        <f>N106*VLOOKUP('Données projet'!$B$9,Paramètres!$A$1:$I$89,3,0)*VLOOKUP('Données projet'!$B$9,Paramètres!$A$1:$I$89,5,0)</f>
        <v>267.45887999999962</v>
      </c>
      <c r="P106" s="14">
        <f t="shared" si="87"/>
        <v>64.309683053152327</v>
      </c>
      <c r="Q106" s="22">
        <f t="shared" si="107"/>
        <v>577.83024731757303</v>
      </c>
      <c r="R106" s="62">
        <f t="shared" si="55"/>
        <v>871.1635806509064</v>
      </c>
      <c r="S106" s="62">
        <f ca="1">AVERAGE(OFFSET($R$3,0,0,'Données projet'!$E$9+1,1))-AVERAGE(OFFSET($H$3,0,0,'Données projet'!$E$9+1,1))</f>
        <v>429.08703331308703</v>
      </c>
      <c r="T106" s="62">
        <f t="shared" si="88"/>
        <v>231.36959598460675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3.4</v>
      </c>
      <c r="AI106" s="14">
        <f>IF('Données projet'!$A$62&gt;35,AI105+AH106-AQ105,IF(A106&lt;'Données projet'!$A$62,$AF$205^A106,IF(A106='Données projet'!$A$62,'Données projet'!$B$62,AI105+AH106-AQ105)))</f>
        <v>225.2000000000001</v>
      </c>
      <c r="AJ106" s="14">
        <f>AI106*VLOOKUP('Données projet'!$B$10,Paramètres!$A$1:$I$89,3,0)*VLOOKUP('Données projet'!$B$10,Paramètres!$A$1:$I$89,5,0)</f>
        <v>242.40528000000012</v>
      </c>
      <c r="AK106" s="14">
        <f t="shared" si="89"/>
        <v>58.956737459003875</v>
      </c>
      <c r="AL106" s="22">
        <f t="shared" si="58"/>
        <v>524.87218040776531</v>
      </c>
      <c r="AM106" s="62">
        <f t="shared" si="59"/>
        <v>818.20551374109868</v>
      </c>
      <c r="AN106" s="62">
        <f ca="1">AVERAGE(OFFSET($AM$3,0,0,'Données projet'!$E$10+1,1))-AVERAGE(OFFSET($H$3,0,0,'Données projet'!$E$10+1,1))</f>
        <v>377.28543127606366</v>
      </c>
      <c r="AO106" s="62">
        <f t="shared" si="90"/>
        <v>166.97658184507776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-9.9316821433603781E-14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271.30269362742433</v>
      </c>
      <c r="BJ106" s="62">
        <f t="shared" si="92"/>
        <v>296.39988431569537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300.29999999999956</v>
      </c>
      <c r="O107" s="14">
        <f>N107*VLOOKUP('Données projet'!$B$9,Paramètres!$A$1:$I$89,3,0)*VLOOKUP('Données projet'!$B$9,Paramètres!$A$1:$I$89,5,0)</f>
        <v>271.71143999999958</v>
      </c>
      <c r="P107" s="14">
        <f t="shared" si="87"/>
        <v>65.212346372467266</v>
      </c>
      <c r="Q107" s="22">
        <f t="shared" si="107"/>
        <v>586.80892793204634</v>
      </c>
      <c r="R107" s="62">
        <f t="shared" si="55"/>
        <v>880.1422612653796</v>
      </c>
      <c r="S107" s="62">
        <f ca="1">AVERAGE(OFFSET($R$3,0,0,'Données projet'!$E$9+1,1))-AVERAGE(OFFSET($H$3,0,0,'Données projet'!$E$9+1,1))</f>
        <v>429.08703331308703</v>
      </c>
      <c r="T107" s="62">
        <f t="shared" si="88"/>
        <v>231.36959598460675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3.4</v>
      </c>
      <c r="AI107" s="14">
        <f>IF('Données projet'!$A$62&gt;35,AI106+AH107-AQ106,IF(A107&lt;'Données projet'!$A$62,$AF$205^A107,IF(A107='Données projet'!$A$62,'Données projet'!$B$62,AI106+AH107-AQ106)))</f>
        <v>228.60000000000011</v>
      </c>
      <c r="AJ107" s="14">
        <f>AI107*VLOOKUP('Données projet'!$B$10,Paramètres!$A$1:$I$89,3,0)*VLOOKUP('Données projet'!$B$10,Paramètres!$A$1:$I$89,5,0)</f>
        <v>246.06504000000012</v>
      </c>
      <c r="AK107" s="14">
        <f t="shared" si="89"/>
        <v>59.742551950404099</v>
      </c>
      <c r="AL107" s="22">
        <f t="shared" si="58"/>
        <v>532.61488931362067</v>
      </c>
      <c r="AM107" s="62">
        <f t="shared" si="59"/>
        <v>825.94822264695404</v>
      </c>
      <c r="AN107" s="62">
        <f ca="1">AVERAGE(OFFSET($AM$3,0,0,'Données projet'!$E$10+1,1))-AVERAGE(OFFSET($H$3,0,0,'Données projet'!$E$10+1,1))</f>
        <v>377.28543127606366</v>
      </c>
      <c r="AO107" s="62">
        <f t="shared" si="90"/>
        <v>166.97658184507776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-9.9316821433603781E-14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271.30269362742433</v>
      </c>
      <c r="BJ107" s="62">
        <f t="shared" si="92"/>
        <v>296.39988431569537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304.99999999999955</v>
      </c>
      <c r="O108" s="14">
        <f>N108*VLOOKUP('Données projet'!$B$9,Paramètres!$A$1:$I$89,3,0)*VLOOKUP('Données projet'!$B$9,Paramètres!$A$1:$I$89,5,0)</f>
        <v>275.9639999999996</v>
      </c>
      <c r="P108" s="14">
        <f t="shared" si="87"/>
        <v>66.113366665488797</v>
      </c>
      <c r="Q108" s="22">
        <f t="shared" si="107"/>
        <v>595.7847469423923</v>
      </c>
      <c r="R108" s="62">
        <f t="shared" si="55"/>
        <v>889.11808027572556</v>
      </c>
      <c r="S108" s="62">
        <f ca="1">AVERAGE(OFFSET($R$3,0,0,'Données projet'!$E$9+1,1))-AVERAGE(OFFSET($H$3,0,0,'Données projet'!$E$9+1,1))</f>
        <v>429.08703331308703</v>
      </c>
      <c r="T108" s="62">
        <f t="shared" si="88"/>
        <v>231.36959598460675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232</v>
      </c>
      <c r="AG108" s="13">
        <f>VLOOKUP(A108,'Données projet'!$A$61:$I$81,9,0)</f>
        <v>3.4</v>
      </c>
      <c r="AH108" s="13">
        <f t="array" ref="AH108">INDEX(AG:AG,MIN(IF(ISNUMBER(AG108:AG304),ROW(AG108:AG304),"")))</f>
        <v>3.4</v>
      </c>
      <c r="AI108" s="14">
        <f>IF('Données projet'!$A$62&gt;35,AI107+AH108-AQ107,IF(A108&lt;'Données projet'!$A$62,$AF$205^A108,IF(A108='Données projet'!$A$62,'Données projet'!$B$62,AI107+AH108-AQ107)))</f>
        <v>232.00000000000011</v>
      </c>
      <c r="AJ108" s="14">
        <f>AI108*VLOOKUP('Données projet'!$B$10,Paramètres!$A$1:$I$89,3,0)*VLOOKUP('Données projet'!$B$10,Paramètres!$A$1:$I$89,5,0)</f>
        <v>249.72480000000013</v>
      </c>
      <c r="AK108" s="14">
        <f t="shared" si="89"/>
        <v>60.527007137298142</v>
      </c>
      <c r="AL108" s="22">
        <f t="shared" si="58"/>
        <v>540.3552307641279</v>
      </c>
      <c r="AM108" s="62">
        <f t="shared" si="59"/>
        <v>833.68856409746127</v>
      </c>
      <c r="AN108" s="62">
        <f ca="1">AVERAGE(OFFSET($AM$3,0,0,'Données projet'!$E$10+1,1))-AVERAGE(OFFSET($H$3,0,0,'Données projet'!$E$10+1,1))</f>
        <v>377.28543127606366</v>
      </c>
      <c r="AO108" s="62">
        <f t="shared" si="90"/>
        <v>166.97658184507776</v>
      </c>
      <c r="AP108" s="16">
        <f>IF(ISNA(VLOOKUP(A108,'Données projet'!$A$61:$I$81,3,0)),0,VLOOKUP(A108,'Données projet'!$A$61:$I$81,3,0))</f>
        <v>8</v>
      </c>
      <c r="AQ108" s="16">
        <f>IF(ISNA(VLOOKUP(A108,'Données projet'!$A$61:$I$81,4,0)),0,VLOOKUP(A108,'Données projet'!$A$61:$I$81,4,0))</f>
        <v>28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-9.9316821433603781E-14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271.30269362742433</v>
      </c>
      <c r="BJ108" s="62">
        <f t="shared" si="92"/>
        <v>296.39988431569537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267.99999999999955</v>
      </c>
      <c r="O109" s="14">
        <f>N109*VLOOKUP('Données projet'!$B$9,Paramètres!$A$1:$I$89,3,0)*VLOOKUP('Données projet'!$B$9,Paramètres!$A$1:$I$89,5,0)</f>
        <v>242.48639999999955</v>
      </c>
      <c r="P109" s="14">
        <f t="shared" si="87"/>
        <v>58.97417023537232</v>
      </c>
      <c r="Q109" s="22">
        <f t="shared" si="107"/>
        <v>525.0438264932726</v>
      </c>
      <c r="R109" s="62">
        <f t="shared" si="55"/>
        <v>818.37715982660598</v>
      </c>
      <c r="S109" s="62">
        <f ca="1">AVERAGE(OFFSET($R$3,0,0,'Données projet'!$E$9+1,1))-AVERAGE(OFFSET($H$3,0,0,'Données projet'!$E$9+1,1))</f>
        <v>429.08703331308703</v>
      </c>
      <c r="T109" s="62">
        <f t="shared" si="88"/>
        <v>231.36959598460675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2.9</v>
      </c>
      <c r="AI109" s="14">
        <f>IF('Données projet'!$A$62&gt;35,AI108+AH109-AQ108,IF(A109&lt;'Données projet'!$A$62,$AF$205^A109,IF(A109='Données projet'!$A$62,'Données projet'!$B$62,AI108+AH109-AQ108)))</f>
        <v>206.90000000000012</v>
      </c>
      <c r="AJ109" s="14">
        <f>AI109*VLOOKUP('Données projet'!$B$10,Paramètres!$A$1:$I$89,3,0)*VLOOKUP('Données projet'!$B$10,Paramètres!$A$1:$I$89,5,0)</f>
        <v>222.70716000000013</v>
      </c>
      <c r="AK109" s="14">
        <f t="shared" si="89"/>
        <v>54.702854104291788</v>
      </c>
      <c r="AL109" s="22">
        <f t="shared" si="58"/>
        <v>483.15577456497505</v>
      </c>
      <c r="AM109" s="62">
        <f t="shared" si="59"/>
        <v>776.48910789830836</v>
      </c>
      <c r="AN109" s="62">
        <f ca="1">AVERAGE(OFFSET($AM$3,0,0,'Données projet'!$E$10+1,1))-AVERAGE(OFFSET($H$3,0,0,'Données projet'!$E$10+1,1))</f>
        <v>377.28543127606366</v>
      </c>
      <c r="AO109" s="62">
        <f t="shared" si="90"/>
        <v>166.97658184507776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-9.9316821433603781E-14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271.30269362742433</v>
      </c>
      <c r="BJ109" s="62">
        <f t="shared" si="92"/>
        <v>296.39988431569537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271.99999999999955</v>
      </c>
      <c r="O110" s="14">
        <f>N110*VLOOKUP('Données projet'!$B$9,Paramètres!$A$1:$I$89,3,0)*VLOOKUP('Données projet'!$B$9,Paramètres!$A$1:$I$89,5,0)</f>
        <v>246.10559999999958</v>
      </c>
      <c r="P110" s="14">
        <f t="shared" si="87"/>
        <v>59.751253234371873</v>
      </c>
      <c r="Q110" s="22">
        <f t="shared" si="107"/>
        <v>532.70068604986363</v>
      </c>
      <c r="R110" s="62">
        <f t="shared" si="55"/>
        <v>826.03401938319689</v>
      </c>
      <c r="S110" s="62">
        <f ca="1">AVERAGE(OFFSET($R$3,0,0,'Données projet'!$E$9+1,1))-AVERAGE(OFFSET($H$3,0,0,'Données projet'!$E$9+1,1))</f>
        <v>429.08703331308703</v>
      </c>
      <c r="T110" s="62">
        <f t="shared" si="88"/>
        <v>231.36959598460675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2.9</v>
      </c>
      <c r="AI110" s="14">
        <f>IF('Données projet'!$A$62&gt;35,AI109+AH110-AQ109,IF(A110&lt;'Données projet'!$A$62,$AF$205^A110,IF(A110='Données projet'!$A$62,'Données projet'!$B$62,AI109+AH110-AQ109)))</f>
        <v>209.80000000000013</v>
      </c>
      <c r="AJ110" s="14">
        <f>AI110*VLOOKUP('Données projet'!$B$10,Paramètres!$A$1:$I$89,3,0)*VLOOKUP('Données projet'!$B$10,Paramètres!$A$1:$I$89,5,0)</f>
        <v>225.82872000000015</v>
      </c>
      <c r="AK110" s="14">
        <f t="shared" si="89"/>
        <v>55.379794784200001</v>
      </c>
      <c r="AL110" s="22">
        <f t="shared" si="58"/>
        <v>489.77149658248186</v>
      </c>
      <c r="AM110" s="62">
        <f t="shared" si="59"/>
        <v>783.10482991581512</v>
      </c>
      <c r="AN110" s="62">
        <f ca="1">AVERAGE(OFFSET($AM$3,0,0,'Données projet'!$E$10+1,1))-AVERAGE(OFFSET($H$3,0,0,'Données projet'!$E$10+1,1))</f>
        <v>377.28543127606366</v>
      </c>
      <c r="AO110" s="62">
        <f t="shared" si="90"/>
        <v>166.97658184507776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-9.9316821433603781E-14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271.30269362742433</v>
      </c>
      <c r="BJ110" s="62">
        <f t="shared" si="92"/>
        <v>296.39988431569537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275.99999999999955</v>
      </c>
      <c r="O111" s="14">
        <f>N111*VLOOKUP('Données projet'!$B$9,Paramètres!$A$1:$I$89,3,0)*VLOOKUP('Données projet'!$B$9,Paramètres!$A$1:$I$89,5,0)</f>
        <v>249.72479999999959</v>
      </c>
      <c r="P111" s="14">
        <f t="shared" si="87"/>
        <v>60.527007137298092</v>
      </c>
      <c r="Q111" s="22">
        <f t="shared" si="107"/>
        <v>540.35523076412676</v>
      </c>
      <c r="R111" s="62">
        <f t="shared" si="55"/>
        <v>833.68856409746013</v>
      </c>
      <c r="S111" s="62">
        <f ca="1">AVERAGE(OFFSET($R$3,0,0,'Données projet'!$E$9+1,1))-AVERAGE(OFFSET($H$3,0,0,'Données projet'!$E$9+1,1))</f>
        <v>429.08703331308703</v>
      </c>
      <c r="T111" s="62">
        <f t="shared" si="88"/>
        <v>231.36959598460675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2.9</v>
      </c>
      <c r="AI111" s="14">
        <f>IF('Données projet'!$A$62&gt;35,AI110+AH111-AQ110,IF(A111&lt;'Données projet'!$A$62,$AF$205^A111,IF(A111='Données projet'!$A$62,'Données projet'!$B$62,AI110+AH111-AQ110)))</f>
        <v>212.70000000000013</v>
      </c>
      <c r="AJ111" s="14">
        <f>AI111*VLOOKUP('Données projet'!$B$10,Paramètres!$A$1:$I$89,3,0)*VLOOKUP('Données projet'!$B$10,Paramètres!$A$1:$I$89,5,0)</f>
        <v>228.95028000000016</v>
      </c>
      <c r="AK111" s="14">
        <f t="shared" si="89"/>
        <v>56.055647132112782</v>
      </c>
      <c r="AL111" s="22">
        <f t="shared" si="58"/>
        <v>496.38532308843008</v>
      </c>
      <c r="AM111" s="62">
        <f t="shared" si="59"/>
        <v>789.7186564217634</v>
      </c>
      <c r="AN111" s="62">
        <f ca="1">AVERAGE(OFFSET($AM$3,0,0,'Données projet'!$E$10+1,1))-AVERAGE(OFFSET($H$3,0,0,'Données projet'!$E$10+1,1))</f>
        <v>377.28543127606366</v>
      </c>
      <c r="AO111" s="62">
        <f t="shared" si="90"/>
        <v>166.97658184507776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-9.9316821433603781E-14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271.30269362742433</v>
      </c>
      <c r="BJ111" s="62">
        <f t="shared" si="92"/>
        <v>296.39988431569537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279.99999999999955</v>
      </c>
      <c r="O112" s="14">
        <f>N112*VLOOKUP('Données projet'!$B$9,Paramètres!$A$1:$I$89,3,0)*VLOOKUP('Données projet'!$B$9,Paramètres!$A$1:$I$89,5,0)</f>
        <v>253.34399999999957</v>
      </c>
      <c r="P112" s="14">
        <f t="shared" si="87"/>
        <v>61.301453431926198</v>
      </c>
      <c r="Q112" s="22">
        <f t="shared" si="107"/>
        <v>548.00749806060401</v>
      </c>
      <c r="R112" s="62">
        <f t="shared" si="55"/>
        <v>841.34083139393738</v>
      </c>
      <c r="S112" s="62">
        <f ca="1">AVERAGE(OFFSET($R$3,0,0,'Données projet'!$E$9+1,1))-AVERAGE(OFFSET($H$3,0,0,'Données projet'!$E$9+1,1))</f>
        <v>429.08703331308703</v>
      </c>
      <c r="T112" s="62">
        <f t="shared" si="88"/>
        <v>231.36959598460675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2.9</v>
      </c>
      <c r="AI112" s="14">
        <f>IF('Données projet'!$A$62&gt;35,AI111+AH112-AQ111,IF(A112&lt;'Données projet'!$A$62,$AF$205^A112,IF(A112='Données projet'!$A$62,'Données projet'!$B$62,AI111+AH112-AQ111)))</f>
        <v>215.60000000000014</v>
      </c>
      <c r="AJ112" s="14">
        <f>AI112*VLOOKUP('Données projet'!$B$10,Paramètres!$A$1:$I$89,3,0)*VLOOKUP('Données projet'!$B$10,Paramètres!$A$1:$I$89,5,0)</f>
        <v>232.07184000000015</v>
      </c>
      <c r="AK112" s="14">
        <f t="shared" si="89"/>
        <v>56.730427701698225</v>
      </c>
      <c r="AL112" s="22">
        <f t="shared" si="58"/>
        <v>502.99728291379125</v>
      </c>
      <c r="AM112" s="62">
        <f t="shared" si="59"/>
        <v>796.33061624712457</v>
      </c>
      <c r="AN112" s="62">
        <f ca="1">AVERAGE(OFFSET($AM$3,0,0,'Données projet'!$E$10+1,1))-AVERAGE(OFFSET($H$3,0,0,'Données projet'!$E$10+1,1))</f>
        <v>377.28543127606366</v>
      </c>
      <c r="AO112" s="62">
        <f t="shared" si="90"/>
        <v>166.97658184507776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-9.9316821433603781E-14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271.30269362742433</v>
      </c>
      <c r="BJ112" s="62">
        <f t="shared" si="92"/>
        <v>296.39988431569537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283.99999999999955</v>
      </c>
      <c r="O113" s="14">
        <f>N113*VLOOKUP('Données projet'!$B$9,Paramètres!$A$1:$I$89,3,0)*VLOOKUP('Données projet'!$B$9,Paramètres!$A$1:$I$89,5,0)</f>
        <v>256.96319999999957</v>
      </c>
      <c r="P113" s="14">
        <f t="shared" si="87"/>
        <v>62.07461295683791</v>
      </c>
      <c r="Q113" s="22">
        <f t="shared" si="107"/>
        <v>555.6575242331586</v>
      </c>
      <c r="R113" s="62">
        <f t="shared" si="55"/>
        <v>848.99085756649197</v>
      </c>
      <c r="S113" s="62">
        <f ca="1">AVERAGE(OFFSET($R$3,0,0,'Données projet'!$E$9+1,1))-AVERAGE(OFFSET($H$3,0,0,'Données projet'!$E$9+1,1))</f>
        <v>429.08703331308703</v>
      </c>
      <c r="T113" s="62">
        <f t="shared" si="88"/>
        <v>231.36959598460675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2.9</v>
      </c>
      <c r="AI113" s="14">
        <f>IF('Données projet'!$A$62&gt;35,AI112+AH113-AQ112,IF(A113&lt;'Données projet'!$A$62,$AF$205^A113,IF(A113='Données projet'!$A$62,'Données projet'!$B$62,AI112+AH113-AQ112)))</f>
        <v>218.50000000000014</v>
      </c>
      <c r="AJ113" s="14">
        <f>AI113*VLOOKUP('Données projet'!$B$10,Paramètres!$A$1:$I$89,3,0)*VLOOKUP('Données projet'!$B$10,Paramètres!$A$1:$I$89,5,0)</f>
        <v>235.19340000000017</v>
      </c>
      <c r="AK113" s="14">
        <f t="shared" si="89"/>
        <v>57.404152575711407</v>
      </c>
      <c r="AL113" s="22">
        <f t="shared" si="58"/>
        <v>509.60740406936429</v>
      </c>
      <c r="AM113" s="62">
        <f t="shared" si="59"/>
        <v>802.94073740269755</v>
      </c>
      <c r="AN113" s="62">
        <f ca="1">AVERAGE(OFFSET($AM$3,0,0,'Données projet'!$E$10+1,1))-AVERAGE(OFFSET($H$3,0,0,'Données projet'!$E$10+1,1))</f>
        <v>377.28543127606366</v>
      </c>
      <c r="AO113" s="62">
        <f t="shared" si="90"/>
        <v>166.97658184507776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-9.9316821433603781E-14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271.30269362742433</v>
      </c>
      <c r="BJ113" s="62">
        <f t="shared" si="92"/>
        <v>296.39988431569537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287.99999999999955</v>
      </c>
      <c r="O114" s="14">
        <f>N114*VLOOKUP('Données projet'!$B$9,Paramètres!$A$1:$I$89,3,0)*VLOOKUP('Données projet'!$B$9,Paramètres!$A$1:$I$89,5,0)</f>
        <v>260.58239999999961</v>
      </c>
      <c r="P114" s="14">
        <f t="shared" si="87"/>
        <v>62.846505929896793</v>
      </c>
      <c r="Q114" s="22">
        <f t="shared" si="107"/>
        <v>563.30534449456957</v>
      </c>
      <c r="R114" s="62">
        <f t="shared" si="55"/>
        <v>856.63867782790294</v>
      </c>
      <c r="S114" s="62">
        <f ca="1">AVERAGE(OFFSET($R$3,0,0,'Données projet'!$E$9+1,1))-AVERAGE(OFFSET($H$3,0,0,'Données projet'!$E$9+1,1))</f>
        <v>429.08703331308703</v>
      </c>
      <c r="T114" s="62">
        <f t="shared" si="88"/>
        <v>231.36959598460675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2.9</v>
      </c>
      <c r="AI114" s="14">
        <f>IF('Données projet'!$A$62&gt;35,AI113+AH114-AQ113,IF(A114&lt;'Données projet'!$A$62,$AF$205^A114,IF(A114='Données projet'!$A$62,'Données projet'!$B$62,AI113+AH114-AQ113)))</f>
        <v>221.40000000000015</v>
      </c>
      <c r="AJ114" s="14">
        <f>AI114*VLOOKUP('Données projet'!$B$10,Paramètres!$A$1:$I$89,3,0)*VLOOKUP('Données projet'!$B$10,Paramètres!$A$1:$I$89,5,0)</f>
        <v>238.31496000000013</v>
      </c>
      <c r="AK114" s="14">
        <f t="shared" si="89"/>
        <v>58.076837385460081</v>
      </c>
      <c r="AL114" s="22">
        <f t="shared" si="58"/>
        <v>516.21571377967655</v>
      </c>
      <c r="AM114" s="62">
        <f t="shared" si="59"/>
        <v>809.54904711300992</v>
      </c>
      <c r="AN114" s="62">
        <f ca="1">AVERAGE(OFFSET($AM$3,0,0,'Données projet'!$E$10+1,1))-AVERAGE(OFFSET($H$3,0,0,'Données projet'!$E$10+1,1))</f>
        <v>377.28543127606366</v>
      </c>
      <c r="AO114" s="62">
        <f t="shared" si="90"/>
        <v>166.97658184507776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-9.9316821433603781E-14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271.30269362742433</v>
      </c>
      <c r="BJ114" s="62">
        <f t="shared" si="92"/>
        <v>296.39988431569537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291.99999999999955</v>
      </c>
      <c r="O115" s="14">
        <f>N115*VLOOKUP('Données projet'!$B$9,Paramètres!$A$1:$I$89,3,0)*VLOOKUP('Données projet'!$B$9,Paramètres!$A$1:$I$89,5,0)</f>
        <v>264.20159999999959</v>
      </c>
      <c r="P115" s="14">
        <f t="shared" si="87"/>
        <v>63.617151975096654</v>
      </c>
      <c r="Q115" s="22">
        <f t="shared" si="107"/>
        <v>570.95099302329265</v>
      </c>
      <c r="R115" s="62">
        <f t="shared" si="55"/>
        <v>864.28432635662602</v>
      </c>
      <c r="S115" s="62">
        <f ca="1">AVERAGE(OFFSET($R$3,0,0,'Données projet'!$E$9+1,1))-AVERAGE(OFFSET($H$3,0,0,'Données projet'!$E$9+1,1))</f>
        <v>429.08703331308703</v>
      </c>
      <c r="T115" s="62">
        <f t="shared" si="88"/>
        <v>231.36959598460675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2.9</v>
      </c>
      <c r="AI115" s="14">
        <f>IF('Données projet'!$A$62&gt;35,AI114+AH115-AQ114,IF(A115&lt;'Données projet'!$A$62,$AF$205^A115,IF(A115='Données projet'!$A$62,'Données projet'!$B$62,AI114+AH115-AQ114)))</f>
        <v>224.30000000000015</v>
      </c>
      <c r="AJ115" s="14">
        <f>AI115*VLOOKUP('Données projet'!$B$10,Paramètres!$A$1:$I$89,3,0)*VLOOKUP('Données projet'!$B$10,Paramètres!$A$1:$I$89,5,0)</f>
        <v>241.43652000000014</v>
      </c>
      <c r="AK115" s="14">
        <f t="shared" si="89"/>
        <v>58.748497329220569</v>
      </c>
      <c r="AL115" s="22">
        <f t="shared" si="58"/>
        <v>522.82223851505944</v>
      </c>
      <c r="AM115" s="62">
        <f t="shared" si="59"/>
        <v>816.15557184839281</v>
      </c>
      <c r="AN115" s="62">
        <f ca="1">AVERAGE(OFFSET($AM$3,0,0,'Données projet'!$E$10+1,1))-AVERAGE(OFFSET($H$3,0,0,'Données projet'!$E$10+1,1))</f>
        <v>377.28543127606366</v>
      </c>
      <c r="AO115" s="62">
        <f t="shared" si="90"/>
        <v>166.97658184507776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-9.9316821433603781E-14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271.30269362742433</v>
      </c>
      <c r="BJ115" s="62">
        <f t="shared" si="92"/>
        <v>296.39988431569537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295.99999999999955</v>
      </c>
      <c r="O116" s="14">
        <f>N116*VLOOKUP('Données projet'!$B$9,Paramètres!$A$1:$I$89,3,0)*VLOOKUP('Données projet'!$B$9,Paramètres!$A$1:$I$89,5,0)</f>
        <v>267.82079999999956</v>
      </c>
      <c r="P116" s="14">
        <f t="shared" si="87"/>
        <v>64.386570147897245</v>
      </c>
      <c r="Q116" s="22">
        <f t="shared" si="107"/>
        <v>578.59450300758692</v>
      </c>
      <c r="R116" s="62">
        <f t="shared" si="55"/>
        <v>871.92783634092029</v>
      </c>
      <c r="S116" s="62">
        <f ca="1">AVERAGE(OFFSET($R$3,0,0,'Données projet'!$E$9+1,1))-AVERAGE(OFFSET($H$3,0,0,'Données projet'!$E$9+1,1))</f>
        <v>429.08703331308703</v>
      </c>
      <c r="T116" s="62">
        <f t="shared" si="88"/>
        <v>231.36959598460675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2.9</v>
      </c>
      <c r="AI116" s="14">
        <f>IF('Données projet'!$A$62&gt;35,AI115+AH116-AQ115,IF(A116&lt;'Données projet'!$A$62,$AF$205^A116,IF(A116='Données projet'!$A$62,'Données projet'!$B$62,AI115+AH116-AQ115)))</f>
        <v>227.20000000000016</v>
      </c>
      <c r="AJ116" s="14">
        <f>AI116*VLOOKUP('Données projet'!$B$10,Paramètres!$A$1:$I$89,3,0)*VLOOKUP('Données projet'!$B$10,Paramètres!$A$1:$I$89,5,0)</f>
        <v>244.55808000000013</v>
      </c>
      <c r="AK116" s="14">
        <f t="shared" si="89"/>
        <v>59.419147189674213</v>
      </c>
      <c r="AL116" s="22">
        <f t="shared" si="58"/>
        <v>529.42700402201615</v>
      </c>
      <c r="AM116" s="62">
        <f t="shared" si="59"/>
        <v>822.76033735534952</v>
      </c>
      <c r="AN116" s="62">
        <f ca="1">AVERAGE(OFFSET($AM$3,0,0,'Données projet'!$E$10+1,1))-AVERAGE(OFFSET($H$3,0,0,'Données projet'!$E$10+1,1))</f>
        <v>377.28543127606366</v>
      </c>
      <c r="AO116" s="62">
        <f t="shared" si="90"/>
        <v>166.97658184507776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-9.9316821433603781E-14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271.30269362742433</v>
      </c>
      <c r="BJ116" s="62">
        <f t="shared" si="92"/>
        <v>296.39988431569537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299.99999999999955</v>
      </c>
      <c r="O117" s="14">
        <f>N117*VLOOKUP('Données projet'!$B$9,Paramètres!$A$1:$I$89,3,0)*VLOOKUP('Données projet'!$B$9,Paramètres!$A$1:$I$89,5,0)</f>
        <v>271.43999999999954</v>
      </c>
      <c r="P117" s="14">
        <f t="shared" si="87"/>
        <v>65.154778959151116</v>
      </c>
      <c r="Q117" s="22">
        <f t="shared" si="107"/>
        <v>586.23590668718737</v>
      </c>
      <c r="R117" s="62">
        <f t="shared" si="55"/>
        <v>879.56924002052074</v>
      </c>
      <c r="S117" s="62">
        <f ca="1">AVERAGE(OFFSET($R$3,0,0,'Données projet'!$E$9+1,1))-AVERAGE(OFFSET($H$3,0,0,'Données projet'!$E$9+1,1))</f>
        <v>429.08703331308703</v>
      </c>
      <c r="T117" s="62">
        <f t="shared" si="88"/>
        <v>231.36959598460675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2.9</v>
      </c>
      <c r="AI117" s="14">
        <f>IF('Données projet'!$A$62&gt;35,AI116+AH117-AQ116,IF(A117&lt;'Données projet'!$A$62,$AF$205^A117,IF(A117='Données projet'!$A$62,'Données projet'!$B$62,AI116+AH117-AQ116)))</f>
        <v>230.10000000000016</v>
      </c>
      <c r="AJ117" s="14">
        <f>AI117*VLOOKUP('Données projet'!$B$10,Paramètres!$A$1:$I$89,3,0)*VLOOKUP('Données projet'!$B$10,Paramètres!$A$1:$I$89,5,0)</f>
        <v>247.67964000000015</v>
      </c>
      <c r="AK117" s="14">
        <f t="shared" si="89"/>
        <v>60.088801350428795</v>
      </c>
      <c r="AL117" s="22">
        <f t="shared" si="58"/>
        <v>536.03003535199707</v>
      </c>
      <c r="AM117" s="62">
        <f t="shared" si="59"/>
        <v>829.36336868533044</v>
      </c>
      <c r="AN117" s="62">
        <f ca="1">AVERAGE(OFFSET($AM$3,0,0,'Données projet'!$E$10+1,1))-AVERAGE(OFFSET($H$3,0,0,'Données projet'!$E$10+1,1))</f>
        <v>377.28543127606366</v>
      </c>
      <c r="AO117" s="62">
        <f t="shared" si="90"/>
        <v>166.97658184507776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-9.9316821433603781E-14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271.30269362742433</v>
      </c>
      <c r="BJ117" s="62">
        <f t="shared" si="92"/>
        <v>296.39988431569537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303.99999999999955</v>
      </c>
      <c r="O118" s="14">
        <f>N118*VLOOKUP('Données projet'!$B$9,Paramètres!$A$1:$I$89,3,0)*VLOOKUP('Données projet'!$B$9,Paramètres!$A$1:$I$89,5,0)</f>
        <v>275.05919999999958</v>
      </c>
      <c r="P118" s="14">
        <f t="shared" si="87"/>
        <v>65.921796397718268</v>
      </c>
      <c r="Q118" s="22">
        <f t="shared" si="107"/>
        <v>593.87523539269193</v>
      </c>
      <c r="R118" s="62">
        <f t="shared" si="55"/>
        <v>887.20856872602531</v>
      </c>
      <c r="S118" s="62">
        <f ca="1">AVERAGE(OFFSET($R$3,0,0,'Données projet'!$E$9+1,1))-AVERAGE(OFFSET($H$3,0,0,'Données projet'!$E$9+1,1))</f>
        <v>429.08703331308703</v>
      </c>
      <c r="T118" s="62">
        <f t="shared" si="88"/>
        <v>231.36959598460675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233</v>
      </c>
      <c r="AG118" s="13">
        <f>VLOOKUP(A118,'Données projet'!$A$61:$I$81,9,0)</f>
        <v>2.9</v>
      </c>
      <c r="AH118" s="13">
        <f t="array" ref="AH118">INDEX(AG:AG,MIN(IF(ISNUMBER(AG118:AG314),ROW(AG118:AG314),"")))</f>
        <v>2.9</v>
      </c>
      <c r="AI118" s="14">
        <f>IF('Données projet'!$A$62&gt;35,AI117+AH118-AQ117,IF(A118&lt;'Données projet'!$A$62,$AF$205^A118,IF(A118='Données projet'!$A$62,'Données projet'!$B$62,AI117+AH118-AQ117)))</f>
        <v>233.00000000000017</v>
      </c>
      <c r="AJ118" s="14">
        <f>AI118*VLOOKUP('Données projet'!$B$10,Paramètres!$A$1:$I$89,3,0)*VLOOKUP('Données projet'!$B$10,Paramètres!$A$1:$I$89,5,0)</f>
        <v>250.80120000000016</v>
      </c>
      <c r="AK118" s="14">
        <f t="shared" si="89"/>
        <v>60.757473811682743</v>
      </c>
      <c r="AL118" s="22">
        <f t="shared" si="58"/>
        <v>542.63135688868113</v>
      </c>
      <c r="AM118" s="62">
        <f t="shared" si="59"/>
        <v>835.9646902220145</v>
      </c>
      <c r="AN118" s="62">
        <f ca="1">AVERAGE(OFFSET($AM$3,0,0,'Données projet'!$E$10+1,1))-AVERAGE(OFFSET($H$3,0,0,'Données projet'!$E$10+1,1))</f>
        <v>377.28543127606366</v>
      </c>
      <c r="AO118" s="62">
        <f t="shared" si="90"/>
        <v>166.97658184507776</v>
      </c>
      <c r="AP118" s="16">
        <f>IF(ISNA(VLOOKUP(A118,'Données projet'!$A$61:$I$81,3,0)),0,VLOOKUP(A118,'Données projet'!$A$61:$I$81,3,0))</f>
        <v>9</v>
      </c>
      <c r="AQ118" s="16">
        <f>IF(ISNA(VLOOKUP(A118,'Données projet'!$A$61:$I$81,4,0)),0,VLOOKUP(A118,'Données projet'!$A$61:$I$81,4,0))</f>
        <v>26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-9.9316821433603781E-14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271.30269362742433</v>
      </c>
      <c r="BJ118" s="62">
        <f t="shared" si="92"/>
        <v>296.39988431569537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270.39999999999952</v>
      </c>
      <c r="O119" s="14">
        <f>N119*VLOOKUP('Données projet'!$B$9,Paramètres!$A$1:$I$89,3,0)*VLOOKUP('Données projet'!$B$9,Paramètres!$A$1:$I$89,5,0)</f>
        <v>244.65791999999956</v>
      </c>
      <c r="P119" s="14">
        <f t="shared" si="87"/>
        <v>59.44058075210858</v>
      </c>
      <c r="Q119" s="22">
        <f t="shared" si="107"/>
        <v>529.63822214325501</v>
      </c>
      <c r="R119" s="62">
        <f t="shared" si="55"/>
        <v>822.97155547658826</v>
      </c>
      <c r="S119" s="62">
        <f ca="1">AVERAGE(OFFSET($R$3,0,0,'Données projet'!$E$9+1,1))-AVERAGE(OFFSET($H$3,0,0,'Données projet'!$E$9+1,1))</f>
        <v>429.08703331308703</v>
      </c>
      <c r="T119" s="62">
        <f t="shared" si="88"/>
        <v>231.36959598460675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2.5</v>
      </c>
      <c r="AI119" s="14">
        <f>IF('Données projet'!$A$62&gt;35,AI118+AH119-AQ118,IF(A119&lt;'Données projet'!$A$62,$AF$205^A119,IF(A119='Données projet'!$A$62,'Données projet'!$B$62,AI118+AH119-AQ118)))</f>
        <v>209.50000000000017</v>
      </c>
      <c r="AJ119" s="14">
        <f>AI119*VLOOKUP('Données projet'!$B$10,Paramètres!$A$1:$I$89,3,0)*VLOOKUP('Données projet'!$B$10,Paramètres!$A$1:$I$89,5,0)</f>
        <v>225.50580000000019</v>
      </c>
      <c r="AK119" s="14">
        <f t="shared" si="89"/>
        <v>55.309817194309687</v>
      </c>
      <c r="AL119" s="22">
        <f t="shared" si="58"/>
        <v>489.08719994675636</v>
      </c>
      <c r="AM119" s="62">
        <f t="shared" si="59"/>
        <v>782.42053328008967</v>
      </c>
      <c r="AN119" s="62">
        <f ca="1">AVERAGE(OFFSET($AM$3,0,0,'Données projet'!$E$10+1,1))-AVERAGE(OFFSET($H$3,0,0,'Données projet'!$E$10+1,1))</f>
        <v>377.28543127606366</v>
      </c>
      <c r="AO119" s="62">
        <f t="shared" si="90"/>
        <v>166.97658184507776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-9.9316821433603781E-14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271.30269362742433</v>
      </c>
      <c r="BJ119" s="62">
        <f t="shared" si="92"/>
        <v>296.39988431569537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273.7999999999995</v>
      </c>
      <c r="O120" s="14">
        <f>N120*VLOOKUP('Données projet'!$B$9,Paramètres!$A$1:$I$89,3,0)*VLOOKUP('Données projet'!$B$9,Paramètres!$A$1:$I$89,5,0)</f>
        <v>247.73423999999952</v>
      </c>
      <c r="P120" s="14">
        <f t="shared" si="87"/>
        <v>60.100505665695003</v>
      </c>
      <c r="Q120" s="22">
        <f t="shared" si="107"/>
        <v>536.14551536775127</v>
      </c>
      <c r="R120" s="62">
        <f t="shared" si="55"/>
        <v>829.47884870108464</v>
      </c>
      <c r="S120" s="62">
        <f ca="1">AVERAGE(OFFSET($R$3,0,0,'Données projet'!$E$9+1,1))-AVERAGE(OFFSET($H$3,0,0,'Données projet'!$E$9+1,1))</f>
        <v>429.08703331308703</v>
      </c>
      <c r="T120" s="62">
        <f t="shared" si="88"/>
        <v>231.36959598460675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2.5</v>
      </c>
      <c r="AI120" s="14">
        <f>IF('Données projet'!$A$62&gt;35,AI119+AH120-AQ119,IF(A120&lt;'Données projet'!$A$62,$AF$205^A120,IF(A120='Données projet'!$A$62,'Données projet'!$B$62,AI119+AH120-AQ119)))</f>
        <v>212.00000000000017</v>
      </c>
      <c r="AJ120" s="14">
        <f>AI120*VLOOKUP('Données projet'!$B$10,Paramètres!$A$1:$I$89,3,0)*VLOOKUP('Données projet'!$B$10,Paramètres!$A$1:$I$89,5,0)</f>
        <v>228.1968000000002</v>
      </c>
      <c r="AK120" s="14">
        <f t="shared" si="89"/>
        <v>55.892609107162052</v>
      </c>
      <c r="AL120" s="22">
        <f t="shared" si="58"/>
        <v>494.78905419497414</v>
      </c>
      <c r="AM120" s="62">
        <f t="shared" si="59"/>
        <v>788.1223875283074</v>
      </c>
      <c r="AN120" s="62">
        <f ca="1">AVERAGE(OFFSET($AM$3,0,0,'Données projet'!$E$10+1,1))-AVERAGE(OFFSET($H$3,0,0,'Données projet'!$E$10+1,1))</f>
        <v>377.28543127606366</v>
      </c>
      <c r="AO120" s="62">
        <f t="shared" si="90"/>
        <v>166.97658184507776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-9.9316821433603781E-14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271.30269362742433</v>
      </c>
      <c r="BJ120" s="62">
        <f t="shared" si="92"/>
        <v>296.39988431569537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277.19999999999948</v>
      </c>
      <c r="O121" s="14">
        <f>N121*VLOOKUP('Données projet'!$B$9,Paramètres!$A$1:$I$89,3,0)*VLOOKUP('Données projet'!$B$9,Paramètres!$A$1:$I$89,5,0)</f>
        <v>250.81055999999953</v>
      </c>
      <c r="P121" s="14">
        <f t="shared" si="87"/>
        <v>60.759477364108577</v>
      </c>
      <c r="Q121" s="22">
        <f t="shared" si="107"/>
        <v>542.65114840915487</v>
      </c>
      <c r="R121" s="62">
        <f t="shared" si="55"/>
        <v>835.98448174248824</v>
      </c>
      <c r="S121" s="62">
        <f ca="1">AVERAGE(OFFSET($R$3,0,0,'Données projet'!$E$9+1,1))-AVERAGE(OFFSET($H$3,0,0,'Données projet'!$E$9+1,1))</f>
        <v>429.08703331308703</v>
      </c>
      <c r="T121" s="62">
        <f t="shared" si="88"/>
        <v>231.36959598460675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2.5</v>
      </c>
      <c r="AI121" s="14">
        <f>IF('Données projet'!$A$62&gt;35,AI120+AH121-AQ120,IF(A121&lt;'Données projet'!$A$62,$AF$205^A121,IF(A121='Données projet'!$A$62,'Données projet'!$B$62,AI120+AH121-AQ120)))</f>
        <v>214.50000000000017</v>
      </c>
      <c r="AJ121" s="14">
        <f>AI121*VLOOKUP('Données projet'!$B$10,Paramètres!$A$1:$I$89,3,0)*VLOOKUP('Données projet'!$B$10,Paramètres!$A$1:$I$89,5,0)</f>
        <v>230.88780000000017</v>
      </c>
      <c r="AK121" s="14">
        <f t="shared" si="89"/>
        <v>56.474601584830367</v>
      </c>
      <c r="AL121" s="22">
        <f t="shared" si="58"/>
        <v>500.48951609357982</v>
      </c>
      <c r="AM121" s="62">
        <f t="shared" si="59"/>
        <v>793.82284942691308</v>
      </c>
      <c r="AN121" s="62">
        <f ca="1">AVERAGE(OFFSET($AM$3,0,0,'Données projet'!$E$10+1,1))-AVERAGE(OFFSET($H$3,0,0,'Données projet'!$E$10+1,1))</f>
        <v>377.28543127606366</v>
      </c>
      <c r="AO121" s="62">
        <f t="shared" si="90"/>
        <v>166.97658184507776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-9.9316821433603781E-14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271.30269362742433</v>
      </c>
      <c r="BJ121" s="62">
        <f t="shared" si="92"/>
        <v>296.39988431569537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280.59999999999945</v>
      </c>
      <c r="O122" s="14">
        <f>N122*VLOOKUP('Données projet'!$B$9,Paramètres!$A$1:$I$89,3,0)*VLOOKUP('Données projet'!$B$9,Paramètres!$A$1:$I$89,5,0)</f>
        <v>253.88687999999951</v>
      </c>
      <c r="P122" s="14">
        <f t="shared" si="87"/>
        <v>61.41750889127686</v>
      </c>
      <c r="Q122" s="22">
        <f t="shared" si="107"/>
        <v>549.1551439856396</v>
      </c>
      <c r="R122" s="62">
        <f t="shared" si="55"/>
        <v>842.48847731897285</v>
      </c>
      <c r="S122" s="62">
        <f ca="1">AVERAGE(OFFSET($R$3,0,0,'Données projet'!$E$9+1,1))-AVERAGE(OFFSET($H$3,0,0,'Données projet'!$E$9+1,1))</f>
        <v>429.08703331308703</v>
      </c>
      <c r="T122" s="62">
        <f t="shared" si="88"/>
        <v>231.36959598460675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2.5</v>
      </c>
      <c r="AI122" s="14">
        <f>IF('Données projet'!$A$62&gt;35,AI121+AH122-AQ121,IF(A122&lt;'Données projet'!$A$62,$AF$205^A122,IF(A122='Données projet'!$A$62,'Données projet'!$B$62,AI121+AH122-AQ121)))</f>
        <v>217.00000000000017</v>
      </c>
      <c r="AJ122" s="14">
        <f>AI122*VLOOKUP('Données projet'!$B$10,Paramètres!$A$1:$I$89,3,0)*VLOOKUP('Données projet'!$B$10,Paramètres!$A$1:$I$89,5,0)</f>
        <v>233.57880000000017</v>
      </c>
      <c r="AK122" s="14">
        <f t="shared" si="89"/>
        <v>57.055805022709997</v>
      </c>
      <c r="AL122" s="22">
        <f t="shared" si="58"/>
        <v>506.18860374788687</v>
      </c>
      <c r="AM122" s="62">
        <f t="shared" si="59"/>
        <v>799.52193708122013</v>
      </c>
      <c r="AN122" s="62">
        <f ca="1">AVERAGE(OFFSET($AM$3,0,0,'Données projet'!$E$10+1,1))-AVERAGE(OFFSET($H$3,0,0,'Données projet'!$E$10+1,1))</f>
        <v>377.28543127606366</v>
      </c>
      <c r="AO122" s="62">
        <f t="shared" si="90"/>
        <v>166.97658184507776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-9.9316821433603781E-14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271.30269362742433</v>
      </c>
      <c r="BJ122" s="62">
        <f t="shared" si="92"/>
        <v>296.39988431569537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283.99999999999943</v>
      </c>
      <c r="O123" s="14">
        <f>N123*VLOOKUP('Données projet'!$B$9,Paramètres!$A$1:$I$89,3,0)*VLOOKUP('Données projet'!$B$9,Paramètres!$A$1:$I$89,5,0)</f>
        <v>256.96319999999946</v>
      </c>
      <c r="P123" s="14">
        <f t="shared" si="87"/>
        <v>62.07461295683791</v>
      </c>
      <c r="Q123" s="22">
        <f t="shared" si="107"/>
        <v>555.65752423315837</v>
      </c>
      <c r="R123" s="62">
        <f t="shared" si="55"/>
        <v>848.99085756649174</v>
      </c>
      <c r="S123" s="62">
        <f ca="1">AVERAGE(OFFSET($R$3,0,0,'Données projet'!$E$9+1,1))-AVERAGE(OFFSET($H$3,0,0,'Données projet'!$E$9+1,1))</f>
        <v>429.08703331308703</v>
      </c>
      <c r="T123" s="62">
        <f t="shared" si="88"/>
        <v>231.36959598460675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2.5</v>
      </c>
      <c r="AI123" s="14">
        <f>IF('Données projet'!$A$62&gt;35,AI122+AH123-AQ122,IF(A123&lt;'Données projet'!$A$62,$AF$205^A123,IF(A123='Données projet'!$A$62,'Données projet'!$B$62,AI122+AH123-AQ122)))</f>
        <v>219.50000000000017</v>
      </c>
      <c r="AJ123" s="14">
        <f>AI123*VLOOKUP('Données projet'!$B$10,Paramètres!$A$1:$I$89,3,0)*VLOOKUP('Données projet'!$B$10,Paramètres!$A$1:$I$89,5,0)</f>
        <v>236.26980000000017</v>
      </c>
      <c r="AK123" s="14">
        <f t="shared" si="89"/>
        <v>57.636229562883841</v>
      </c>
      <c r="AL123" s="22">
        <f t="shared" si="58"/>
        <v>511.88633482202295</v>
      </c>
      <c r="AM123" s="62">
        <f t="shared" si="59"/>
        <v>805.2196681553562</v>
      </c>
      <c r="AN123" s="62">
        <f ca="1">AVERAGE(OFFSET($AM$3,0,0,'Données projet'!$E$10+1,1))-AVERAGE(OFFSET($H$3,0,0,'Données projet'!$E$10+1,1))</f>
        <v>377.28543127606366</v>
      </c>
      <c r="AO123" s="62">
        <f t="shared" si="90"/>
        <v>166.97658184507776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-9.9316821433603781E-14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271.30269362742433</v>
      </c>
      <c r="BJ123" s="62">
        <f t="shared" si="92"/>
        <v>296.39988431569537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287.39999999999941</v>
      </c>
      <c r="O124" s="14">
        <f>N124*VLOOKUP('Données projet'!$B$9,Paramètres!$A$1:$I$89,3,0)*VLOOKUP('Données projet'!$B$9,Paramètres!$A$1:$I$89,5,0)</f>
        <v>260.03951999999947</v>
      </c>
      <c r="P124" s="14">
        <f t="shared" si="87"/>
        <v>62.730801948604764</v>
      </c>
      <c r="Q124" s="22">
        <f t="shared" si="107"/>
        <v>562.1583107271523</v>
      </c>
      <c r="R124" s="62">
        <f t="shared" si="55"/>
        <v>855.49164406048567</v>
      </c>
      <c r="S124" s="62">
        <f ca="1">AVERAGE(OFFSET($R$3,0,0,'Données projet'!$E$9+1,1))-AVERAGE(OFFSET($H$3,0,0,'Données projet'!$E$9+1,1))</f>
        <v>429.08703331308703</v>
      </c>
      <c r="T124" s="62">
        <f t="shared" si="88"/>
        <v>231.36959598460675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2.5</v>
      </c>
      <c r="AI124" s="14">
        <f>IF('Données projet'!$A$62&gt;35,AI123+AH124-AQ123,IF(A124&lt;'Données projet'!$A$62,$AF$205^A124,IF(A124='Données projet'!$A$62,'Données projet'!$B$62,AI123+AH124-AQ123)))</f>
        <v>222.00000000000017</v>
      </c>
      <c r="AJ124" s="14">
        <f>AI124*VLOOKUP('Données projet'!$B$10,Paramètres!$A$1:$I$89,3,0)*VLOOKUP('Données projet'!$B$10,Paramètres!$A$1:$I$89,5,0)</f>
        <v>238.96080000000015</v>
      </c>
      <c r="AK124" s="14">
        <f t="shared" si="89"/>
        <v>58.215885103108349</v>
      </c>
      <c r="AL124" s="22">
        <f t="shared" si="58"/>
        <v>517.58272655458063</v>
      </c>
      <c r="AM124" s="62">
        <f t="shared" si="59"/>
        <v>810.91605988791389</v>
      </c>
      <c r="AN124" s="62">
        <f ca="1">AVERAGE(OFFSET($AM$3,0,0,'Données projet'!$E$10+1,1))-AVERAGE(OFFSET($H$3,0,0,'Données projet'!$E$10+1,1))</f>
        <v>377.28543127606366</v>
      </c>
      <c r="AO124" s="62">
        <f t="shared" si="90"/>
        <v>166.97658184507776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-9.9316821433603781E-14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271.30269362742433</v>
      </c>
      <c r="BJ124" s="62">
        <f t="shared" si="92"/>
        <v>296.39988431569537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290.79999999999939</v>
      </c>
      <c r="O125" s="14">
        <f>N125*VLOOKUP('Données projet'!$B$9,Paramètres!$A$1:$I$89,3,0)*VLOOKUP('Données projet'!$B$9,Paramètres!$A$1:$I$89,5,0)</f>
        <v>263.11583999999948</v>
      </c>
      <c r="P125" s="14">
        <f t="shared" si="87"/>
        <v>63.386087944423274</v>
      </c>
      <c r="Q125" s="22">
        <f t="shared" si="107"/>
        <v>568.65752450320281</v>
      </c>
      <c r="R125" s="62">
        <f t="shared" si="55"/>
        <v>861.99085783653618</v>
      </c>
      <c r="S125" s="62">
        <f ca="1">AVERAGE(OFFSET($R$3,0,0,'Données projet'!$E$9+1,1))-AVERAGE(OFFSET($H$3,0,0,'Données projet'!$E$9+1,1))</f>
        <v>429.08703331308703</v>
      </c>
      <c r="T125" s="62">
        <f t="shared" si="88"/>
        <v>231.36959598460675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2.5</v>
      </c>
      <c r="AI125" s="14">
        <f>IF('Données projet'!$A$62&gt;35,AI124+AH125-AQ124,IF(A125&lt;'Données projet'!$A$62,$AF$205^A125,IF(A125='Données projet'!$A$62,'Données projet'!$B$62,AI124+AH125-AQ124)))</f>
        <v>224.50000000000017</v>
      </c>
      <c r="AJ125" s="14">
        <f>AI125*VLOOKUP('Données projet'!$B$10,Paramètres!$A$1:$I$89,3,0)*VLOOKUP('Données projet'!$B$10,Paramètres!$A$1:$I$89,5,0)</f>
        <v>241.65180000000018</v>
      </c>
      <c r="AK125" s="14">
        <f t="shared" si="89"/>
        <v>58.794781305383189</v>
      </c>
      <c r="AL125" s="22">
        <f t="shared" si="58"/>
        <v>523.27779577354261</v>
      </c>
      <c r="AM125" s="62">
        <f t="shared" si="59"/>
        <v>816.61112910687598</v>
      </c>
      <c r="AN125" s="62">
        <f ca="1">AVERAGE(OFFSET($AM$3,0,0,'Données projet'!$E$10+1,1))-AVERAGE(OFFSET($H$3,0,0,'Données projet'!$E$10+1,1))</f>
        <v>377.28543127606366</v>
      </c>
      <c r="AO125" s="62">
        <f t="shared" si="90"/>
        <v>166.97658184507776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-9.9316821433603781E-14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271.30269362742433</v>
      </c>
      <c r="BJ125" s="62">
        <f t="shared" si="92"/>
        <v>296.39988431569537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294.19999999999936</v>
      </c>
      <c r="O126" s="14">
        <f>N126*VLOOKUP('Données projet'!$B$9,Paramètres!$A$1:$I$89,3,0)*VLOOKUP('Données projet'!$B$9,Paramètres!$A$1:$I$89,5,0)</f>
        <v>266.19215999999943</v>
      </c>
      <c r="P126" s="14">
        <f t="shared" si="87"/>
        <v>64.04048272345959</v>
      </c>
      <c r="Q126" s="22">
        <f t="shared" si="107"/>
        <v>575.15518607669117</v>
      </c>
      <c r="R126" s="62">
        <f t="shared" si="55"/>
        <v>868.48851941002454</v>
      </c>
      <c r="S126" s="62">
        <f ca="1">AVERAGE(OFFSET($R$3,0,0,'Données projet'!$E$9+1,1))-AVERAGE(OFFSET($H$3,0,0,'Données projet'!$E$9+1,1))</f>
        <v>429.08703331308703</v>
      </c>
      <c r="T126" s="62">
        <f t="shared" si="88"/>
        <v>231.36959598460675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2.5</v>
      </c>
      <c r="AI126" s="14">
        <f>IF('Données projet'!$A$62&gt;35,AI125+AH126-AQ125,IF(A126&lt;'Données projet'!$A$62,$AF$205^A126,IF(A126='Données projet'!$A$62,'Données projet'!$B$62,AI125+AH126-AQ125)))</f>
        <v>227.00000000000017</v>
      </c>
      <c r="AJ126" s="14">
        <f>AI126*VLOOKUP('Données projet'!$B$10,Paramètres!$A$1:$I$89,3,0)*VLOOKUP('Données projet'!$B$10,Paramètres!$A$1:$I$89,5,0)</f>
        <v>244.34280000000018</v>
      </c>
      <c r="AK126" s="14">
        <f t="shared" si="89"/>
        <v>59.372927604128122</v>
      </c>
      <c r="AL126" s="22">
        <f t="shared" si="58"/>
        <v>528.97155891052341</v>
      </c>
      <c r="AM126" s="62">
        <f t="shared" si="59"/>
        <v>822.30489224385678</v>
      </c>
      <c r="AN126" s="62">
        <f ca="1">AVERAGE(OFFSET($AM$3,0,0,'Données projet'!$E$10+1,1))-AVERAGE(OFFSET($H$3,0,0,'Données projet'!$E$10+1,1))</f>
        <v>377.28543127606366</v>
      </c>
      <c r="AO126" s="62">
        <f t="shared" si="90"/>
        <v>166.97658184507776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-9.9316821433603781E-14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271.30269362742433</v>
      </c>
      <c r="BJ126" s="62">
        <f t="shared" si="92"/>
        <v>296.39988431569537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297.59999999999934</v>
      </c>
      <c r="O127" s="14">
        <f>N127*VLOOKUP('Données projet'!$B$9,Paramètres!$A$1:$I$89,3,0)*VLOOKUP('Données projet'!$B$9,Paramètres!$A$1:$I$89,5,0)</f>
        <v>269.26847999999939</v>
      </c>
      <c r="P127" s="14">
        <f t="shared" si="87"/>
        <v>64.693997776951065</v>
      </c>
      <c r="Q127" s="22">
        <f t="shared" si="107"/>
        <v>581.65131546152202</v>
      </c>
      <c r="R127" s="62">
        <f t="shared" si="55"/>
        <v>874.98464879485527</v>
      </c>
      <c r="S127" s="62">
        <f ca="1">AVERAGE(OFFSET($R$3,0,0,'Données projet'!$E$9+1,1))-AVERAGE(OFFSET($H$3,0,0,'Données projet'!$E$9+1,1))</f>
        <v>429.08703331308703</v>
      </c>
      <c r="T127" s="62">
        <f t="shared" si="88"/>
        <v>231.36959598460675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2.5</v>
      </c>
      <c r="AI127" s="14">
        <f>IF('Données projet'!$A$62&gt;35,AI126+AH127-AQ126,IF(A127&lt;'Données projet'!$A$62,$AF$205^A127,IF(A127='Données projet'!$A$62,'Données projet'!$B$62,AI126+AH127-AQ126)))</f>
        <v>229.50000000000017</v>
      </c>
      <c r="AJ127" s="14">
        <f>AI127*VLOOKUP('Données projet'!$B$10,Paramètres!$A$1:$I$89,3,0)*VLOOKUP('Données projet'!$B$10,Paramètres!$A$1:$I$89,5,0)</f>
        <v>247.03380000000016</v>
      </c>
      <c r="AK127" s="14">
        <f t="shared" si="89"/>
        <v>59.950333213989779</v>
      </c>
      <c r="AL127" s="22">
        <f t="shared" si="58"/>
        <v>534.66403201436572</v>
      </c>
      <c r="AM127" s="62">
        <f t="shared" si="59"/>
        <v>827.99736534769909</v>
      </c>
      <c r="AN127" s="62">
        <f ca="1">AVERAGE(OFFSET($AM$3,0,0,'Données projet'!$E$10+1,1))-AVERAGE(OFFSET($H$3,0,0,'Données projet'!$E$10+1,1))</f>
        <v>377.28543127606366</v>
      </c>
      <c r="AO127" s="62">
        <f t="shared" si="90"/>
        <v>166.97658184507776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-9.9316821433603781E-14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271.30269362742433</v>
      </c>
      <c r="BJ127" s="62">
        <f t="shared" si="92"/>
        <v>296.39988431569537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300.99999999999932</v>
      </c>
      <c r="O128" s="14">
        <f>N128*VLOOKUP('Données projet'!$B$9,Paramètres!$A$1:$I$89,3,0)*VLOOKUP('Données projet'!$B$9,Paramètres!$A$1:$I$89,5,0)</f>
        <v>272.34479999999934</v>
      </c>
      <c r="P128" s="14">
        <f t="shared" si="87"/>
        <v>65.346644318451595</v>
      </c>
      <c r="Q128" s="22">
        <f t="shared" si="107"/>
        <v>588.1459321879687</v>
      </c>
      <c r="R128" s="62">
        <f t="shared" si="55"/>
        <v>881.47926552130207</v>
      </c>
      <c r="S128" s="62">
        <f ca="1">AVERAGE(OFFSET($R$3,0,0,'Données projet'!$E$9+1,1))-AVERAGE(OFFSET($H$3,0,0,'Données projet'!$E$9+1,1))</f>
        <v>429.08703331308703</v>
      </c>
      <c r="T128" s="62">
        <f t="shared" si="88"/>
        <v>231.36959598460675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232</v>
      </c>
      <c r="AG128" s="13">
        <f>VLOOKUP(A128,'Données projet'!$A$61:$I$81,9,0)</f>
        <v>2.5</v>
      </c>
      <c r="AH128" s="13">
        <f t="array" ref="AH128">INDEX(AG:AG,MIN(IF(ISNUMBER(AG128:AG324),ROW(AG128:AG324),"")))</f>
        <v>2.5</v>
      </c>
      <c r="AI128" s="14">
        <f>IF('Données projet'!$A$62&gt;35,AI127+AH128-AQ127,IF(A128&lt;'Données projet'!$A$62,$AF$205^A128,IF(A128='Données projet'!$A$62,'Données projet'!$B$62,AI127+AH128-AQ127)))</f>
        <v>232.00000000000017</v>
      </c>
      <c r="AJ128" s="14">
        <f>AI128*VLOOKUP('Données projet'!$B$10,Paramètres!$A$1:$I$89,3,0)*VLOOKUP('Données projet'!$B$10,Paramètres!$A$1:$I$89,5,0)</f>
        <v>249.72480000000016</v>
      </c>
      <c r="AK128" s="14">
        <f t="shared" si="89"/>
        <v>60.527007137298142</v>
      </c>
      <c r="AL128" s="22">
        <f t="shared" si="58"/>
        <v>540.3552307641279</v>
      </c>
      <c r="AM128" s="62">
        <f t="shared" si="59"/>
        <v>833.68856409746127</v>
      </c>
      <c r="AN128" s="62">
        <f ca="1">AVERAGE(OFFSET($AM$3,0,0,'Données projet'!$E$10+1,1))-AVERAGE(OFFSET($H$3,0,0,'Données projet'!$E$10+1,1))</f>
        <v>377.28543127606366</v>
      </c>
      <c r="AO128" s="62">
        <f t="shared" si="90"/>
        <v>166.97658184507776</v>
      </c>
      <c r="AP128" s="16">
        <f>IF(ISNA(VLOOKUP(A128,'Données projet'!$A$61:$I$81,3,0)),0,VLOOKUP(A128,'Données projet'!$A$61:$I$81,3,0))</f>
        <v>10</v>
      </c>
      <c r="AQ128" s="16">
        <f>IF(ISNA(VLOOKUP(A128,'Données projet'!$A$61:$I$81,4,0)),0,VLOOKUP(A128,'Données projet'!$A$61:$I$81,4,0))</f>
        <v>23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-9.9316821433603781E-14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271.30269362742433</v>
      </c>
      <c r="BJ128" s="62">
        <f t="shared" si="92"/>
        <v>296.39988431569537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270.99999999999932</v>
      </c>
      <c r="O129" s="14">
        <f>N129*VLOOKUP('Données projet'!$B$9,Paramètres!$A$1:$I$89,3,0)*VLOOKUP('Données projet'!$B$9,Paramètres!$A$1:$I$89,5,0)</f>
        <v>245.20079999999936</v>
      </c>
      <c r="P129" s="14">
        <f t="shared" si="87"/>
        <v>59.557107941433571</v>
      </c>
      <c r="Q129" s="22">
        <f t="shared" si="107"/>
        <v>530.78668966466228</v>
      </c>
      <c r="R129" s="62">
        <f t="shared" si="55"/>
        <v>824.12002299799565</v>
      </c>
      <c r="S129" s="62">
        <f ca="1">AVERAGE(OFFSET($R$3,0,0,'Données projet'!$E$9+1,1))-AVERAGE(OFFSET($H$3,0,0,'Données projet'!$E$9+1,1))</f>
        <v>429.08703331308703</v>
      </c>
      <c r="T129" s="62">
        <f t="shared" si="88"/>
        <v>231.36959598460675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2</v>
      </c>
      <c r="AI129" s="14">
        <f>IF('Données projet'!$A$62&gt;35,AI128+AH129-AQ128,IF(A129&lt;'Données projet'!$A$62,$AF$205^A129,IF(A129='Données projet'!$A$62,'Données projet'!$B$62,AI128+AH129-AQ128)))</f>
        <v>211.00000000000017</v>
      </c>
      <c r="AJ129" s="14">
        <f>AI129*VLOOKUP('Données projet'!$B$10,Paramètres!$A$1:$I$89,3,0)*VLOOKUP('Données projet'!$B$10,Paramètres!$A$1:$I$89,5,0)</f>
        <v>227.12040000000019</v>
      </c>
      <c r="AK129" s="14">
        <f t="shared" si="89"/>
        <v>55.6595888651092</v>
      </c>
      <c r="AL129" s="22">
        <f t="shared" si="58"/>
        <v>492.50848060673206</v>
      </c>
      <c r="AM129" s="62">
        <f t="shared" si="59"/>
        <v>785.84181394006532</v>
      </c>
      <c r="AN129" s="62">
        <f ca="1">AVERAGE(OFFSET($AM$3,0,0,'Données projet'!$E$10+1,1))-AVERAGE(OFFSET($H$3,0,0,'Données projet'!$E$10+1,1))</f>
        <v>377.28543127606366</v>
      </c>
      <c r="AO129" s="62">
        <f t="shared" si="90"/>
        <v>166.97658184507776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-9.9316821433603781E-14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271.30269362742433</v>
      </c>
      <c r="BJ129" s="62">
        <f t="shared" si="92"/>
        <v>296.39988431569537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273.99999999999932</v>
      </c>
      <c r="O130" s="14">
        <f>N130*VLOOKUP('Données projet'!$B$9,Paramètres!$A$1:$I$89,3,0)*VLOOKUP('Données projet'!$B$9,Paramètres!$A$1:$I$89,5,0)</f>
        <v>247.91519999999937</v>
      </c>
      <c r="P130" s="14">
        <f t="shared" si="87"/>
        <v>60.139294964297299</v>
      </c>
      <c r="Q130" s="22">
        <f t="shared" si="107"/>
        <v>536.52824539615006</v>
      </c>
      <c r="R130" s="62">
        <f t="shared" si="55"/>
        <v>829.86157872948343</v>
      </c>
      <c r="S130" s="62">
        <f ca="1">AVERAGE(OFFSET($R$3,0,0,'Données projet'!$E$9+1,1))-AVERAGE(OFFSET($H$3,0,0,'Données projet'!$E$9+1,1))</f>
        <v>429.08703331308703</v>
      </c>
      <c r="T130" s="62">
        <f t="shared" si="88"/>
        <v>231.36959598460675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2</v>
      </c>
      <c r="AI130" s="14">
        <f>IF('Données projet'!$A$62&gt;35,AI129+AH130-AQ129,IF(A130&lt;'Données projet'!$A$62,$AF$205^A130,IF(A130='Données projet'!$A$62,'Données projet'!$B$62,AI129+AH130-AQ129)))</f>
        <v>213.00000000000017</v>
      </c>
      <c r="AJ130" s="14">
        <f>AI130*VLOOKUP('Données projet'!$B$10,Paramètres!$A$1:$I$89,3,0)*VLOOKUP('Données projet'!$B$10,Paramètres!$A$1:$I$89,5,0)</f>
        <v>229.27320000000017</v>
      </c>
      <c r="AK130" s="14">
        <f t="shared" si="89"/>
        <v>56.125501442527415</v>
      </c>
      <c r="AL130" s="22">
        <f t="shared" si="58"/>
        <v>497.06940501240223</v>
      </c>
      <c r="AM130" s="62">
        <f t="shared" si="59"/>
        <v>790.40273834573554</v>
      </c>
      <c r="AN130" s="62">
        <f ca="1">AVERAGE(OFFSET($AM$3,0,0,'Données projet'!$E$10+1,1))-AVERAGE(OFFSET($H$3,0,0,'Données projet'!$E$10+1,1))</f>
        <v>377.28543127606366</v>
      </c>
      <c r="AO130" s="62">
        <f t="shared" si="90"/>
        <v>166.97658184507776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-9.9316821433603781E-14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271.30269362742433</v>
      </c>
      <c r="BJ130" s="62">
        <f t="shared" si="92"/>
        <v>296.39988431569537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276.99999999999932</v>
      </c>
      <c r="O131" s="14">
        <f>N131*VLOOKUP('Données projet'!$B$9,Paramètres!$A$1:$I$89,3,0)*VLOOKUP('Données projet'!$B$9,Paramètres!$A$1:$I$89,5,0)</f>
        <v>250.62959999999939</v>
      </c>
      <c r="P131" s="14">
        <f t="shared" si="87"/>
        <v>60.720740474356212</v>
      </c>
      <c r="Q131" s="22">
        <f t="shared" ref="Q131:Q153" si="108">(O131+P131)*0.475*44/12</f>
        <v>542.26850965950268</v>
      </c>
      <c r="R131" s="62">
        <f t="shared" ref="R131:R194" si="109">Q131+(I131+J131)*44/12</f>
        <v>835.60184299283605</v>
      </c>
      <c r="S131" s="62">
        <f ca="1">AVERAGE(OFFSET($R$3,0,0,'Données projet'!$E$9+1,1))-AVERAGE(OFFSET($H$3,0,0,'Données projet'!$E$9+1,1))</f>
        <v>429.08703331308703</v>
      </c>
      <c r="T131" s="62">
        <f t="shared" si="88"/>
        <v>231.36959598460675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2</v>
      </c>
      <c r="AI131" s="14">
        <f>IF('Données projet'!$A$62&gt;35,AI130+AH131-AQ130,IF(A131&lt;'Données projet'!$A$62,$AF$205^A131,IF(A131='Données projet'!$A$62,'Données projet'!$B$62,AI130+AH131-AQ130)))</f>
        <v>215.00000000000017</v>
      </c>
      <c r="AJ131" s="14">
        <f>AI131*VLOOKUP('Données projet'!$B$10,Paramètres!$A$1:$I$89,3,0)*VLOOKUP('Données projet'!$B$10,Paramètres!$A$1:$I$89,5,0)</f>
        <v>231.42600000000019</v>
      </c>
      <c r="AK131" s="14">
        <f t="shared" si="89"/>
        <v>56.590905067453271</v>
      </c>
      <c r="AL131" s="22">
        <f t="shared" si="58"/>
        <v>501.62944299248147</v>
      </c>
      <c r="AM131" s="62">
        <f t="shared" si="59"/>
        <v>794.96277632581473</v>
      </c>
      <c r="AN131" s="62">
        <f ca="1">AVERAGE(OFFSET($AM$3,0,0,'Données projet'!$E$10+1,1))-AVERAGE(OFFSET($H$3,0,0,'Données projet'!$E$10+1,1))</f>
        <v>377.28543127606366</v>
      </c>
      <c r="AO131" s="62">
        <f t="shared" si="90"/>
        <v>166.97658184507776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-9.9316821433603781E-14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271.30269362742433</v>
      </c>
      <c r="BJ131" s="62">
        <f t="shared" si="92"/>
        <v>296.39988431569537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279.99999999999932</v>
      </c>
      <c r="O132" s="14">
        <f>N132*VLOOKUP('Données projet'!$B$9,Paramètres!$A$1:$I$89,3,0)*VLOOKUP('Données projet'!$B$9,Paramètres!$A$1:$I$89,5,0)</f>
        <v>253.34399999999934</v>
      </c>
      <c r="P132" s="14">
        <f t="shared" si="87"/>
        <v>61.301453431926141</v>
      </c>
      <c r="Q132" s="22">
        <f t="shared" si="108"/>
        <v>548.00749806060355</v>
      </c>
      <c r="R132" s="62">
        <f t="shared" si="109"/>
        <v>841.34083139393692</v>
      </c>
      <c r="S132" s="62">
        <f ca="1">AVERAGE(OFFSET($R$3,0,0,'Données projet'!$E$9+1,1))-AVERAGE(OFFSET($H$3,0,0,'Données projet'!$E$9+1,1))</f>
        <v>429.08703331308703</v>
      </c>
      <c r="T132" s="62">
        <f t="shared" si="88"/>
        <v>231.36959598460675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2</v>
      </c>
      <c r="AI132" s="14">
        <f>IF('Données projet'!$A$62&gt;35,AI131+AH132-AQ131,IF(A132&lt;'Données projet'!$A$62,$AF$205^A132,IF(A132='Données projet'!$A$62,'Données projet'!$B$62,AI131+AH132-AQ131)))</f>
        <v>217.00000000000017</v>
      </c>
      <c r="AJ132" s="14">
        <f>AI132*VLOOKUP('Données projet'!$B$10,Paramètres!$A$1:$I$89,3,0)*VLOOKUP('Données projet'!$B$10,Paramètres!$A$1:$I$89,5,0)</f>
        <v>233.57880000000017</v>
      </c>
      <c r="AK132" s="14">
        <f t="shared" si="89"/>
        <v>57.055805022709997</v>
      </c>
      <c r="AL132" s="22">
        <f t="shared" ref="AL132:AL153" si="112">(AJ132+AK132)*0.475*44/12</f>
        <v>506.18860374788687</v>
      </c>
      <c r="AM132" s="62">
        <f t="shared" ref="AM132:AM195" si="113">AL132+(AD132+AE132)*44/12</f>
        <v>799.52193708122013</v>
      </c>
      <c r="AN132" s="62">
        <f ca="1">AVERAGE(OFFSET($AM$3,0,0,'Données projet'!$E$10+1,1))-AVERAGE(OFFSET($H$3,0,0,'Données projet'!$E$10+1,1))</f>
        <v>377.28543127606366</v>
      </c>
      <c r="AO132" s="62">
        <f t="shared" si="90"/>
        <v>166.97658184507776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-9.9316821433603781E-14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271.30269362742433</v>
      </c>
      <c r="BJ132" s="62">
        <f t="shared" si="92"/>
        <v>296.39988431569537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282.99999999999932</v>
      </c>
      <c r="O133" s="14">
        <f>N133*VLOOKUP('Données projet'!$B$9,Paramètres!$A$1:$I$89,3,0)*VLOOKUP('Données projet'!$B$9,Paramètres!$A$1:$I$89,5,0)</f>
        <v>256.05839999999938</v>
      </c>
      <c r="P133" s="14">
        <f t="shared" ref="P133:P196" si="141">EXP(-1.0587+0.8836*LN(O133)+0.284)</f>
        <v>61.88144259425632</v>
      </c>
      <c r="Q133" s="22">
        <f t="shared" si="108"/>
        <v>553.74522585166198</v>
      </c>
      <c r="R133" s="62">
        <f t="shared" si="109"/>
        <v>847.07855918499536</v>
      </c>
      <c r="S133" s="62">
        <f ca="1">AVERAGE(OFFSET($R$3,0,0,'Données projet'!$E$9+1,1))-AVERAGE(OFFSET($H$3,0,0,'Données projet'!$E$9+1,1))</f>
        <v>429.08703331308703</v>
      </c>
      <c r="T133" s="62">
        <f t="shared" ref="T133:T196" si="142">$T$3</f>
        <v>231.36959598460675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2</v>
      </c>
      <c r="AI133" s="14">
        <f>IF('Données projet'!$A$62&gt;35,AI132+AH133-AQ132,IF(A133&lt;'Données projet'!$A$62,$AF$205^A133,IF(A133='Données projet'!$A$62,'Données projet'!$B$62,AI132+AH133-AQ132)))</f>
        <v>219.00000000000017</v>
      </c>
      <c r="AJ133" s="14">
        <f>AI133*VLOOKUP('Données projet'!$B$10,Paramètres!$A$1:$I$89,3,0)*VLOOKUP('Données projet'!$B$10,Paramètres!$A$1:$I$89,5,0)</f>
        <v>235.73160000000016</v>
      </c>
      <c r="AK133" s="14">
        <f t="shared" ref="AK133:AK153" si="143">EXP(-1.0587+0.8836*LN(AJ133)+0.284)</f>
        <v>57.520206488125268</v>
      </c>
      <c r="AL133" s="22">
        <f t="shared" si="112"/>
        <v>510.74689630015183</v>
      </c>
      <c r="AM133" s="62">
        <f t="shared" si="113"/>
        <v>804.08022963348515</v>
      </c>
      <c r="AN133" s="62">
        <f ca="1">AVERAGE(OFFSET($AM$3,0,0,'Données projet'!$E$10+1,1))-AVERAGE(OFFSET($H$3,0,0,'Données projet'!$E$10+1,1))</f>
        <v>377.28543127606366</v>
      </c>
      <c r="AO133" s="62">
        <f t="shared" ref="AO133:AO196" si="144">$AO$3</f>
        <v>166.97658184507776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-9.9316821433603781E-14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271.30269362742433</v>
      </c>
      <c r="BJ133" s="62">
        <f t="shared" ref="BJ133:BJ196" si="146">$BJ$3</f>
        <v>296.39988431569537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285.99999999999932</v>
      </c>
      <c r="O134" s="14">
        <f>N134*VLOOKUP('Données projet'!$B$9,Paramètres!$A$1:$I$89,3,0)*VLOOKUP('Données projet'!$B$9,Paramètres!$A$1:$I$89,5,0)</f>
        <v>258.77279999999939</v>
      </c>
      <c r="P134" s="14">
        <f t="shared" si="141"/>
        <v>62.460716522234527</v>
      </c>
      <c r="Q134" s="22">
        <f t="shared" si="108"/>
        <v>559.48170794289069</v>
      </c>
      <c r="R134" s="62">
        <f t="shared" si="109"/>
        <v>852.81504127622406</v>
      </c>
      <c r="S134" s="62">
        <f ca="1">AVERAGE(OFFSET($R$3,0,0,'Données projet'!$E$9+1,1))-AVERAGE(OFFSET($H$3,0,0,'Données projet'!$E$9+1,1))</f>
        <v>429.08703331308703</v>
      </c>
      <c r="T134" s="62">
        <f t="shared" si="142"/>
        <v>231.36959598460675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</v>
      </c>
      <c r="AI134" s="14">
        <f>IF('Données projet'!$A$62&gt;35,AI133+AH134-AQ133,IF(A134&lt;'Données projet'!$A$62,$AF$205^A134,IF(A134='Données projet'!$A$62,'Données projet'!$B$62,AI133+AH134-AQ133)))</f>
        <v>221.00000000000017</v>
      </c>
      <c r="AJ134" s="14">
        <f>AI134*VLOOKUP('Données projet'!$B$10,Paramètres!$A$1:$I$89,3,0)*VLOOKUP('Données projet'!$B$10,Paramètres!$A$1:$I$89,5,0)</f>
        <v>237.88440000000014</v>
      </c>
      <c r="AK134" s="14">
        <f t="shared" si="143"/>
        <v>57.984114543460585</v>
      </c>
      <c r="AL134" s="22">
        <f t="shared" si="112"/>
        <v>515.30432949652743</v>
      </c>
      <c r="AM134" s="62">
        <f t="shared" si="113"/>
        <v>808.6376628298608</v>
      </c>
      <c r="AN134" s="62">
        <f ca="1">AVERAGE(OFFSET($AM$3,0,0,'Données projet'!$E$10+1,1))-AVERAGE(OFFSET($H$3,0,0,'Données projet'!$E$10+1,1))</f>
        <v>377.28543127606366</v>
      </c>
      <c r="AO134" s="62">
        <f t="shared" si="144"/>
        <v>166.97658184507776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-9.9316821433603781E-14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271.30269362742433</v>
      </c>
      <c r="BJ134" s="62">
        <f t="shared" si="146"/>
        <v>296.39988431569537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288.99999999999932</v>
      </c>
      <c r="O135" s="14">
        <f>N135*VLOOKUP('Données projet'!$B$9,Paramètres!$A$1:$I$89,3,0)*VLOOKUP('Données projet'!$B$9,Paramètres!$A$1:$I$89,5,0)</f>
        <v>261.4871999999994</v>
      </c>
      <c r="P135" s="14">
        <f t="shared" si="141"/>
        <v>63.03928358680222</v>
      </c>
      <c r="Q135" s="22">
        <f t="shared" si="108"/>
        <v>565.21695891367949</v>
      </c>
      <c r="R135" s="62">
        <f t="shared" si="109"/>
        <v>858.55029224701275</v>
      </c>
      <c r="S135" s="62">
        <f ca="1">AVERAGE(OFFSET($R$3,0,0,'Données projet'!$E$9+1,1))-AVERAGE(OFFSET($H$3,0,0,'Données projet'!$E$9+1,1))</f>
        <v>429.08703331308703</v>
      </c>
      <c r="T135" s="62">
        <f t="shared" si="142"/>
        <v>231.36959598460675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</v>
      </c>
      <c r="AI135" s="14">
        <f>IF('Données projet'!$A$62&gt;35,AI134+AH135-AQ134,IF(A135&lt;'Données projet'!$A$62,$AF$205^A135,IF(A135='Données projet'!$A$62,'Données projet'!$B$62,AI134+AH135-AQ134)))</f>
        <v>223.00000000000017</v>
      </c>
      <c r="AJ135" s="14">
        <f>AI135*VLOOKUP('Données projet'!$B$10,Paramètres!$A$1:$I$89,3,0)*VLOOKUP('Données projet'!$B$10,Paramètres!$A$1:$I$89,5,0)</f>
        <v>240.03720000000018</v>
      </c>
      <c r="AK135" s="14">
        <f t="shared" si="143"/>
        <v>58.447534171232547</v>
      </c>
      <c r="AL135" s="22">
        <f t="shared" si="112"/>
        <v>519.86091201489705</v>
      </c>
      <c r="AM135" s="62">
        <f t="shared" si="113"/>
        <v>813.19424534823042</v>
      </c>
      <c r="AN135" s="62">
        <f ca="1">AVERAGE(OFFSET($AM$3,0,0,'Données projet'!$E$10+1,1))-AVERAGE(OFFSET($H$3,0,0,'Données projet'!$E$10+1,1))</f>
        <v>377.28543127606366</v>
      </c>
      <c r="AO135" s="62">
        <f t="shared" si="144"/>
        <v>166.97658184507776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-9.9316821433603781E-14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271.30269362742433</v>
      </c>
      <c r="BJ135" s="62">
        <f t="shared" si="146"/>
        <v>296.39988431569537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291.99999999999932</v>
      </c>
      <c r="O136" s="14">
        <f>N136*VLOOKUP('Données projet'!$B$9,Paramètres!$A$1:$I$89,3,0)*VLOOKUP('Données projet'!$B$9,Paramètres!$A$1:$I$89,5,0)</f>
        <v>264.20159999999936</v>
      </c>
      <c r="P136" s="14">
        <f t="shared" si="141"/>
        <v>63.617151975096597</v>
      </c>
      <c r="Q136" s="22">
        <f t="shared" si="108"/>
        <v>570.95099302329209</v>
      </c>
      <c r="R136" s="62">
        <f t="shared" si="109"/>
        <v>864.28432635662534</v>
      </c>
      <c r="S136" s="62">
        <f ca="1">AVERAGE(OFFSET($R$3,0,0,'Données projet'!$E$9+1,1))-AVERAGE(OFFSET($H$3,0,0,'Données projet'!$E$9+1,1))</f>
        <v>429.08703331308703</v>
      </c>
      <c r="T136" s="62">
        <f t="shared" si="142"/>
        <v>231.36959598460675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</v>
      </c>
      <c r="AI136" s="14">
        <f>IF('Données projet'!$A$62&gt;35,AI135+AH136-AQ135,IF(A136&lt;'Données projet'!$A$62,$AF$205^A136,IF(A136='Données projet'!$A$62,'Données projet'!$B$62,AI135+AH136-AQ135)))</f>
        <v>225.00000000000017</v>
      </c>
      <c r="AJ136" s="14">
        <f>AI136*VLOOKUP('Données projet'!$B$10,Paramètres!$A$1:$I$89,3,0)*VLOOKUP('Données projet'!$B$10,Paramètres!$A$1:$I$89,5,0)</f>
        <v>242.1900000000002</v>
      </c>
      <c r="AK136" s="14">
        <f t="shared" si="143"/>
        <v>58.910470259429403</v>
      </c>
      <c r="AL136" s="22">
        <f t="shared" si="112"/>
        <v>524.41665236850656</v>
      </c>
      <c r="AM136" s="62">
        <f t="shared" si="113"/>
        <v>817.74998570183993</v>
      </c>
      <c r="AN136" s="62">
        <f ca="1">AVERAGE(OFFSET($AM$3,0,0,'Données projet'!$E$10+1,1))-AVERAGE(OFFSET($H$3,0,0,'Données projet'!$E$10+1,1))</f>
        <v>377.28543127606366</v>
      </c>
      <c r="AO136" s="62">
        <f t="shared" si="144"/>
        <v>166.97658184507776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-9.9316821433603781E-14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271.30269362742433</v>
      </c>
      <c r="BJ136" s="62">
        <f t="shared" si="146"/>
        <v>296.39988431569537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294.99999999999932</v>
      </c>
      <c r="O137" s="14">
        <f>N137*VLOOKUP('Données projet'!$B$9,Paramètres!$A$1:$I$89,3,0)*VLOOKUP('Données projet'!$B$9,Paramètres!$A$1:$I$89,5,0)</f>
        <v>266.91599999999937</v>
      </c>
      <c r="P137" s="14">
        <f t="shared" si="141"/>
        <v>64.194329696332005</v>
      </c>
      <c r="Q137" s="22">
        <f t="shared" si="108"/>
        <v>576.68382422111051</v>
      </c>
      <c r="R137" s="62">
        <f t="shared" si="109"/>
        <v>870.01715755444388</v>
      </c>
      <c r="S137" s="62">
        <f ca="1">AVERAGE(OFFSET($R$3,0,0,'Données projet'!$E$9+1,1))-AVERAGE(OFFSET($H$3,0,0,'Données projet'!$E$9+1,1))</f>
        <v>429.08703331308703</v>
      </c>
      <c r="T137" s="62">
        <f t="shared" si="142"/>
        <v>231.36959598460675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</v>
      </c>
      <c r="AI137" s="14">
        <f>IF('Données projet'!$A$62&gt;35,AI136+AH137-AQ136,IF(A137&lt;'Données projet'!$A$62,$AF$205^A137,IF(A137='Données projet'!$A$62,'Données projet'!$B$62,AI136+AH137-AQ136)))</f>
        <v>227.00000000000017</v>
      </c>
      <c r="AJ137" s="14">
        <f>AI137*VLOOKUP('Données projet'!$B$10,Paramètres!$A$1:$I$89,3,0)*VLOOKUP('Données projet'!$B$10,Paramètres!$A$1:$I$89,5,0)</f>
        <v>244.34280000000018</v>
      </c>
      <c r="AK137" s="14">
        <f t="shared" si="143"/>
        <v>59.372927604128122</v>
      </c>
      <c r="AL137" s="22">
        <f t="shared" si="112"/>
        <v>528.97155891052341</v>
      </c>
      <c r="AM137" s="62">
        <f t="shared" si="113"/>
        <v>822.30489224385678</v>
      </c>
      <c r="AN137" s="62">
        <f ca="1">AVERAGE(OFFSET($AM$3,0,0,'Données projet'!$E$10+1,1))-AVERAGE(OFFSET($H$3,0,0,'Données projet'!$E$10+1,1))</f>
        <v>377.28543127606366</v>
      </c>
      <c r="AO137" s="62">
        <f t="shared" si="144"/>
        <v>166.97658184507776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-9.9316821433603781E-14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271.30269362742433</v>
      </c>
      <c r="BJ137" s="62">
        <f t="shared" si="146"/>
        <v>296.39988431569537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297.99999999999932</v>
      </c>
      <c r="O138" s="14">
        <f>N138*VLOOKUP('Données projet'!$B$9,Paramètres!$A$1:$I$89,3,0)*VLOOKUP('Données projet'!$B$9,Paramètres!$A$1:$I$89,5,0)</f>
        <v>269.63039999999938</v>
      </c>
      <c r="P138" s="14">
        <f t="shared" si="141"/>
        <v>64.770824587435968</v>
      </c>
      <c r="Q138" s="22">
        <f t="shared" si="108"/>
        <v>582.41546615644995</v>
      </c>
      <c r="R138" s="62">
        <f t="shared" si="109"/>
        <v>875.74879948978332</v>
      </c>
      <c r="S138" s="62">
        <f ca="1">AVERAGE(OFFSET($R$3,0,0,'Données projet'!$E$9+1,1))-AVERAGE(OFFSET($H$3,0,0,'Données projet'!$E$9+1,1))</f>
        <v>429.08703331308703</v>
      </c>
      <c r="T138" s="62">
        <f t="shared" si="142"/>
        <v>231.36959598460675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229</v>
      </c>
      <c r="AG138" s="13">
        <f>VLOOKUP(A138,'Données projet'!$A$61:$I$81,9,0)</f>
        <v>2</v>
      </c>
      <c r="AH138" s="13">
        <f t="array" ref="AH138">INDEX(AG:AG,MIN(IF(ISNUMBER(AG138:AG334),ROW(AG138:AG334),"")))</f>
        <v>2</v>
      </c>
      <c r="AI138" s="14">
        <f>IF('Données projet'!$A$62&gt;35,AI137+AH138-AQ137,IF(A138&lt;'Données projet'!$A$62,$AF$205^A138,IF(A138='Données projet'!$A$62,'Données projet'!$B$62,AI137+AH138-AQ137)))</f>
        <v>229.00000000000017</v>
      </c>
      <c r="AJ138" s="14">
        <f>AI138*VLOOKUP('Données projet'!$B$10,Paramètres!$A$1:$I$89,3,0)*VLOOKUP('Données projet'!$B$10,Paramètres!$A$1:$I$89,5,0)</f>
        <v>246.49560000000017</v>
      </c>
      <c r="AK138" s="14">
        <f t="shared" si="143"/>
        <v>59.834910912017335</v>
      </c>
      <c r="AL138" s="22">
        <f t="shared" si="112"/>
        <v>533.52563983843049</v>
      </c>
      <c r="AM138" s="62">
        <f t="shared" si="113"/>
        <v>826.85897317176386</v>
      </c>
      <c r="AN138" s="62">
        <f ca="1">AVERAGE(OFFSET($AM$3,0,0,'Données projet'!$E$10+1,1))-AVERAGE(OFFSET($H$3,0,0,'Données projet'!$E$10+1,1))</f>
        <v>377.28543127606366</v>
      </c>
      <c r="AO138" s="62">
        <f t="shared" si="144"/>
        <v>166.97658184507776</v>
      </c>
      <c r="AP138" s="16">
        <f>IF(ISNA(VLOOKUP(A138,'Données projet'!$A$61:$I$81,3,0)),0,VLOOKUP(A138,'Données projet'!$A$61:$I$81,3,0))</f>
        <v>11</v>
      </c>
      <c r="AQ138" s="16">
        <f>IF(ISNA(VLOOKUP(A138,'Données projet'!$A$61:$I$81,4,0)),0,VLOOKUP(A138,'Données projet'!$A$61:$I$81,4,0))</f>
        <v>19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-9.9316821433603781E-14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271.30269362742433</v>
      </c>
      <c r="BJ138" s="62">
        <f t="shared" si="146"/>
        <v>296.39988431569537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2.6</v>
      </c>
      <c r="N139" s="14">
        <f>IF('Données projet'!$A$36&gt;35,N138+M139-V138,IF(A139&lt;'Données projet'!$A$36,$K$205^A139,IF(A139='Données projet'!$A$36,'Données projet'!$B$36,N138+M139-V138)))</f>
        <v>271.59999999999934</v>
      </c>
      <c r="O139" s="14">
        <f>N139*VLOOKUP('Données projet'!$B$9,Paramètres!$A$1:$I$89,3,0)*VLOOKUP('Données projet'!$B$9,Paramètres!$A$1:$I$89,5,0)</f>
        <v>245.74367999999939</v>
      </c>
      <c r="P139" s="14">
        <f t="shared" si="141"/>
        <v>59.673605104126288</v>
      </c>
      <c r="Q139" s="22">
        <f t="shared" si="108"/>
        <v>531.93510488968548</v>
      </c>
      <c r="R139" s="62">
        <f t="shared" si="109"/>
        <v>825.26843822301885</v>
      </c>
      <c r="S139" s="62">
        <f ca="1">AVERAGE(OFFSET($R$3,0,0,'Données projet'!$E$9+1,1))-AVERAGE(OFFSET($H$3,0,0,'Données projet'!$E$9+1,1))</f>
        <v>429.08703331308703</v>
      </c>
      <c r="T139" s="62">
        <f t="shared" si="142"/>
        <v>231.36959598460675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1.6</v>
      </c>
      <c r="AI139" s="14">
        <f>IF('Données projet'!$A$62&gt;35,AI138+AH139-AQ138,IF(A139&lt;'Données projet'!$A$62,$AF$205^A139,IF(A139='Données projet'!$A$62,'Données projet'!$B$62,AI138+AH139-AQ138)))</f>
        <v>211.60000000000016</v>
      </c>
      <c r="AJ139" s="14">
        <f>AI139*VLOOKUP('Données projet'!$B$10,Paramètres!$A$1:$I$89,3,0)*VLOOKUP('Données projet'!$B$10,Paramètres!$A$1:$I$89,5,0)</f>
        <v>227.76624000000018</v>
      </c>
      <c r="AK139" s="14">
        <f t="shared" si="143"/>
        <v>55.799416396900632</v>
      </c>
      <c r="AL139" s="22">
        <f t="shared" si="112"/>
        <v>493.87685155793559</v>
      </c>
      <c r="AM139" s="62">
        <f t="shared" si="113"/>
        <v>787.21018489126891</v>
      </c>
      <c r="AN139" s="62">
        <f ca="1">AVERAGE(OFFSET($AM$3,0,0,'Données projet'!$E$10+1,1))-AVERAGE(OFFSET($H$3,0,0,'Données projet'!$E$10+1,1))</f>
        <v>377.28543127606366</v>
      </c>
      <c r="AO139" s="62">
        <f t="shared" si="144"/>
        <v>166.97658184507776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-9.9316821433603781E-14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271.30269362742433</v>
      </c>
      <c r="BJ139" s="62">
        <f t="shared" si="146"/>
        <v>296.39988431569537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2.6</v>
      </c>
      <c r="N140" s="14">
        <f>IF('Données projet'!$A$36&gt;35,N139+M140-V139,IF(A140&lt;'Données projet'!$A$36,$K$205^A140,IF(A140='Données projet'!$A$36,'Données projet'!$B$36,N139+M140-V139)))</f>
        <v>274.19999999999936</v>
      </c>
      <c r="O140" s="14">
        <f>N140*VLOOKUP('Données projet'!$B$9,Paramètres!$A$1:$I$89,3,0)*VLOOKUP('Données projet'!$B$9,Paramètres!$A$1:$I$89,5,0)</f>
        <v>248.09615999999943</v>
      </c>
      <c r="P140" s="14">
        <f t="shared" si="141"/>
        <v>60.178080967364579</v>
      </c>
      <c r="Q140" s="22">
        <f t="shared" si="108"/>
        <v>536.91096968482555</v>
      </c>
      <c r="R140" s="62">
        <f t="shared" si="109"/>
        <v>830.24430301815892</v>
      </c>
      <c r="S140" s="62">
        <f ca="1">AVERAGE(OFFSET($R$3,0,0,'Données projet'!$E$9+1,1))-AVERAGE(OFFSET($H$3,0,0,'Données projet'!$E$9+1,1))</f>
        <v>429.08703331308703</v>
      </c>
      <c r="T140" s="62">
        <f t="shared" si="142"/>
        <v>231.36959598460675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1.6</v>
      </c>
      <c r="AI140" s="14">
        <f>IF('Données projet'!$A$62&gt;35,AI139+AH140-AQ139,IF(A140&lt;'Données projet'!$A$62,$AF$205^A140,IF(A140='Données projet'!$A$62,'Données projet'!$B$62,AI139+AH140-AQ139)))</f>
        <v>213.20000000000016</v>
      </c>
      <c r="AJ140" s="14">
        <f>AI140*VLOOKUP('Données projet'!$B$10,Paramètres!$A$1:$I$89,3,0)*VLOOKUP('Données projet'!$B$10,Paramètres!$A$1:$I$89,5,0)</f>
        <v>229.48848000000015</v>
      </c>
      <c r="AK140" s="14">
        <f t="shared" si="143"/>
        <v>56.17206461989467</v>
      </c>
      <c r="AL140" s="22">
        <f t="shared" si="112"/>
        <v>497.5254485463168</v>
      </c>
      <c r="AM140" s="62">
        <f t="shared" si="113"/>
        <v>790.85878187965011</v>
      </c>
      <c r="AN140" s="62">
        <f ca="1">AVERAGE(OFFSET($AM$3,0,0,'Données projet'!$E$10+1,1))-AVERAGE(OFFSET($H$3,0,0,'Données projet'!$E$10+1,1))</f>
        <v>377.28543127606366</v>
      </c>
      <c r="AO140" s="62">
        <f t="shared" si="144"/>
        <v>166.97658184507776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-9.9316821433603781E-14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271.30269362742433</v>
      </c>
      <c r="BJ140" s="62">
        <f t="shared" si="146"/>
        <v>296.39988431569537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2.6</v>
      </c>
      <c r="N141" s="14">
        <f>IF('Données projet'!$A$36&gt;35,N140+M141-V140,IF(A141&lt;'Données projet'!$A$36,$K$205^A141,IF(A141='Données projet'!$A$36,'Données projet'!$B$36,N140+M141-V140)))</f>
        <v>276.79999999999939</v>
      </c>
      <c r="O141" s="14">
        <f>N141*VLOOKUP('Données projet'!$B$9,Paramètres!$A$1:$I$89,3,0)*VLOOKUP('Données projet'!$B$9,Paramètres!$A$1:$I$89,5,0)</f>
        <v>250.44863999999944</v>
      </c>
      <c r="P141" s="14">
        <f t="shared" si="141"/>
        <v>60.682000328889892</v>
      </c>
      <c r="Q141" s="22">
        <f t="shared" si="108"/>
        <v>541.88586523948231</v>
      </c>
      <c r="R141" s="62">
        <f t="shared" si="109"/>
        <v>835.21919857281569</v>
      </c>
      <c r="S141" s="62">
        <f ca="1">AVERAGE(OFFSET($R$3,0,0,'Données projet'!$E$9+1,1))-AVERAGE(OFFSET($H$3,0,0,'Données projet'!$E$9+1,1))</f>
        <v>429.08703331308703</v>
      </c>
      <c r="T141" s="62">
        <f t="shared" si="142"/>
        <v>231.36959598460675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1.6</v>
      </c>
      <c r="AI141" s="14">
        <f>IF('Données projet'!$A$62&gt;35,AI140+AH141-AQ140,IF(A141&lt;'Données projet'!$A$62,$AF$205^A141,IF(A141='Données projet'!$A$62,'Données projet'!$B$62,AI140+AH141-AQ140)))</f>
        <v>214.80000000000015</v>
      </c>
      <c r="AJ141" s="14">
        <f>AI141*VLOOKUP('Données projet'!$B$10,Paramètres!$A$1:$I$89,3,0)*VLOOKUP('Données projet'!$B$10,Paramètres!$A$1:$I$89,5,0)</f>
        <v>231.21072000000018</v>
      </c>
      <c r="AK141" s="14">
        <f t="shared" si="143"/>
        <v>56.544387456445271</v>
      </c>
      <c r="AL141" s="22">
        <f t="shared" si="112"/>
        <v>501.17347881997574</v>
      </c>
      <c r="AM141" s="62">
        <f t="shared" si="113"/>
        <v>794.50681215330906</v>
      </c>
      <c r="AN141" s="62">
        <f ca="1">AVERAGE(OFFSET($AM$3,0,0,'Données projet'!$E$10+1,1))-AVERAGE(OFFSET($H$3,0,0,'Données projet'!$E$10+1,1))</f>
        <v>377.28543127606366</v>
      </c>
      <c r="AO141" s="62">
        <f t="shared" si="144"/>
        <v>166.97658184507776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-9.9316821433603781E-14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271.30269362742433</v>
      </c>
      <c r="BJ141" s="62">
        <f t="shared" si="146"/>
        <v>296.39988431569537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2.6</v>
      </c>
      <c r="N142" s="14">
        <f>IF('Données projet'!$A$36&gt;35,N141+M142-V141,IF(A142&lt;'Données projet'!$A$36,$K$205^A142,IF(A142='Données projet'!$A$36,'Données projet'!$B$36,N141+M142-V141)))</f>
        <v>279.39999999999941</v>
      </c>
      <c r="O142" s="14">
        <f>N142*VLOOKUP('Données projet'!$B$9,Paramètres!$A$1:$I$89,3,0)*VLOOKUP('Données projet'!$B$9,Paramètres!$A$1:$I$89,5,0)</f>
        <v>252.80111999999946</v>
      </c>
      <c r="P142" s="14">
        <f t="shared" si="141"/>
        <v>61.185369021394152</v>
      </c>
      <c r="Q142" s="22">
        <f t="shared" si="108"/>
        <v>546.85980171226049</v>
      </c>
      <c r="R142" s="62">
        <f t="shared" si="109"/>
        <v>840.19313504559386</v>
      </c>
      <c r="S142" s="62">
        <f ca="1">AVERAGE(OFFSET($R$3,0,0,'Données projet'!$E$9+1,1))-AVERAGE(OFFSET($H$3,0,0,'Données projet'!$E$9+1,1))</f>
        <v>429.08703331308703</v>
      </c>
      <c r="T142" s="62">
        <f t="shared" si="142"/>
        <v>231.36959598460675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1.6</v>
      </c>
      <c r="AI142" s="14">
        <f>IF('Données projet'!$A$62&gt;35,AI141+AH142-AQ141,IF(A142&lt;'Données projet'!$A$62,$AF$205^A142,IF(A142='Données projet'!$A$62,'Données projet'!$B$62,AI141+AH142-AQ141)))</f>
        <v>216.40000000000015</v>
      </c>
      <c r="AJ142" s="14">
        <f>AI142*VLOOKUP('Données projet'!$B$10,Paramètres!$A$1:$I$89,3,0)*VLOOKUP('Données projet'!$B$10,Paramètres!$A$1:$I$89,5,0)</f>
        <v>232.93296000000015</v>
      </c>
      <c r="AK142" s="14">
        <f t="shared" si="143"/>
        <v>56.916387611287874</v>
      </c>
      <c r="AL142" s="22">
        <f t="shared" si="112"/>
        <v>504.82094708965997</v>
      </c>
      <c r="AM142" s="62">
        <f t="shared" si="113"/>
        <v>798.15428042299322</v>
      </c>
      <c r="AN142" s="62">
        <f ca="1">AVERAGE(OFFSET($AM$3,0,0,'Données projet'!$E$10+1,1))-AVERAGE(OFFSET($H$3,0,0,'Données projet'!$E$10+1,1))</f>
        <v>377.28543127606366</v>
      </c>
      <c r="AO142" s="62">
        <f t="shared" si="144"/>
        <v>166.97658184507776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-9.9316821433603781E-14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271.30269362742433</v>
      </c>
      <c r="BJ142" s="62">
        <f t="shared" si="146"/>
        <v>296.39988431569537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2.6</v>
      </c>
      <c r="N143" s="14">
        <f>IF('Données projet'!$A$36&gt;35,N142+M143-V142,IF(A143&lt;'Données projet'!$A$36,$K$205^A143,IF(A143='Données projet'!$A$36,'Données projet'!$B$36,N142+M143-V142)))</f>
        <v>281.99999999999943</v>
      </c>
      <c r="O143" s="14">
        <f>N143*VLOOKUP('Données projet'!$B$9,Paramètres!$A$1:$I$89,3,0)*VLOOKUP('Données projet'!$B$9,Paramètres!$A$1:$I$89,5,0)</f>
        <v>255.15359999999947</v>
      </c>
      <c r="P143" s="14">
        <f t="shared" si="141"/>
        <v>61.688192762754319</v>
      </c>
      <c r="Q143" s="22">
        <f t="shared" si="108"/>
        <v>551.83278906179623</v>
      </c>
      <c r="R143" s="62">
        <f t="shared" si="109"/>
        <v>845.16612239512961</v>
      </c>
      <c r="S143" s="62">
        <f ca="1">AVERAGE(OFFSET($R$3,0,0,'Données projet'!$E$9+1,1))-AVERAGE(OFFSET($H$3,0,0,'Données projet'!$E$9+1,1))</f>
        <v>429.08703331308703</v>
      </c>
      <c r="T143" s="62">
        <f t="shared" si="142"/>
        <v>231.36959598460675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1.6</v>
      </c>
      <c r="AI143" s="14">
        <f>IF('Données projet'!$A$62&gt;35,AI142+AH143-AQ142,IF(A143&lt;'Données projet'!$A$62,$AF$205^A143,IF(A143='Données projet'!$A$62,'Données projet'!$B$62,AI142+AH143-AQ142)))</f>
        <v>218.00000000000014</v>
      </c>
      <c r="AJ143" s="14">
        <f>AI143*VLOOKUP('Données projet'!$B$10,Paramètres!$A$1:$I$89,3,0)*VLOOKUP('Données projet'!$B$10,Paramètres!$A$1:$I$89,5,0)</f>
        <v>234.65520000000012</v>
      </c>
      <c r="AK143" s="14">
        <f t="shared" si="143"/>
        <v>57.288067746850999</v>
      </c>
      <c r="AL143" s="22">
        <f t="shared" si="112"/>
        <v>508.46785799243236</v>
      </c>
      <c r="AM143" s="62">
        <f t="shared" si="113"/>
        <v>801.80119132576567</v>
      </c>
      <c r="AN143" s="62">
        <f ca="1">AVERAGE(OFFSET($AM$3,0,0,'Données projet'!$E$10+1,1))-AVERAGE(OFFSET($H$3,0,0,'Données projet'!$E$10+1,1))</f>
        <v>377.28543127606366</v>
      </c>
      <c r="AO143" s="62">
        <f t="shared" si="144"/>
        <v>166.97658184507776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-9.9316821433603781E-14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271.30269362742433</v>
      </c>
      <c r="BJ143" s="62">
        <f t="shared" si="146"/>
        <v>296.39988431569537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2.6</v>
      </c>
      <c r="N144" s="14">
        <f>IF('Données projet'!$A$36&gt;35,N143+M144-V143,IF(A144&lt;'Données projet'!$A$36,$K$205^A144,IF(A144='Données projet'!$A$36,'Données projet'!$B$36,N143+M144-V143)))</f>
        <v>284.59999999999945</v>
      </c>
      <c r="O144" s="14">
        <f>N144*VLOOKUP('Données projet'!$B$9,Paramètres!$A$1:$I$89,3,0)*VLOOKUP('Données projet'!$B$9,Paramètres!$A$1:$I$89,5,0)</f>
        <v>257.50607999999949</v>
      </c>
      <c r="P144" s="14">
        <f t="shared" si="141"/>
        <v>62.190477159330406</v>
      </c>
      <c r="Q144" s="22">
        <f t="shared" si="108"/>
        <v>556.80483705249947</v>
      </c>
      <c r="R144" s="62">
        <f t="shared" si="109"/>
        <v>850.13817038583284</v>
      </c>
      <c r="S144" s="62">
        <f ca="1">AVERAGE(OFFSET($R$3,0,0,'Données projet'!$E$9+1,1))-AVERAGE(OFFSET($H$3,0,0,'Données projet'!$E$9+1,1))</f>
        <v>429.08703331308703</v>
      </c>
      <c r="T144" s="62">
        <f t="shared" si="142"/>
        <v>231.36959598460675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1.6</v>
      </c>
      <c r="AI144" s="14">
        <f>IF('Données projet'!$A$62&gt;35,AI143+AH144-AQ143,IF(A144&lt;'Données projet'!$A$62,$AF$205^A144,IF(A144='Données projet'!$A$62,'Données projet'!$B$62,AI143+AH144-AQ143)))</f>
        <v>219.60000000000014</v>
      </c>
      <c r="AJ144" s="14">
        <f>AI144*VLOOKUP('Données projet'!$B$10,Paramètres!$A$1:$I$89,3,0)*VLOOKUP('Données projet'!$B$10,Paramètres!$A$1:$I$89,5,0)</f>
        <v>236.37744000000015</v>
      </c>
      <c r="AK144" s="14">
        <f t="shared" si="143"/>
        <v>57.659430484223876</v>
      </c>
      <c r="AL144" s="22">
        <f t="shared" si="112"/>
        <v>512.11421609335684</v>
      </c>
      <c r="AM144" s="62">
        <f t="shared" si="113"/>
        <v>805.4475494266901</v>
      </c>
      <c r="AN144" s="62">
        <f ca="1">AVERAGE(OFFSET($AM$3,0,0,'Données projet'!$E$10+1,1))-AVERAGE(OFFSET($H$3,0,0,'Données projet'!$E$10+1,1))</f>
        <v>377.28543127606366</v>
      </c>
      <c r="AO144" s="62">
        <f t="shared" si="144"/>
        <v>166.97658184507776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-9.9316821433603781E-14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271.30269362742433</v>
      </c>
      <c r="BJ144" s="62">
        <f t="shared" si="146"/>
        <v>296.39988431569537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2.6</v>
      </c>
      <c r="N145" s="14">
        <f>IF('Données projet'!$A$36&gt;35,N144+M145-V144,IF(A145&lt;'Données projet'!$A$36,$K$205^A145,IF(A145='Données projet'!$A$36,'Données projet'!$B$36,N144+M145-V144)))</f>
        <v>287.19999999999948</v>
      </c>
      <c r="O145" s="14">
        <f>N145*VLOOKUP('Données projet'!$B$9,Paramètres!$A$1:$I$89,3,0)*VLOOKUP('Données projet'!$B$9,Paramètres!$A$1:$I$89,5,0)</f>
        <v>259.8585599999995</v>
      </c>
      <c r="P145" s="14">
        <f t="shared" si="141"/>
        <v>62.692227709138365</v>
      </c>
      <c r="Q145" s="22">
        <f t="shared" si="108"/>
        <v>561.77595526008179</v>
      </c>
      <c r="R145" s="62">
        <f t="shared" si="109"/>
        <v>855.10928859341516</v>
      </c>
      <c r="S145" s="62">
        <f ca="1">AVERAGE(OFFSET($R$3,0,0,'Données projet'!$E$9+1,1))-AVERAGE(OFFSET($H$3,0,0,'Données projet'!$E$9+1,1))</f>
        <v>429.08703331308703</v>
      </c>
      <c r="T145" s="62">
        <f t="shared" si="142"/>
        <v>231.36959598460675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1.6</v>
      </c>
      <c r="AI145" s="14">
        <f>IF('Données projet'!$A$62&gt;35,AI144+AH145-AQ144,IF(A145&lt;'Données projet'!$A$62,$AF$205^A145,IF(A145='Données projet'!$A$62,'Données projet'!$B$62,AI144+AH145-AQ144)))</f>
        <v>221.20000000000013</v>
      </c>
      <c r="AJ145" s="14">
        <f>AI145*VLOOKUP('Données projet'!$B$10,Paramètres!$A$1:$I$89,3,0)*VLOOKUP('Données projet'!$B$10,Paramètres!$A$1:$I$89,5,0)</f>
        <v>238.09968000000012</v>
      </c>
      <c r="AK145" s="14">
        <f t="shared" si="143"/>
        <v>58.030478404094218</v>
      </c>
      <c r="AL145" s="22">
        <f t="shared" si="112"/>
        <v>515.76002588713095</v>
      </c>
      <c r="AM145" s="62">
        <f t="shared" si="113"/>
        <v>809.09335922046421</v>
      </c>
      <c r="AN145" s="62">
        <f ca="1">AVERAGE(OFFSET($AM$3,0,0,'Données projet'!$E$10+1,1))-AVERAGE(OFFSET($H$3,0,0,'Données projet'!$E$10+1,1))</f>
        <v>377.28543127606366</v>
      </c>
      <c r="AO145" s="62">
        <f t="shared" si="144"/>
        <v>166.97658184507776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-9.9316821433603781E-14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271.30269362742433</v>
      </c>
      <c r="BJ145" s="62">
        <f t="shared" si="146"/>
        <v>296.39988431569537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2.6</v>
      </c>
      <c r="N146" s="14">
        <f>IF('Données projet'!$A$36&gt;35,N145+M146-V145,IF(A146&lt;'Données projet'!$A$36,$K$205^A146,IF(A146='Données projet'!$A$36,'Données projet'!$B$36,N145+M146-V145)))</f>
        <v>289.7999999999995</v>
      </c>
      <c r="O146" s="14">
        <f>N146*VLOOKUP('Données projet'!$B$9,Paramètres!$A$1:$I$89,3,0)*VLOOKUP('Données projet'!$B$9,Paramètres!$A$1:$I$89,5,0)</f>
        <v>262.21103999999951</v>
      </c>
      <c r="P146" s="14">
        <f t="shared" si="141"/>
        <v>63.19344980490574</v>
      </c>
      <c r="Q146" s="22">
        <f t="shared" si="108"/>
        <v>566.74615307687668</v>
      </c>
      <c r="R146" s="62">
        <f t="shared" si="109"/>
        <v>860.07948641020994</v>
      </c>
      <c r="S146" s="62">
        <f ca="1">AVERAGE(OFFSET($R$3,0,0,'Données projet'!$E$9+1,1))-AVERAGE(OFFSET($H$3,0,0,'Données projet'!$E$9+1,1))</f>
        <v>429.08703331308703</v>
      </c>
      <c r="T146" s="62">
        <f t="shared" si="142"/>
        <v>231.36959598460675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1.6</v>
      </c>
      <c r="AI146" s="14">
        <f>IF('Données projet'!$A$62&gt;35,AI145+AH146-AQ145,IF(A146&lt;'Données projet'!$A$62,$AF$205^A146,IF(A146='Données projet'!$A$62,'Données projet'!$B$62,AI145+AH146-AQ145)))</f>
        <v>222.80000000000013</v>
      </c>
      <c r="AJ146" s="14">
        <f>AI146*VLOOKUP('Données projet'!$B$10,Paramètres!$A$1:$I$89,3,0)*VLOOKUP('Données projet'!$B$10,Paramètres!$A$1:$I$89,5,0)</f>
        <v>239.82192000000015</v>
      </c>
      <c r="AK146" s="14">
        <f t="shared" si="143"/>
        <v>58.401214047659259</v>
      </c>
      <c r="AL146" s="22">
        <f t="shared" si="112"/>
        <v>519.40529179967348</v>
      </c>
      <c r="AM146" s="62">
        <f t="shared" si="113"/>
        <v>812.73862513300674</v>
      </c>
      <c r="AN146" s="62">
        <f ca="1">AVERAGE(OFFSET($AM$3,0,0,'Données projet'!$E$10+1,1))-AVERAGE(OFFSET($H$3,0,0,'Données projet'!$E$10+1,1))</f>
        <v>377.28543127606366</v>
      </c>
      <c r="AO146" s="62">
        <f t="shared" si="144"/>
        <v>166.97658184507776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-9.9316821433603781E-14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271.30269362742433</v>
      </c>
      <c r="BJ146" s="62">
        <f t="shared" si="146"/>
        <v>296.39988431569537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2.6</v>
      </c>
      <c r="N147" s="14">
        <f>IF('Données projet'!$A$36&gt;35,N146+M147-V146,IF(A147&lt;'Données projet'!$A$36,$K$205^A147,IF(A147='Données projet'!$A$36,'Données projet'!$B$36,N146+M147-V146)))</f>
        <v>292.39999999999952</v>
      </c>
      <c r="O147" s="14">
        <f>N147*VLOOKUP('Données projet'!$B$9,Paramètres!$A$1:$I$89,3,0)*VLOOKUP('Données projet'!$B$9,Paramètres!$A$1:$I$89,5,0)</f>
        <v>264.56351999999953</v>
      </c>
      <c r="P147" s="14">
        <f t="shared" si="141"/>
        <v>63.694148737013748</v>
      </c>
      <c r="Q147" s="22">
        <f t="shared" si="108"/>
        <v>571.71543971696474</v>
      </c>
      <c r="R147" s="62">
        <f t="shared" si="109"/>
        <v>865.048773050298</v>
      </c>
      <c r="S147" s="62">
        <f ca="1">AVERAGE(OFFSET($R$3,0,0,'Données projet'!$E$9+1,1))-AVERAGE(OFFSET($H$3,0,0,'Données projet'!$E$9+1,1))</f>
        <v>429.08703331308703</v>
      </c>
      <c r="T147" s="62">
        <f t="shared" si="142"/>
        <v>231.36959598460675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1.6</v>
      </c>
      <c r="AI147" s="14">
        <f>IF('Données projet'!$A$62&gt;35,AI146+AH147-AQ146,IF(A147&lt;'Données projet'!$A$62,$AF$205^A147,IF(A147='Données projet'!$A$62,'Données projet'!$B$62,AI146+AH147-AQ146)))</f>
        <v>224.40000000000012</v>
      </c>
      <c r="AJ147" s="14">
        <f>AI147*VLOOKUP('Données projet'!$B$10,Paramètres!$A$1:$I$89,3,0)*VLOOKUP('Données projet'!$B$10,Paramètres!$A$1:$I$89,5,0)</f>
        <v>241.54416000000012</v>
      </c>
      <c r="AK147" s="14">
        <f t="shared" si="143"/>
        <v>58.771639917508516</v>
      </c>
      <c r="AL147" s="22">
        <f t="shared" si="112"/>
        <v>523.05001818966082</v>
      </c>
      <c r="AM147" s="62">
        <f t="shared" si="113"/>
        <v>816.38335152299419</v>
      </c>
      <c r="AN147" s="62">
        <f ca="1">AVERAGE(OFFSET($AM$3,0,0,'Données projet'!$E$10+1,1))-AVERAGE(OFFSET($H$3,0,0,'Données projet'!$E$10+1,1))</f>
        <v>377.28543127606366</v>
      </c>
      <c r="AO147" s="62">
        <f t="shared" si="144"/>
        <v>166.97658184507776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-9.9316821433603781E-14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271.30269362742433</v>
      </c>
      <c r="BJ147" s="62">
        <f t="shared" si="146"/>
        <v>296.39988431569537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295</v>
      </c>
      <c r="L148" s="13">
        <f>VLOOKUP(A148,'Données projet'!$A$35:$I$55,9,0)</f>
        <v>2.6</v>
      </c>
      <c r="M148" s="13">
        <f t="array" ref="M148">INDEX(L:L,MIN(IF(ISNUMBER(L148:L344),ROW(L148:L344),"")))</f>
        <v>2.6</v>
      </c>
      <c r="N148" s="14">
        <f>IF('Données projet'!$A$36&gt;35,N147+M148-V147,IF(A148&lt;'Données projet'!$A$36,$K$205^A148,IF(A148='Données projet'!$A$36,'Données projet'!$B$36,N147+M148-V147)))</f>
        <v>294.99999999999955</v>
      </c>
      <c r="O148" s="14">
        <f>N148*VLOOKUP('Données projet'!$B$9,Paramètres!$A$1:$I$89,3,0)*VLOOKUP('Données projet'!$B$9,Paramètres!$A$1:$I$89,5,0)</f>
        <v>266.9159999999996</v>
      </c>
      <c r="P148" s="14">
        <f t="shared" si="141"/>
        <v>64.194329696332062</v>
      </c>
      <c r="Q148" s="22">
        <f t="shared" si="108"/>
        <v>576.68382422111085</v>
      </c>
      <c r="R148" s="62">
        <f t="shared" si="109"/>
        <v>870.01715755444411</v>
      </c>
      <c r="S148" s="62">
        <f ca="1">AVERAGE(OFFSET($R$3,0,0,'Données projet'!$E$9+1,1))-AVERAGE(OFFSET($H$3,0,0,'Données projet'!$E$9+1,1))</f>
        <v>429.08703331308703</v>
      </c>
      <c r="T148" s="62">
        <f t="shared" si="142"/>
        <v>231.36959598460675</v>
      </c>
      <c r="U148" s="16">
        <f>IF(ISNA(VLOOKUP(A148,'Données projet'!$A$35:$I$55,3,0)),0,VLOOKUP(A148,'Données projet'!$A$35:$I$55,3,0))</f>
        <v>13</v>
      </c>
      <c r="V148" s="16">
        <f>IF(ISNA(VLOOKUP(A148,'Données projet'!$A$35:$I$55,4,0)),0,VLOOKUP(A148,'Données projet'!$A$35:$I$55,4,0))</f>
        <v>26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226</v>
      </c>
      <c r="AG148" s="13">
        <f>VLOOKUP(A148,'Données projet'!$A$61:$I$81,9,0)</f>
        <v>1.6</v>
      </c>
      <c r="AH148" s="13">
        <f t="array" ref="AH148">INDEX(AG:AG,MIN(IF(ISNUMBER(AG148:AG344),ROW(AG148:AG344),"")))</f>
        <v>1.6</v>
      </c>
      <c r="AI148" s="14">
        <f>IF('Données projet'!$A$62&gt;35,AI147+AH148-AQ147,IF(A148&lt;'Données projet'!$A$62,$AF$205^A148,IF(A148='Données projet'!$A$62,'Données projet'!$B$62,AI147+AH148-AQ147)))</f>
        <v>226.00000000000011</v>
      </c>
      <c r="AJ148" s="14">
        <f>AI148*VLOOKUP('Données projet'!$B$10,Paramètres!$A$1:$I$89,3,0)*VLOOKUP('Données projet'!$B$10,Paramètres!$A$1:$I$89,5,0)</f>
        <v>243.26640000000009</v>
      </c>
      <c r="AK148" s="14">
        <f t="shared" si="143"/>
        <v>59.141758478481862</v>
      </c>
      <c r="AL148" s="22">
        <f t="shared" si="112"/>
        <v>526.69420935002267</v>
      </c>
      <c r="AM148" s="62">
        <f t="shared" si="113"/>
        <v>820.02754268335593</v>
      </c>
      <c r="AN148" s="62">
        <f ca="1">AVERAGE(OFFSET($AM$3,0,0,'Données projet'!$E$10+1,1))-AVERAGE(OFFSET($H$3,0,0,'Données projet'!$E$10+1,1))</f>
        <v>377.28543127606366</v>
      </c>
      <c r="AO148" s="62">
        <f t="shared" si="144"/>
        <v>166.97658184507776</v>
      </c>
      <c r="AP148" s="16">
        <f>IF(ISNA(VLOOKUP(A148,'Données projet'!$A$61:$I$81,3,0)),0,VLOOKUP(A148,'Données projet'!$A$61:$I$81,3,0))</f>
        <v>12</v>
      </c>
      <c r="AQ148" s="16">
        <f>IF(ISNA(VLOOKUP(A148,'Données projet'!$A$61:$I$81,4,0)),0,VLOOKUP(A148,'Données projet'!$A$61:$I$81,4,0))</f>
        <v>15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-9.9316821433603781E-14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271.30269362742433</v>
      </c>
      <c r="BJ148" s="62">
        <f t="shared" si="146"/>
        <v>296.39988431569537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4.5999999999999996</v>
      </c>
      <c r="N149" s="14">
        <f>IF('Données projet'!$A$36&gt;35,N148+M149-V148,IF(A149&lt;'Données projet'!$A$36,$K$205^A149,IF(A149='Données projet'!$A$36,'Données projet'!$B$36,N148+M149-V148)))</f>
        <v>273.59999999999957</v>
      </c>
      <c r="O149" s="14">
        <f>N149*VLOOKUP('Données projet'!$B$9,Paramètres!$A$1:$I$89,3,0)*VLOOKUP('Données projet'!$B$9,Paramètres!$A$1:$I$89,5,0)</f>
        <v>247.5532799999996</v>
      </c>
      <c r="P149" s="14">
        <f t="shared" si="141"/>
        <v>60.061713068870198</v>
      </c>
      <c r="Q149" s="22">
        <f t="shared" si="108"/>
        <v>535.76277959494826</v>
      </c>
      <c r="R149" s="62">
        <f t="shared" si="109"/>
        <v>829.09611292828163</v>
      </c>
      <c r="S149" s="62">
        <f ca="1">AVERAGE(OFFSET($R$3,0,0,'Données projet'!$E$9+1,1))-AVERAGE(OFFSET($H$3,0,0,'Données projet'!$E$9+1,1))</f>
        <v>429.08703331308703</v>
      </c>
      <c r="T149" s="62">
        <f t="shared" si="142"/>
        <v>231.36959598460675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1.2</v>
      </c>
      <c r="AI149" s="14">
        <f>IF('Données projet'!$A$62&gt;35,AI148+AH149-AQ148,IF(A149&lt;'Données projet'!$A$62,$AF$205^A149,IF(A149='Données projet'!$A$62,'Données projet'!$B$62,AI148+AH149-AQ148)))</f>
        <v>212.2000000000001</v>
      </c>
      <c r="AJ149" s="14">
        <f>AI149*VLOOKUP('Données projet'!$B$10,Paramètres!$A$1:$I$89,3,0)*VLOOKUP('Données projet'!$B$10,Paramètres!$A$1:$I$89,5,0)</f>
        <v>228.41208000000012</v>
      </c>
      <c r="AK149" s="14">
        <f t="shared" si="143"/>
        <v>55.939197785226817</v>
      </c>
      <c r="AL149" s="22">
        <f t="shared" si="112"/>
        <v>495.24514214260353</v>
      </c>
      <c r="AM149" s="62">
        <f t="shared" si="113"/>
        <v>788.57847547593678</v>
      </c>
      <c r="AN149" s="62">
        <f ca="1">AVERAGE(OFFSET($AM$3,0,0,'Données projet'!$E$10+1,1))-AVERAGE(OFFSET($H$3,0,0,'Données projet'!$E$10+1,1))</f>
        <v>377.28543127606366</v>
      </c>
      <c r="AO149" s="62">
        <f t="shared" si="144"/>
        <v>166.97658184507776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-9.9316821433603781E-14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271.30269362742433</v>
      </c>
      <c r="BJ149" s="62">
        <f t="shared" si="146"/>
        <v>296.39988431569537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4.5999999999999996</v>
      </c>
      <c r="N150" s="14">
        <f>IF('Données projet'!$A$36&gt;35,N149+M150-V149,IF(A150&lt;'Données projet'!$A$36,$K$205^A150,IF(A150='Données projet'!$A$36,'Données projet'!$B$36,N149+M150-V149)))</f>
        <v>278.19999999999959</v>
      </c>
      <c r="O150" s="14">
        <f>N150*VLOOKUP('Données projet'!$B$9,Paramètres!$A$1:$I$89,3,0)*VLOOKUP('Données projet'!$B$9,Paramètres!$A$1:$I$89,5,0)</f>
        <v>251.71535999999961</v>
      </c>
      <c r="P150" s="14">
        <f t="shared" si="141"/>
        <v>60.953113068801763</v>
      </c>
      <c r="Q150" s="22">
        <f t="shared" si="108"/>
        <v>544.56425726149564</v>
      </c>
      <c r="R150" s="62">
        <f t="shared" si="109"/>
        <v>837.8975905948289</v>
      </c>
      <c r="S150" s="62">
        <f ca="1">AVERAGE(OFFSET($R$3,0,0,'Données projet'!$E$9+1,1))-AVERAGE(OFFSET($H$3,0,0,'Données projet'!$E$9+1,1))</f>
        <v>429.08703331308703</v>
      </c>
      <c r="T150" s="62">
        <f t="shared" si="142"/>
        <v>231.36959598460675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1.2</v>
      </c>
      <c r="AI150" s="14">
        <f>IF('Données projet'!$A$62&gt;35,AI149+AH150-AQ149,IF(A150&lt;'Données projet'!$A$62,$AF$205^A150,IF(A150='Données projet'!$A$62,'Données projet'!$B$62,AI149+AH150-AQ149)))</f>
        <v>213.40000000000009</v>
      </c>
      <c r="AJ150" s="14">
        <f>AI150*VLOOKUP('Données projet'!$B$10,Paramètres!$A$1:$I$89,3,0)*VLOOKUP('Données projet'!$B$10,Paramètres!$A$1:$I$89,5,0)</f>
        <v>229.70376000000007</v>
      </c>
      <c r="AK150" s="14">
        <f t="shared" si="143"/>
        <v>56.218622713154247</v>
      </c>
      <c r="AL150" s="22">
        <f t="shared" si="112"/>
        <v>497.9814832254105</v>
      </c>
      <c r="AM150" s="62">
        <f t="shared" si="113"/>
        <v>791.31481655874381</v>
      </c>
      <c r="AN150" s="62">
        <f ca="1">AVERAGE(OFFSET($AM$3,0,0,'Données projet'!$E$10+1,1))-AVERAGE(OFFSET($H$3,0,0,'Données projet'!$E$10+1,1))</f>
        <v>377.28543127606366</v>
      </c>
      <c r="AO150" s="62">
        <f t="shared" si="144"/>
        <v>166.97658184507776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-9.9316821433603781E-14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271.30269362742433</v>
      </c>
      <c r="BJ150" s="62">
        <f t="shared" si="146"/>
        <v>296.39988431569537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4.5999999999999996</v>
      </c>
      <c r="N151" s="14">
        <f>IF('Données projet'!$A$36&gt;35,N150+M151-V150,IF(A151&lt;'Données projet'!$A$36,$K$205^A151,IF(A151='Données projet'!$A$36,'Données projet'!$B$36,N150+M151-V150)))</f>
        <v>282.79999999999961</v>
      </c>
      <c r="O151" s="14">
        <f>N151*VLOOKUP('Données projet'!$B$9,Paramètres!$A$1:$I$89,3,0)*VLOOKUP('Données projet'!$B$9,Paramètres!$A$1:$I$89,5,0)</f>
        <v>255.87743999999967</v>
      </c>
      <c r="P151" s="14">
        <f t="shared" si="141"/>
        <v>61.84279899550522</v>
      </c>
      <c r="Q151" s="22">
        <f t="shared" si="108"/>
        <v>553.36274958383763</v>
      </c>
      <c r="R151" s="62">
        <f t="shared" si="109"/>
        <v>846.696082917171</v>
      </c>
      <c r="S151" s="62">
        <f ca="1">AVERAGE(OFFSET($R$3,0,0,'Données projet'!$E$9+1,1))-AVERAGE(OFFSET($H$3,0,0,'Données projet'!$E$9+1,1))</f>
        <v>429.08703331308703</v>
      </c>
      <c r="T151" s="62">
        <f t="shared" si="142"/>
        <v>231.36959598460675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1.2</v>
      </c>
      <c r="AI151" s="14">
        <f>IF('Données projet'!$A$62&gt;35,AI150+AH151-AQ150,IF(A151&lt;'Données projet'!$A$62,$AF$205^A151,IF(A151='Données projet'!$A$62,'Données projet'!$B$62,AI150+AH151-AQ150)))</f>
        <v>214.60000000000008</v>
      </c>
      <c r="AJ151" s="14">
        <f>AI151*VLOOKUP('Données projet'!$B$10,Paramètres!$A$1:$I$89,3,0)*VLOOKUP('Données projet'!$B$10,Paramètres!$A$1:$I$89,5,0)</f>
        <v>230.99544000000006</v>
      </c>
      <c r="AK151" s="14">
        <f t="shared" si="143"/>
        <v>56.497864803589835</v>
      </c>
      <c r="AL151" s="22">
        <f t="shared" si="112"/>
        <v>500.7175058662524</v>
      </c>
      <c r="AM151" s="62">
        <f t="shared" si="113"/>
        <v>794.05083919958565</v>
      </c>
      <c r="AN151" s="62">
        <f ca="1">AVERAGE(OFFSET($AM$3,0,0,'Données projet'!$E$10+1,1))-AVERAGE(OFFSET($H$3,0,0,'Données projet'!$E$10+1,1))</f>
        <v>377.28543127606366</v>
      </c>
      <c r="AO151" s="62">
        <f t="shared" si="144"/>
        <v>166.97658184507776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-9.9316821433603781E-14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271.30269362742433</v>
      </c>
      <c r="BJ151" s="62">
        <f t="shared" si="146"/>
        <v>296.39988431569537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4.5999999999999996</v>
      </c>
      <c r="N152" s="14">
        <f>IF('Données projet'!$A$36&gt;35,N151+M152-V151,IF(A152&lt;'Données projet'!$A$36,$K$205^A152,IF(A152='Données projet'!$A$36,'Données projet'!$B$36,N151+M152-V151)))</f>
        <v>287.39999999999964</v>
      </c>
      <c r="O152" s="14">
        <f>N152*VLOOKUP('Données projet'!$B$9,Paramètres!$A$1:$I$89,3,0)*VLOOKUP('Données projet'!$B$9,Paramètres!$A$1:$I$89,5,0)</f>
        <v>260.03951999999964</v>
      </c>
      <c r="P152" s="14">
        <f t="shared" si="141"/>
        <v>62.730801948604821</v>
      </c>
      <c r="Q152" s="22">
        <f t="shared" si="108"/>
        <v>562.15831072715275</v>
      </c>
      <c r="R152" s="62">
        <f t="shared" si="109"/>
        <v>855.49164406048612</v>
      </c>
      <c r="S152" s="62">
        <f ca="1">AVERAGE(OFFSET($R$3,0,0,'Données projet'!$E$9+1,1))-AVERAGE(OFFSET($H$3,0,0,'Données projet'!$E$9+1,1))</f>
        <v>429.08703331308703</v>
      </c>
      <c r="T152" s="62">
        <f t="shared" si="142"/>
        <v>231.36959598460675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1.2</v>
      </c>
      <c r="AI152" s="14">
        <f>IF('Données projet'!$A$62&gt;35,AI151+AH152-AQ151,IF(A152&lt;'Données projet'!$A$62,$AF$205^A152,IF(A152='Données projet'!$A$62,'Données projet'!$B$62,AI151+AH152-AQ151)))</f>
        <v>215.80000000000007</v>
      </c>
      <c r="AJ152" s="14">
        <f>AI152*VLOOKUP('Données projet'!$B$10,Paramètres!$A$1:$I$89,3,0)*VLOOKUP('Données projet'!$B$10,Paramètres!$A$1:$I$89,5,0)</f>
        <v>232.28712000000007</v>
      </c>
      <c r="AK152" s="14">
        <f t="shared" si="143"/>
        <v>56.776925197570804</v>
      </c>
      <c r="AL152" s="22">
        <f t="shared" si="112"/>
        <v>503.4532120524359</v>
      </c>
      <c r="AM152" s="62">
        <f t="shared" si="113"/>
        <v>796.78654538576916</v>
      </c>
      <c r="AN152" s="62">
        <f ca="1">AVERAGE(OFFSET($AM$3,0,0,'Données projet'!$E$10+1,1))-AVERAGE(OFFSET($H$3,0,0,'Données projet'!$E$10+1,1))</f>
        <v>377.28543127606366</v>
      </c>
      <c r="AO152" s="62">
        <f t="shared" si="144"/>
        <v>166.97658184507776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-9.9316821433603781E-14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271.30269362742433</v>
      </c>
      <c r="BJ152" s="62">
        <f t="shared" si="146"/>
        <v>296.39988431569537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292</v>
      </c>
      <c r="L153" s="13">
        <f>VLOOKUP(A153,'Données projet'!$A$35:$I$55,9,0)</f>
        <v>4.5999999999999996</v>
      </c>
      <c r="M153" s="13">
        <f t="array" ref="M153">INDEX(L:L,MIN(IF(ISNUMBER(L153:L349),ROW(L153:L349),"")))</f>
        <v>4.5999999999999996</v>
      </c>
      <c r="N153" s="14">
        <f>IF('Données projet'!$A$36&gt;35,N152+M153-V152,IF(A153&lt;'Données projet'!$A$36,$K$205^A153,IF(A153='Données projet'!$A$36,'Données projet'!$B$36,N152+M153-V152)))</f>
        <v>291.99999999999966</v>
      </c>
      <c r="O153" s="14">
        <f>N153*VLOOKUP('Données projet'!$B$9,Paramètres!$A$1:$I$89,3,0)*VLOOKUP('Données projet'!$B$9,Paramètres!$A$1:$I$89,5,0)</f>
        <v>264.2015999999997</v>
      </c>
      <c r="P153" s="14">
        <f t="shared" si="141"/>
        <v>63.617151975096711</v>
      </c>
      <c r="Q153" s="22">
        <f t="shared" si="108"/>
        <v>570.95099302329288</v>
      </c>
      <c r="R153" s="62">
        <f t="shared" si="109"/>
        <v>864.28432635662625</v>
      </c>
      <c r="S153" s="62">
        <f ca="1">AVERAGE(OFFSET($R$3,0,0,'Données projet'!$E$9+1,1))-AVERAGE(OFFSET($H$3,0,0,'Données projet'!$E$9+1,1))</f>
        <v>429.08703331308703</v>
      </c>
      <c r="T153" s="62">
        <f t="shared" si="142"/>
        <v>231.36959598460675</v>
      </c>
      <c r="U153" s="16">
        <f>IF(ISNA(VLOOKUP(A153,'Données projet'!$A$35:$I$55,3,0)),0,VLOOKUP(A153,'Données projet'!$A$35:$I$55,3,0))</f>
        <v>14</v>
      </c>
      <c r="V153" s="16">
        <f>IF(ISNA(VLOOKUP(A153,'Données projet'!$A$35:$I$55,4,0)),0,VLOOKUP(A153,'Données projet'!$A$35:$I$55,4,0))</f>
        <v>292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217</v>
      </c>
      <c r="AG153" s="13">
        <f>VLOOKUP(A153,'Données projet'!$A$61:$I$81,9,0)</f>
        <v>1.2</v>
      </c>
      <c r="AH153" s="13">
        <f t="array" ref="AH153">INDEX(AG:AG,MIN(IF(ISNUMBER(AG153:AG349),ROW(AG153:AG349),"")))</f>
        <v>1.2</v>
      </c>
      <c r="AI153" s="14">
        <f>IF('Données projet'!$A$62&gt;35,AI152+AH153-AQ152,IF(A153&lt;'Données projet'!$A$62,$AF$205^A153,IF(A153='Données projet'!$A$62,'Données projet'!$B$62,AI152+AH153-AQ152)))</f>
        <v>217.00000000000006</v>
      </c>
      <c r="AJ153" s="14">
        <f>AI153*VLOOKUP('Données projet'!$B$10,Paramètres!$A$1:$I$89,3,0)*VLOOKUP('Données projet'!$B$10,Paramètres!$A$1:$I$89,5,0)</f>
        <v>233.57880000000003</v>
      </c>
      <c r="AK153" s="14">
        <f t="shared" si="143"/>
        <v>57.055805022709997</v>
      </c>
      <c r="AL153" s="22">
        <f t="shared" si="112"/>
        <v>506.18860374788665</v>
      </c>
      <c r="AM153" s="62">
        <f t="shared" si="113"/>
        <v>799.5219370812199</v>
      </c>
      <c r="AN153" s="62">
        <f ca="1">AVERAGE(OFFSET($AM$3,0,0,'Données projet'!$E$10+1,1))-AVERAGE(OFFSET($H$3,0,0,'Données projet'!$E$10+1,1))</f>
        <v>377.28543127606366</v>
      </c>
      <c r="AO153" s="62">
        <f t="shared" si="144"/>
        <v>166.97658184507776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217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-9.9316821433603781E-14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271.30269362742433</v>
      </c>
      <c r="BJ153" s="62">
        <f t="shared" si="146"/>
        <v>296.39988431569537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projet'!$B$9,Paramètres!$A$1:$I$89,3,0)*VLOOKUP('Données projet'!$B$9,Paramètres!$A$1:$I$89,5,0)</f>
        <v>-3.0859155231155454E-13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429.08703331308703</v>
      </c>
      <c r="T154" s="62">
        <f t="shared" si="142"/>
        <v>231.36959598460675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6.1186256061773749E-14</v>
      </c>
      <c r="AK154" s="14">
        <f t="shared" ref="AK154:AK203" si="164">EXP(-1.0587+0.8836*LN(AJ154)+0.284)</f>
        <v>9.7328366192051127E-13</v>
      </c>
      <c r="AL154" s="22">
        <f t="shared" ref="AL154:AL203" si="165">(AJ154+AK154)*0.475*44/12</f>
        <v>1.8017017738191463E-12</v>
      </c>
      <c r="AM154" s="62">
        <f t="shared" si="113"/>
        <v>293.33333333333513</v>
      </c>
      <c r="AN154" s="62">
        <f ca="1">AVERAGE(OFFSET($AM$3,0,0,'Données projet'!$E$10+1,1))-AVERAGE(OFFSET($H$3,0,0,'Données projet'!$E$10+1,1))</f>
        <v>377.28543127606366</v>
      </c>
      <c r="AO154" s="62">
        <f t="shared" si="144"/>
        <v>166.97658184507776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-9.9316821433603781E-14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271.30269362742433</v>
      </c>
      <c r="BJ154" s="62">
        <f t="shared" si="146"/>
        <v>296.39988431569537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projet'!$B$9,Paramètres!$A$1:$I$89,3,0)*VLOOKUP('Données projet'!$B$9,Paramètres!$A$1:$I$89,5,0)</f>
        <v>-3.0859155231155454E-13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429.08703331308703</v>
      </c>
      <c r="T155" s="62">
        <f t="shared" si="142"/>
        <v>231.36959598460675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6.1186256061773749E-14</v>
      </c>
      <c r="AK155" s="14">
        <f t="shared" si="164"/>
        <v>9.7328366192051127E-13</v>
      </c>
      <c r="AL155" s="22">
        <f t="shared" si="165"/>
        <v>1.8017017738191463E-12</v>
      </c>
      <c r="AM155" s="62">
        <f t="shared" si="113"/>
        <v>293.33333333333513</v>
      </c>
      <c r="AN155" s="62">
        <f ca="1">AVERAGE(OFFSET($AM$3,0,0,'Données projet'!$E$10+1,1))-AVERAGE(OFFSET($H$3,0,0,'Données projet'!$E$10+1,1))</f>
        <v>377.28543127606366</v>
      </c>
      <c r="AO155" s="62">
        <f t="shared" si="144"/>
        <v>166.97658184507776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-9.9316821433603781E-14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271.30269362742433</v>
      </c>
      <c r="BJ155" s="62">
        <f t="shared" si="146"/>
        <v>296.39988431569537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projet'!$B$9,Paramètres!$A$1:$I$89,3,0)*VLOOKUP('Données projet'!$B$9,Paramètres!$A$1:$I$89,5,0)</f>
        <v>-3.0859155231155454E-13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429.08703331308703</v>
      </c>
      <c r="T156" s="62">
        <f t="shared" si="142"/>
        <v>231.36959598460675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6.1186256061773749E-14</v>
      </c>
      <c r="AK156" s="14">
        <f t="shared" si="164"/>
        <v>9.7328366192051127E-13</v>
      </c>
      <c r="AL156" s="22">
        <f t="shared" si="165"/>
        <v>1.8017017738191463E-12</v>
      </c>
      <c r="AM156" s="62">
        <f t="shared" si="113"/>
        <v>293.33333333333513</v>
      </c>
      <c r="AN156" s="62">
        <f ca="1">AVERAGE(OFFSET($AM$3,0,0,'Données projet'!$E$10+1,1))-AVERAGE(OFFSET($H$3,0,0,'Données projet'!$E$10+1,1))</f>
        <v>377.28543127606366</v>
      </c>
      <c r="AO156" s="62">
        <f t="shared" si="144"/>
        <v>166.97658184507776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-9.9316821433603781E-14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271.30269362742433</v>
      </c>
      <c r="BJ156" s="62">
        <f t="shared" si="146"/>
        <v>296.39988431569537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projet'!$B$9,Paramètres!$A$1:$I$89,3,0)*VLOOKUP('Données projet'!$B$9,Paramètres!$A$1:$I$89,5,0)</f>
        <v>-3.0859155231155454E-13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429.08703331308703</v>
      </c>
      <c r="T157" s="62">
        <f t="shared" si="142"/>
        <v>231.36959598460675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6.1186256061773749E-14</v>
      </c>
      <c r="AK157" s="14">
        <f t="shared" si="164"/>
        <v>9.7328366192051127E-13</v>
      </c>
      <c r="AL157" s="22">
        <f t="shared" si="165"/>
        <v>1.8017017738191463E-12</v>
      </c>
      <c r="AM157" s="62">
        <f t="shared" si="113"/>
        <v>293.33333333333513</v>
      </c>
      <c r="AN157" s="62">
        <f ca="1">AVERAGE(OFFSET($AM$3,0,0,'Données projet'!$E$10+1,1))-AVERAGE(OFFSET($H$3,0,0,'Données projet'!$E$10+1,1))</f>
        <v>377.28543127606366</v>
      </c>
      <c r="AO157" s="62">
        <f t="shared" si="144"/>
        <v>166.97658184507776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-9.9316821433603781E-14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271.30269362742433</v>
      </c>
      <c r="BJ157" s="62">
        <f t="shared" si="146"/>
        <v>296.39988431569537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projet'!$B$9,Paramètres!$A$1:$I$89,3,0)*VLOOKUP('Données projet'!$B$9,Paramètres!$A$1:$I$89,5,0)</f>
        <v>-3.0859155231155454E-13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429.08703331308703</v>
      </c>
      <c r="T158" s="62">
        <f t="shared" si="142"/>
        <v>231.36959598460675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6.1186256061773749E-14</v>
      </c>
      <c r="AK158" s="14">
        <f t="shared" si="164"/>
        <v>9.7328366192051127E-13</v>
      </c>
      <c r="AL158" s="22">
        <f t="shared" si="165"/>
        <v>1.8017017738191463E-12</v>
      </c>
      <c r="AM158" s="62">
        <f t="shared" si="113"/>
        <v>293.33333333333513</v>
      </c>
      <c r="AN158" s="62">
        <f ca="1">AVERAGE(OFFSET($AM$3,0,0,'Données projet'!$E$10+1,1))-AVERAGE(OFFSET($H$3,0,0,'Données projet'!$E$10+1,1))</f>
        <v>377.28543127606366</v>
      </c>
      <c r="AO158" s="62">
        <f t="shared" si="144"/>
        <v>166.97658184507776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-9.9316821433603781E-14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271.30269362742433</v>
      </c>
      <c r="BJ158" s="62">
        <f t="shared" si="146"/>
        <v>296.39988431569537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projet'!$B$9,Paramètres!$A$1:$I$89,3,0)*VLOOKUP('Données projet'!$B$9,Paramètres!$A$1:$I$89,5,0)</f>
        <v>-3.0859155231155454E-13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429.08703331308703</v>
      </c>
      <c r="T159" s="62">
        <f t="shared" si="142"/>
        <v>231.36959598460675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6.1186256061773749E-14</v>
      </c>
      <c r="AK159" s="14">
        <f t="shared" si="164"/>
        <v>9.7328366192051127E-13</v>
      </c>
      <c r="AL159" s="22">
        <f t="shared" si="165"/>
        <v>1.8017017738191463E-12</v>
      </c>
      <c r="AM159" s="62">
        <f t="shared" si="113"/>
        <v>293.33333333333513</v>
      </c>
      <c r="AN159" s="62">
        <f ca="1">AVERAGE(OFFSET($AM$3,0,0,'Données projet'!$E$10+1,1))-AVERAGE(OFFSET($H$3,0,0,'Données projet'!$E$10+1,1))</f>
        <v>377.28543127606366</v>
      </c>
      <c r="AO159" s="62">
        <f t="shared" si="144"/>
        <v>166.97658184507776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-9.9316821433603781E-14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271.30269362742433</v>
      </c>
      <c r="BJ159" s="62">
        <f t="shared" si="146"/>
        <v>296.39988431569537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projet'!$B$9,Paramètres!$A$1:$I$89,3,0)*VLOOKUP('Données projet'!$B$9,Paramètres!$A$1:$I$89,5,0)</f>
        <v>-3.0859155231155454E-13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429.08703331308703</v>
      </c>
      <c r="T160" s="62">
        <f t="shared" si="142"/>
        <v>231.36959598460675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6.1186256061773749E-14</v>
      </c>
      <c r="AK160" s="14">
        <f t="shared" si="164"/>
        <v>9.7328366192051127E-13</v>
      </c>
      <c r="AL160" s="22">
        <f t="shared" si="165"/>
        <v>1.8017017738191463E-12</v>
      </c>
      <c r="AM160" s="62">
        <f t="shared" si="113"/>
        <v>293.33333333333513</v>
      </c>
      <c r="AN160" s="62">
        <f ca="1">AVERAGE(OFFSET($AM$3,0,0,'Données projet'!$E$10+1,1))-AVERAGE(OFFSET($H$3,0,0,'Données projet'!$E$10+1,1))</f>
        <v>377.28543127606366</v>
      </c>
      <c r="AO160" s="62">
        <f t="shared" si="144"/>
        <v>166.97658184507776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-9.9316821433603781E-14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271.30269362742433</v>
      </c>
      <c r="BJ160" s="62">
        <f t="shared" si="146"/>
        <v>296.39988431569537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projet'!$B$9,Paramètres!$A$1:$I$89,3,0)*VLOOKUP('Données projet'!$B$9,Paramètres!$A$1:$I$89,5,0)</f>
        <v>-3.0859155231155454E-13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429.08703331308703</v>
      </c>
      <c r="T161" s="62">
        <f t="shared" si="142"/>
        <v>231.36959598460675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6.1186256061773749E-14</v>
      </c>
      <c r="AK161" s="14">
        <f t="shared" si="164"/>
        <v>9.7328366192051127E-13</v>
      </c>
      <c r="AL161" s="22">
        <f t="shared" si="165"/>
        <v>1.8017017738191463E-12</v>
      </c>
      <c r="AM161" s="62">
        <f t="shared" si="113"/>
        <v>293.33333333333513</v>
      </c>
      <c r="AN161" s="62">
        <f ca="1">AVERAGE(OFFSET($AM$3,0,0,'Données projet'!$E$10+1,1))-AVERAGE(OFFSET($H$3,0,0,'Données projet'!$E$10+1,1))</f>
        <v>377.28543127606366</v>
      </c>
      <c r="AO161" s="62">
        <f t="shared" si="144"/>
        <v>166.97658184507776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-9.9316821433603781E-14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271.30269362742433</v>
      </c>
      <c r="BJ161" s="62">
        <f t="shared" si="146"/>
        <v>296.39988431569537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projet'!$B$9,Paramètres!$A$1:$I$89,3,0)*VLOOKUP('Données projet'!$B$9,Paramètres!$A$1:$I$89,5,0)</f>
        <v>-3.0859155231155454E-13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429.08703331308703</v>
      </c>
      <c r="T162" s="62">
        <f t="shared" si="142"/>
        <v>231.36959598460675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6.1186256061773749E-14</v>
      </c>
      <c r="AK162" s="14">
        <f t="shared" si="164"/>
        <v>9.7328366192051127E-13</v>
      </c>
      <c r="AL162" s="22">
        <f t="shared" si="165"/>
        <v>1.8017017738191463E-12</v>
      </c>
      <c r="AM162" s="62">
        <f t="shared" si="113"/>
        <v>293.33333333333513</v>
      </c>
      <c r="AN162" s="62">
        <f ca="1">AVERAGE(OFFSET($AM$3,0,0,'Données projet'!$E$10+1,1))-AVERAGE(OFFSET($H$3,0,0,'Données projet'!$E$10+1,1))</f>
        <v>377.28543127606366</v>
      </c>
      <c r="AO162" s="62">
        <f t="shared" si="144"/>
        <v>166.97658184507776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-9.9316821433603781E-14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271.30269362742433</v>
      </c>
      <c r="BJ162" s="62">
        <f t="shared" si="146"/>
        <v>296.39988431569537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projet'!$B$9,Paramètres!$A$1:$I$89,3,0)*VLOOKUP('Données projet'!$B$9,Paramètres!$A$1:$I$89,5,0)</f>
        <v>-3.0859155231155454E-13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429.08703331308703</v>
      </c>
      <c r="T163" s="62">
        <f t="shared" si="142"/>
        <v>231.36959598460675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6.1186256061773749E-14</v>
      </c>
      <c r="AK163" s="14">
        <f t="shared" si="164"/>
        <v>9.7328366192051127E-13</v>
      </c>
      <c r="AL163" s="22">
        <f t="shared" si="165"/>
        <v>1.8017017738191463E-12</v>
      </c>
      <c r="AM163" s="62">
        <f t="shared" si="113"/>
        <v>293.33333333333513</v>
      </c>
      <c r="AN163" s="62">
        <f ca="1">AVERAGE(OFFSET($AM$3,0,0,'Données projet'!$E$10+1,1))-AVERAGE(OFFSET($H$3,0,0,'Données projet'!$E$10+1,1))</f>
        <v>377.28543127606366</v>
      </c>
      <c r="AO163" s="62">
        <f t="shared" si="144"/>
        <v>166.97658184507776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-9.9316821433603781E-14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271.30269362742433</v>
      </c>
      <c r="BJ163" s="62">
        <f t="shared" si="146"/>
        <v>296.39988431569537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projet'!$B$9,Paramètres!$A$1:$I$89,3,0)*VLOOKUP('Données projet'!$B$9,Paramètres!$A$1:$I$89,5,0)</f>
        <v>-3.0859155231155454E-13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429.08703331308703</v>
      </c>
      <c r="T164" s="62">
        <f t="shared" si="142"/>
        <v>231.36959598460675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6.1186256061773749E-14</v>
      </c>
      <c r="AK164" s="14">
        <f t="shared" si="164"/>
        <v>9.7328366192051127E-13</v>
      </c>
      <c r="AL164" s="22">
        <f t="shared" si="165"/>
        <v>1.8017017738191463E-12</v>
      </c>
      <c r="AM164" s="62">
        <f t="shared" si="113"/>
        <v>293.33333333333513</v>
      </c>
      <c r="AN164" s="62">
        <f ca="1">AVERAGE(OFFSET($AM$3,0,0,'Données projet'!$E$10+1,1))-AVERAGE(OFFSET($H$3,0,0,'Données projet'!$E$10+1,1))</f>
        <v>377.28543127606366</v>
      </c>
      <c r="AO164" s="62">
        <f t="shared" si="144"/>
        <v>166.97658184507776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-9.9316821433603781E-14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271.30269362742433</v>
      </c>
      <c r="BJ164" s="62">
        <f t="shared" si="146"/>
        <v>296.39988431569537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projet'!$B$9,Paramètres!$A$1:$I$89,3,0)*VLOOKUP('Données projet'!$B$9,Paramètres!$A$1:$I$89,5,0)</f>
        <v>-3.0859155231155454E-13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429.08703331308703</v>
      </c>
      <c r="T165" s="62">
        <f t="shared" si="142"/>
        <v>231.36959598460675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6.1186256061773749E-14</v>
      </c>
      <c r="AK165" s="14">
        <f t="shared" si="164"/>
        <v>9.7328366192051127E-13</v>
      </c>
      <c r="AL165" s="22">
        <f t="shared" si="165"/>
        <v>1.8017017738191463E-12</v>
      </c>
      <c r="AM165" s="62">
        <f t="shared" si="113"/>
        <v>293.33333333333513</v>
      </c>
      <c r="AN165" s="62">
        <f ca="1">AVERAGE(OFFSET($AM$3,0,0,'Données projet'!$E$10+1,1))-AVERAGE(OFFSET($H$3,0,0,'Données projet'!$E$10+1,1))</f>
        <v>377.28543127606366</v>
      </c>
      <c r="AO165" s="62">
        <f t="shared" si="144"/>
        <v>166.97658184507776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-9.9316821433603781E-14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271.30269362742433</v>
      </c>
      <c r="BJ165" s="62">
        <f t="shared" si="146"/>
        <v>296.39988431569537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projet'!$B$9,Paramètres!$A$1:$I$89,3,0)*VLOOKUP('Données projet'!$B$9,Paramètres!$A$1:$I$89,5,0)</f>
        <v>-3.0859155231155454E-13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429.08703331308703</v>
      </c>
      <c r="T166" s="62">
        <f t="shared" si="142"/>
        <v>231.36959598460675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6.1186256061773749E-14</v>
      </c>
      <c r="AK166" s="14">
        <f t="shared" si="164"/>
        <v>9.7328366192051127E-13</v>
      </c>
      <c r="AL166" s="22">
        <f t="shared" si="165"/>
        <v>1.8017017738191463E-12</v>
      </c>
      <c r="AM166" s="62">
        <f t="shared" si="113"/>
        <v>293.33333333333513</v>
      </c>
      <c r="AN166" s="62">
        <f ca="1">AVERAGE(OFFSET($AM$3,0,0,'Données projet'!$E$10+1,1))-AVERAGE(OFFSET($H$3,0,0,'Données projet'!$E$10+1,1))</f>
        <v>377.28543127606366</v>
      </c>
      <c r="AO166" s="62">
        <f t="shared" si="144"/>
        <v>166.97658184507776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-9.9316821433603781E-14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271.30269362742433</v>
      </c>
      <c r="BJ166" s="62">
        <f t="shared" si="146"/>
        <v>296.39988431569537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projet'!$B$9,Paramètres!$A$1:$I$89,3,0)*VLOOKUP('Données projet'!$B$9,Paramètres!$A$1:$I$89,5,0)</f>
        <v>-3.0859155231155454E-13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429.08703331308703</v>
      </c>
      <c r="T167" s="62">
        <f t="shared" si="142"/>
        <v>231.36959598460675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6.1186256061773749E-14</v>
      </c>
      <c r="AK167" s="14">
        <f t="shared" si="164"/>
        <v>9.7328366192051127E-13</v>
      </c>
      <c r="AL167" s="22">
        <f t="shared" si="165"/>
        <v>1.8017017738191463E-12</v>
      </c>
      <c r="AM167" s="62">
        <f t="shared" si="113"/>
        <v>293.33333333333513</v>
      </c>
      <c r="AN167" s="62">
        <f ca="1">AVERAGE(OFFSET($AM$3,0,0,'Données projet'!$E$10+1,1))-AVERAGE(OFFSET($H$3,0,0,'Données projet'!$E$10+1,1))</f>
        <v>377.28543127606366</v>
      </c>
      <c r="AO167" s="62">
        <f t="shared" si="144"/>
        <v>166.97658184507776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-9.9316821433603781E-14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271.30269362742433</v>
      </c>
      <c r="BJ167" s="62">
        <f t="shared" si="146"/>
        <v>296.39988431569537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projet'!$B$9,Paramètres!$A$1:$I$89,3,0)*VLOOKUP('Données projet'!$B$9,Paramètres!$A$1:$I$89,5,0)</f>
        <v>-3.0859155231155454E-13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429.08703331308703</v>
      </c>
      <c r="T168" s="62">
        <f t="shared" si="142"/>
        <v>231.36959598460675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6.1186256061773749E-14</v>
      </c>
      <c r="AK168" s="14">
        <f t="shared" si="164"/>
        <v>9.7328366192051127E-13</v>
      </c>
      <c r="AL168" s="22">
        <f t="shared" si="165"/>
        <v>1.8017017738191463E-12</v>
      </c>
      <c r="AM168" s="62">
        <f t="shared" si="113"/>
        <v>293.33333333333513</v>
      </c>
      <c r="AN168" s="62">
        <f ca="1">AVERAGE(OFFSET($AM$3,0,0,'Données projet'!$E$10+1,1))-AVERAGE(OFFSET($H$3,0,0,'Données projet'!$E$10+1,1))</f>
        <v>377.28543127606366</v>
      </c>
      <c r="AO168" s="62">
        <f t="shared" si="144"/>
        <v>166.97658184507776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-9.9316821433603781E-14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271.30269362742433</v>
      </c>
      <c r="BJ168" s="62">
        <f t="shared" si="146"/>
        <v>296.39988431569537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projet'!$B$9,Paramètres!$A$1:$I$89,3,0)*VLOOKUP('Données projet'!$B$9,Paramètres!$A$1:$I$89,5,0)</f>
        <v>-3.0859155231155454E-13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429.08703331308703</v>
      </c>
      <c r="T169" s="62">
        <f t="shared" si="142"/>
        <v>231.36959598460675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6.1186256061773749E-14</v>
      </c>
      <c r="AK169" s="14">
        <f t="shared" si="164"/>
        <v>9.7328366192051127E-13</v>
      </c>
      <c r="AL169" s="22">
        <f t="shared" si="165"/>
        <v>1.8017017738191463E-12</v>
      </c>
      <c r="AM169" s="62">
        <f t="shared" si="113"/>
        <v>293.33333333333513</v>
      </c>
      <c r="AN169" s="62">
        <f ca="1">AVERAGE(OFFSET($AM$3,0,0,'Données projet'!$E$10+1,1))-AVERAGE(OFFSET($H$3,0,0,'Données projet'!$E$10+1,1))</f>
        <v>377.28543127606366</v>
      </c>
      <c r="AO169" s="62">
        <f t="shared" si="144"/>
        <v>166.97658184507776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-9.9316821433603781E-14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271.30269362742433</v>
      </c>
      <c r="BJ169" s="62">
        <f t="shared" si="146"/>
        <v>296.39988431569537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projet'!$B$9,Paramètres!$A$1:$I$89,3,0)*VLOOKUP('Données projet'!$B$9,Paramètres!$A$1:$I$89,5,0)</f>
        <v>-3.0859155231155454E-13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429.08703331308703</v>
      </c>
      <c r="T170" s="62">
        <f t="shared" si="142"/>
        <v>231.36959598460675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6.1186256061773749E-14</v>
      </c>
      <c r="AK170" s="14">
        <f t="shared" si="164"/>
        <v>9.7328366192051127E-13</v>
      </c>
      <c r="AL170" s="22">
        <f t="shared" si="165"/>
        <v>1.8017017738191463E-12</v>
      </c>
      <c r="AM170" s="62">
        <f t="shared" si="113"/>
        <v>293.33333333333513</v>
      </c>
      <c r="AN170" s="62">
        <f ca="1">AVERAGE(OFFSET($AM$3,0,0,'Données projet'!$E$10+1,1))-AVERAGE(OFFSET($H$3,0,0,'Données projet'!$E$10+1,1))</f>
        <v>377.28543127606366</v>
      </c>
      <c r="AO170" s="62">
        <f t="shared" si="144"/>
        <v>166.97658184507776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-9.9316821433603781E-14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271.30269362742433</v>
      </c>
      <c r="BJ170" s="62">
        <f t="shared" si="146"/>
        <v>296.39988431569537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projet'!$B$9,Paramètres!$A$1:$I$89,3,0)*VLOOKUP('Données projet'!$B$9,Paramètres!$A$1:$I$89,5,0)</f>
        <v>-3.0859155231155454E-13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429.08703331308703</v>
      </c>
      <c r="T171" s="62">
        <f t="shared" si="142"/>
        <v>231.36959598460675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6.1186256061773749E-14</v>
      </c>
      <c r="AK171" s="14">
        <f t="shared" si="164"/>
        <v>9.7328366192051127E-13</v>
      </c>
      <c r="AL171" s="22">
        <f t="shared" si="165"/>
        <v>1.8017017738191463E-12</v>
      </c>
      <c r="AM171" s="62">
        <f t="shared" si="113"/>
        <v>293.33333333333513</v>
      </c>
      <c r="AN171" s="62">
        <f ca="1">AVERAGE(OFFSET($AM$3,0,0,'Données projet'!$E$10+1,1))-AVERAGE(OFFSET($H$3,0,0,'Données projet'!$E$10+1,1))</f>
        <v>377.28543127606366</v>
      </c>
      <c r="AO171" s="62">
        <f t="shared" si="144"/>
        <v>166.97658184507776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-9.9316821433603781E-14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271.30269362742433</v>
      </c>
      <c r="BJ171" s="62">
        <f t="shared" si="146"/>
        <v>296.39988431569537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projet'!$B$9,Paramètres!$A$1:$I$89,3,0)*VLOOKUP('Données projet'!$B$9,Paramètres!$A$1:$I$89,5,0)</f>
        <v>-3.0859155231155454E-13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429.08703331308703</v>
      </c>
      <c r="T172" s="62">
        <f t="shared" si="142"/>
        <v>231.36959598460675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6.1186256061773749E-14</v>
      </c>
      <c r="AK172" s="14">
        <f t="shared" si="164"/>
        <v>9.7328366192051127E-13</v>
      </c>
      <c r="AL172" s="22">
        <f t="shared" si="165"/>
        <v>1.8017017738191463E-12</v>
      </c>
      <c r="AM172" s="62">
        <f t="shared" si="113"/>
        <v>293.33333333333513</v>
      </c>
      <c r="AN172" s="62">
        <f ca="1">AVERAGE(OFFSET($AM$3,0,0,'Données projet'!$E$10+1,1))-AVERAGE(OFFSET($H$3,0,0,'Données projet'!$E$10+1,1))</f>
        <v>377.28543127606366</v>
      </c>
      <c r="AO172" s="62">
        <f t="shared" si="144"/>
        <v>166.97658184507776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-9.9316821433603781E-14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271.30269362742433</v>
      </c>
      <c r="BJ172" s="62">
        <f t="shared" si="146"/>
        <v>296.39988431569537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projet'!$B$9,Paramètres!$A$1:$I$89,3,0)*VLOOKUP('Données projet'!$B$9,Paramètres!$A$1:$I$89,5,0)</f>
        <v>-3.0859155231155454E-13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429.08703331308703</v>
      </c>
      <c r="T173" s="62">
        <f t="shared" si="142"/>
        <v>231.36959598460675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6.1186256061773749E-14</v>
      </c>
      <c r="AK173" s="14">
        <f t="shared" si="164"/>
        <v>9.7328366192051127E-13</v>
      </c>
      <c r="AL173" s="22">
        <f t="shared" si="165"/>
        <v>1.8017017738191463E-12</v>
      </c>
      <c r="AM173" s="62">
        <f t="shared" si="113"/>
        <v>293.33333333333513</v>
      </c>
      <c r="AN173" s="62">
        <f ca="1">AVERAGE(OFFSET($AM$3,0,0,'Données projet'!$E$10+1,1))-AVERAGE(OFFSET($H$3,0,0,'Données projet'!$E$10+1,1))</f>
        <v>377.28543127606366</v>
      </c>
      <c r="AO173" s="62">
        <f t="shared" si="144"/>
        <v>166.97658184507776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-9.9316821433603781E-14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271.30269362742433</v>
      </c>
      <c r="BJ173" s="62">
        <f t="shared" si="146"/>
        <v>296.39988431569537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projet'!$B$9,Paramètres!$A$1:$I$89,3,0)*VLOOKUP('Données projet'!$B$9,Paramètres!$A$1:$I$89,5,0)</f>
        <v>-3.0859155231155454E-13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429.08703331308703</v>
      </c>
      <c r="T174" s="62">
        <f t="shared" si="142"/>
        <v>231.36959598460675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6.1186256061773749E-14</v>
      </c>
      <c r="AK174" s="14">
        <f t="shared" si="164"/>
        <v>9.7328366192051127E-13</v>
      </c>
      <c r="AL174" s="22">
        <f t="shared" si="165"/>
        <v>1.8017017738191463E-12</v>
      </c>
      <c r="AM174" s="62">
        <f t="shared" si="113"/>
        <v>293.33333333333513</v>
      </c>
      <c r="AN174" s="62">
        <f ca="1">AVERAGE(OFFSET($AM$3,0,0,'Données projet'!$E$10+1,1))-AVERAGE(OFFSET($H$3,0,0,'Données projet'!$E$10+1,1))</f>
        <v>377.28543127606366</v>
      </c>
      <c r="AO174" s="62">
        <f t="shared" si="144"/>
        <v>166.97658184507776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-9.9316821433603781E-14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271.30269362742433</v>
      </c>
      <c r="BJ174" s="62">
        <f t="shared" si="146"/>
        <v>296.39988431569537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projet'!$B$9,Paramètres!$A$1:$I$89,3,0)*VLOOKUP('Données projet'!$B$9,Paramètres!$A$1:$I$89,5,0)</f>
        <v>-3.0859155231155454E-13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429.08703331308703</v>
      </c>
      <c r="T175" s="62">
        <f t="shared" si="142"/>
        <v>231.36959598460675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6.1186256061773749E-14</v>
      </c>
      <c r="AK175" s="14">
        <f t="shared" si="164"/>
        <v>9.7328366192051127E-13</v>
      </c>
      <c r="AL175" s="22">
        <f t="shared" si="165"/>
        <v>1.8017017738191463E-12</v>
      </c>
      <c r="AM175" s="62">
        <f t="shared" si="113"/>
        <v>293.33333333333513</v>
      </c>
      <c r="AN175" s="62">
        <f ca="1">AVERAGE(OFFSET($AM$3,0,0,'Données projet'!$E$10+1,1))-AVERAGE(OFFSET($H$3,0,0,'Données projet'!$E$10+1,1))</f>
        <v>377.28543127606366</v>
      </c>
      <c r="AO175" s="62">
        <f t="shared" si="144"/>
        <v>166.97658184507776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-9.9316821433603781E-14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271.30269362742433</v>
      </c>
      <c r="BJ175" s="62">
        <f t="shared" si="146"/>
        <v>296.39988431569537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projet'!$B$9,Paramètres!$A$1:$I$89,3,0)*VLOOKUP('Données projet'!$B$9,Paramètres!$A$1:$I$89,5,0)</f>
        <v>-3.0859155231155454E-13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429.08703331308703</v>
      </c>
      <c r="T176" s="62">
        <f t="shared" si="142"/>
        <v>231.36959598460675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6.1186256061773749E-14</v>
      </c>
      <c r="AK176" s="14">
        <f t="shared" si="164"/>
        <v>9.7328366192051127E-13</v>
      </c>
      <c r="AL176" s="22">
        <f t="shared" si="165"/>
        <v>1.8017017738191463E-12</v>
      </c>
      <c r="AM176" s="62">
        <f t="shared" si="113"/>
        <v>293.33333333333513</v>
      </c>
      <c r="AN176" s="62">
        <f ca="1">AVERAGE(OFFSET($AM$3,0,0,'Données projet'!$E$10+1,1))-AVERAGE(OFFSET($H$3,0,0,'Données projet'!$E$10+1,1))</f>
        <v>377.28543127606366</v>
      </c>
      <c r="AO176" s="62">
        <f t="shared" si="144"/>
        <v>166.97658184507776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-9.9316821433603781E-14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271.30269362742433</v>
      </c>
      <c r="BJ176" s="62">
        <f t="shared" si="146"/>
        <v>296.39988431569537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projet'!$B$9,Paramètres!$A$1:$I$89,3,0)*VLOOKUP('Données projet'!$B$9,Paramètres!$A$1:$I$89,5,0)</f>
        <v>-3.0859155231155454E-13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429.08703331308703</v>
      </c>
      <c r="T177" s="62">
        <f t="shared" si="142"/>
        <v>231.36959598460675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6.1186256061773749E-14</v>
      </c>
      <c r="AK177" s="14">
        <f t="shared" si="164"/>
        <v>9.7328366192051127E-13</v>
      </c>
      <c r="AL177" s="22">
        <f t="shared" si="165"/>
        <v>1.8017017738191463E-12</v>
      </c>
      <c r="AM177" s="62">
        <f t="shared" si="113"/>
        <v>293.33333333333513</v>
      </c>
      <c r="AN177" s="62">
        <f ca="1">AVERAGE(OFFSET($AM$3,0,0,'Données projet'!$E$10+1,1))-AVERAGE(OFFSET($H$3,0,0,'Données projet'!$E$10+1,1))</f>
        <v>377.28543127606366</v>
      </c>
      <c r="AO177" s="62">
        <f t="shared" si="144"/>
        <v>166.97658184507776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-9.9316821433603781E-14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271.30269362742433</v>
      </c>
      <c r="BJ177" s="62">
        <f t="shared" si="146"/>
        <v>296.39988431569537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projet'!$B$9,Paramètres!$A$1:$I$89,3,0)*VLOOKUP('Données projet'!$B$9,Paramètres!$A$1:$I$89,5,0)</f>
        <v>-3.0859155231155454E-13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429.08703331308703</v>
      </c>
      <c r="T178" s="62">
        <f t="shared" si="142"/>
        <v>231.36959598460675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6.1186256061773749E-14</v>
      </c>
      <c r="AK178" s="14">
        <f t="shared" si="164"/>
        <v>9.7328366192051127E-13</v>
      </c>
      <c r="AL178" s="22">
        <f t="shared" si="165"/>
        <v>1.8017017738191463E-12</v>
      </c>
      <c r="AM178" s="62">
        <f t="shared" si="113"/>
        <v>293.33333333333513</v>
      </c>
      <c r="AN178" s="62">
        <f ca="1">AVERAGE(OFFSET($AM$3,0,0,'Données projet'!$E$10+1,1))-AVERAGE(OFFSET($H$3,0,0,'Données projet'!$E$10+1,1))</f>
        <v>377.28543127606366</v>
      </c>
      <c r="AO178" s="62">
        <f t="shared" si="144"/>
        <v>166.97658184507776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-9.9316821433603781E-14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271.30269362742433</v>
      </c>
      <c r="BJ178" s="62">
        <f t="shared" si="146"/>
        <v>296.39988431569537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projet'!$B$9,Paramètres!$A$1:$I$89,3,0)*VLOOKUP('Données projet'!$B$9,Paramètres!$A$1:$I$89,5,0)</f>
        <v>-3.0859155231155454E-13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429.08703331308703</v>
      </c>
      <c r="T179" s="62">
        <f t="shared" si="142"/>
        <v>231.36959598460675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6.1186256061773749E-14</v>
      </c>
      <c r="AK179" s="14">
        <f t="shared" si="164"/>
        <v>9.7328366192051127E-13</v>
      </c>
      <c r="AL179" s="22">
        <f t="shared" si="165"/>
        <v>1.8017017738191463E-12</v>
      </c>
      <c r="AM179" s="62">
        <f t="shared" si="113"/>
        <v>293.33333333333513</v>
      </c>
      <c r="AN179" s="62">
        <f ca="1">AVERAGE(OFFSET($AM$3,0,0,'Données projet'!$E$10+1,1))-AVERAGE(OFFSET($H$3,0,0,'Données projet'!$E$10+1,1))</f>
        <v>377.28543127606366</v>
      </c>
      <c r="AO179" s="62">
        <f t="shared" si="144"/>
        <v>166.97658184507776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-9.9316821433603781E-14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271.30269362742433</v>
      </c>
      <c r="BJ179" s="62">
        <f t="shared" si="146"/>
        <v>296.39988431569537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projet'!$B$9,Paramètres!$A$1:$I$89,3,0)*VLOOKUP('Données projet'!$B$9,Paramètres!$A$1:$I$89,5,0)</f>
        <v>-3.0859155231155454E-13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429.08703331308703</v>
      </c>
      <c r="T180" s="62">
        <f t="shared" si="142"/>
        <v>231.36959598460675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6.1186256061773749E-14</v>
      </c>
      <c r="AK180" s="14">
        <f t="shared" si="164"/>
        <v>9.7328366192051127E-13</v>
      </c>
      <c r="AL180" s="22">
        <f t="shared" si="165"/>
        <v>1.8017017738191463E-12</v>
      </c>
      <c r="AM180" s="62">
        <f t="shared" si="113"/>
        <v>293.33333333333513</v>
      </c>
      <c r="AN180" s="62">
        <f ca="1">AVERAGE(OFFSET($AM$3,0,0,'Données projet'!$E$10+1,1))-AVERAGE(OFFSET($H$3,0,0,'Données projet'!$E$10+1,1))</f>
        <v>377.28543127606366</v>
      </c>
      <c r="AO180" s="62">
        <f t="shared" si="144"/>
        <v>166.97658184507776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-9.9316821433603781E-14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271.30269362742433</v>
      </c>
      <c r="BJ180" s="62">
        <f t="shared" si="146"/>
        <v>296.39988431569537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projet'!$B$9,Paramètres!$A$1:$I$89,3,0)*VLOOKUP('Données projet'!$B$9,Paramètres!$A$1:$I$89,5,0)</f>
        <v>-3.0859155231155454E-13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429.08703331308703</v>
      </c>
      <c r="T181" s="62">
        <f t="shared" si="142"/>
        <v>231.36959598460675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6.1186256061773749E-14</v>
      </c>
      <c r="AK181" s="14">
        <f t="shared" si="164"/>
        <v>9.7328366192051127E-13</v>
      </c>
      <c r="AL181" s="22">
        <f t="shared" si="165"/>
        <v>1.8017017738191463E-12</v>
      </c>
      <c r="AM181" s="62">
        <f t="shared" si="113"/>
        <v>293.33333333333513</v>
      </c>
      <c r="AN181" s="62">
        <f ca="1">AVERAGE(OFFSET($AM$3,0,0,'Données projet'!$E$10+1,1))-AVERAGE(OFFSET($H$3,0,0,'Données projet'!$E$10+1,1))</f>
        <v>377.28543127606366</v>
      </c>
      <c r="AO181" s="62">
        <f t="shared" si="144"/>
        <v>166.97658184507776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-9.9316821433603781E-14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271.30269362742433</v>
      </c>
      <c r="BJ181" s="62">
        <f t="shared" si="146"/>
        <v>296.39988431569537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projet'!$B$9,Paramètres!$A$1:$I$89,3,0)*VLOOKUP('Données projet'!$B$9,Paramètres!$A$1:$I$89,5,0)</f>
        <v>-3.0859155231155454E-13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429.08703331308703</v>
      </c>
      <c r="T182" s="62">
        <f t="shared" si="142"/>
        <v>231.36959598460675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6.1186256061773749E-14</v>
      </c>
      <c r="AK182" s="14">
        <f t="shared" si="164"/>
        <v>9.7328366192051127E-13</v>
      </c>
      <c r="AL182" s="22">
        <f t="shared" si="165"/>
        <v>1.8017017738191463E-12</v>
      </c>
      <c r="AM182" s="62">
        <f t="shared" si="113"/>
        <v>293.33333333333513</v>
      </c>
      <c r="AN182" s="62">
        <f ca="1">AVERAGE(OFFSET($AM$3,0,0,'Données projet'!$E$10+1,1))-AVERAGE(OFFSET($H$3,0,0,'Données projet'!$E$10+1,1))</f>
        <v>377.28543127606366</v>
      </c>
      <c r="AO182" s="62">
        <f t="shared" si="144"/>
        <v>166.97658184507776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-9.9316821433603781E-14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271.30269362742433</v>
      </c>
      <c r="BJ182" s="62">
        <f t="shared" si="146"/>
        <v>296.39988431569537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projet'!$B$9,Paramètres!$A$1:$I$89,3,0)*VLOOKUP('Données projet'!$B$9,Paramètres!$A$1:$I$89,5,0)</f>
        <v>-3.0859155231155454E-13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429.08703331308703</v>
      </c>
      <c r="T183" s="62">
        <f t="shared" si="142"/>
        <v>231.36959598460675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6.1186256061773749E-14</v>
      </c>
      <c r="AK183" s="14">
        <f t="shared" si="164"/>
        <v>9.7328366192051127E-13</v>
      </c>
      <c r="AL183" s="22">
        <f t="shared" si="165"/>
        <v>1.8017017738191463E-12</v>
      </c>
      <c r="AM183" s="62">
        <f t="shared" si="113"/>
        <v>293.33333333333513</v>
      </c>
      <c r="AN183" s="62">
        <f ca="1">AVERAGE(OFFSET($AM$3,0,0,'Données projet'!$E$10+1,1))-AVERAGE(OFFSET($H$3,0,0,'Données projet'!$E$10+1,1))</f>
        <v>377.28543127606366</v>
      </c>
      <c r="AO183" s="62">
        <f t="shared" si="144"/>
        <v>166.97658184507776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-9.9316821433603781E-14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271.30269362742433</v>
      </c>
      <c r="BJ183" s="62">
        <f t="shared" si="146"/>
        <v>296.39988431569537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projet'!$B$9,Paramètres!$A$1:$I$89,3,0)*VLOOKUP('Données projet'!$B$9,Paramètres!$A$1:$I$89,5,0)</f>
        <v>-3.0859155231155454E-13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429.08703331308703</v>
      </c>
      <c r="T184" s="62">
        <f t="shared" si="142"/>
        <v>231.36959598460675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6.1186256061773749E-14</v>
      </c>
      <c r="AK184" s="14">
        <f t="shared" si="164"/>
        <v>9.7328366192051127E-13</v>
      </c>
      <c r="AL184" s="22">
        <f t="shared" si="165"/>
        <v>1.8017017738191463E-12</v>
      </c>
      <c r="AM184" s="62">
        <f t="shared" si="113"/>
        <v>293.33333333333513</v>
      </c>
      <c r="AN184" s="62">
        <f ca="1">AVERAGE(OFFSET($AM$3,0,0,'Données projet'!$E$10+1,1))-AVERAGE(OFFSET($H$3,0,0,'Données projet'!$E$10+1,1))</f>
        <v>377.28543127606366</v>
      </c>
      <c r="AO184" s="62">
        <f t="shared" si="144"/>
        <v>166.97658184507776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-9.9316821433603781E-14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271.30269362742433</v>
      </c>
      <c r="BJ184" s="62">
        <f t="shared" si="146"/>
        <v>296.39988431569537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projet'!$B$9,Paramètres!$A$1:$I$89,3,0)*VLOOKUP('Données projet'!$B$9,Paramètres!$A$1:$I$89,5,0)</f>
        <v>-3.0859155231155454E-13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429.08703331308703</v>
      </c>
      <c r="T185" s="62">
        <f t="shared" si="142"/>
        <v>231.36959598460675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6.1186256061773749E-14</v>
      </c>
      <c r="AK185" s="14">
        <f t="shared" si="164"/>
        <v>9.7328366192051127E-13</v>
      </c>
      <c r="AL185" s="22">
        <f t="shared" si="165"/>
        <v>1.8017017738191463E-12</v>
      </c>
      <c r="AM185" s="62">
        <f t="shared" si="113"/>
        <v>293.33333333333513</v>
      </c>
      <c r="AN185" s="62">
        <f ca="1">AVERAGE(OFFSET($AM$3,0,0,'Données projet'!$E$10+1,1))-AVERAGE(OFFSET($H$3,0,0,'Données projet'!$E$10+1,1))</f>
        <v>377.28543127606366</v>
      </c>
      <c r="AO185" s="62">
        <f t="shared" si="144"/>
        <v>166.97658184507776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-9.9316821433603781E-14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271.30269362742433</v>
      </c>
      <c r="BJ185" s="62">
        <f t="shared" si="146"/>
        <v>296.39988431569537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projet'!$B$9,Paramètres!$A$1:$I$89,3,0)*VLOOKUP('Données projet'!$B$9,Paramètres!$A$1:$I$89,5,0)</f>
        <v>-3.0859155231155454E-13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429.08703331308703</v>
      </c>
      <c r="T186" s="62">
        <f t="shared" si="142"/>
        <v>231.36959598460675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6.1186256061773749E-14</v>
      </c>
      <c r="AK186" s="14">
        <f t="shared" si="164"/>
        <v>9.7328366192051127E-13</v>
      </c>
      <c r="AL186" s="22">
        <f t="shared" si="165"/>
        <v>1.8017017738191463E-12</v>
      </c>
      <c r="AM186" s="62">
        <f t="shared" si="113"/>
        <v>293.33333333333513</v>
      </c>
      <c r="AN186" s="62">
        <f ca="1">AVERAGE(OFFSET($AM$3,0,0,'Données projet'!$E$10+1,1))-AVERAGE(OFFSET($H$3,0,0,'Données projet'!$E$10+1,1))</f>
        <v>377.28543127606366</v>
      </c>
      <c r="AO186" s="62">
        <f t="shared" si="144"/>
        <v>166.97658184507776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-9.9316821433603781E-14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271.30269362742433</v>
      </c>
      <c r="BJ186" s="62">
        <f t="shared" si="146"/>
        <v>296.39988431569537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projet'!$B$9,Paramètres!$A$1:$I$89,3,0)*VLOOKUP('Données projet'!$B$9,Paramètres!$A$1:$I$89,5,0)</f>
        <v>-3.0859155231155454E-13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429.08703331308703</v>
      </c>
      <c r="T187" s="62">
        <f t="shared" si="142"/>
        <v>231.36959598460675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6.1186256061773749E-14</v>
      </c>
      <c r="AK187" s="14">
        <f t="shared" si="164"/>
        <v>9.7328366192051127E-13</v>
      </c>
      <c r="AL187" s="22">
        <f t="shared" si="165"/>
        <v>1.8017017738191463E-12</v>
      </c>
      <c r="AM187" s="62">
        <f t="shared" si="113"/>
        <v>293.33333333333513</v>
      </c>
      <c r="AN187" s="62">
        <f ca="1">AVERAGE(OFFSET($AM$3,0,0,'Données projet'!$E$10+1,1))-AVERAGE(OFFSET($H$3,0,0,'Données projet'!$E$10+1,1))</f>
        <v>377.28543127606366</v>
      </c>
      <c r="AO187" s="62">
        <f t="shared" si="144"/>
        <v>166.97658184507776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-9.9316821433603781E-14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271.30269362742433</v>
      </c>
      <c r="BJ187" s="62">
        <f t="shared" si="146"/>
        <v>296.39988431569537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projet'!$B$9,Paramètres!$A$1:$I$89,3,0)*VLOOKUP('Données projet'!$B$9,Paramètres!$A$1:$I$89,5,0)</f>
        <v>-3.0859155231155454E-13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429.08703331308703</v>
      </c>
      <c r="T188" s="62">
        <f t="shared" si="142"/>
        <v>231.36959598460675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6.1186256061773749E-14</v>
      </c>
      <c r="AK188" s="14">
        <f t="shared" si="164"/>
        <v>9.7328366192051127E-13</v>
      </c>
      <c r="AL188" s="22">
        <f t="shared" si="165"/>
        <v>1.8017017738191463E-12</v>
      </c>
      <c r="AM188" s="62">
        <f t="shared" si="113"/>
        <v>293.33333333333513</v>
      </c>
      <c r="AN188" s="62">
        <f ca="1">AVERAGE(OFFSET($AM$3,0,0,'Données projet'!$E$10+1,1))-AVERAGE(OFFSET($H$3,0,0,'Données projet'!$E$10+1,1))</f>
        <v>377.28543127606366</v>
      </c>
      <c r="AO188" s="62">
        <f t="shared" si="144"/>
        <v>166.97658184507776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-9.9316821433603781E-14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271.30269362742433</v>
      </c>
      <c r="BJ188" s="62">
        <f t="shared" si="146"/>
        <v>296.39988431569537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projet'!$B$9,Paramètres!$A$1:$I$89,3,0)*VLOOKUP('Données projet'!$B$9,Paramètres!$A$1:$I$89,5,0)</f>
        <v>-3.0859155231155454E-13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429.08703331308703</v>
      </c>
      <c r="T189" s="62">
        <f t="shared" si="142"/>
        <v>231.36959598460675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6.1186256061773749E-14</v>
      </c>
      <c r="AK189" s="14">
        <f t="shared" si="164"/>
        <v>9.7328366192051127E-13</v>
      </c>
      <c r="AL189" s="22">
        <f t="shared" si="165"/>
        <v>1.8017017738191463E-12</v>
      </c>
      <c r="AM189" s="62">
        <f t="shared" si="113"/>
        <v>293.33333333333513</v>
      </c>
      <c r="AN189" s="62">
        <f ca="1">AVERAGE(OFFSET($AM$3,0,0,'Données projet'!$E$10+1,1))-AVERAGE(OFFSET($H$3,0,0,'Données projet'!$E$10+1,1))</f>
        <v>377.28543127606366</v>
      </c>
      <c r="AO189" s="62">
        <f t="shared" si="144"/>
        <v>166.97658184507776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-9.9316821433603781E-14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271.30269362742433</v>
      </c>
      <c r="BJ189" s="62">
        <f t="shared" si="146"/>
        <v>296.39988431569537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projet'!$B$9,Paramètres!$A$1:$I$89,3,0)*VLOOKUP('Données projet'!$B$9,Paramètres!$A$1:$I$89,5,0)</f>
        <v>-3.0859155231155454E-13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429.08703331308703</v>
      </c>
      <c r="T190" s="62">
        <f t="shared" si="142"/>
        <v>231.36959598460675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6.1186256061773749E-14</v>
      </c>
      <c r="AK190" s="14">
        <f t="shared" si="164"/>
        <v>9.7328366192051127E-13</v>
      </c>
      <c r="AL190" s="22">
        <f t="shared" si="165"/>
        <v>1.8017017738191463E-12</v>
      </c>
      <c r="AM190" s="62">
        <f t="shared" si="113"/>
        <v>293.33333333333513</v>
      </c>
      <c r="AN190" s="62">
        <f ca="1">AVERAGE(OFFSET($AM$3,0,0,'Données projet'!$E$10+1,1))-AVERAGE(OFFSET($H$3,0,0,'Données projet'!$E$10+1,1))</f>
        <v>377.28543127606366</v>
      </c>
      <c r="AO190" s="62">
        <f t="shared" si="144"/>
        <v>166.97658184507776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-9.9316821433603781E-14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271.30269362742433</v>
      </c>
      <c r="BJ190" s="62">
        <f t="shared" si="146"/>
        <v>296.39988431569537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projet'!$B$9,Paramètres!$A$1:$I$89,3,0)*VLOOKUP('Données projet'!$B$9,Paramètres!$A$1:$I$89,5,0)</f>
        <v>-3.0859155231155454E-13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429.08703331308703</v>
      </c>
      <c r="T191" s="62">
        <f t="shared" si="142"/>
        <v>231.36959598460675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6.1186256061773749E-14</v>
      </c>
      <c r="AK191" s="14">
        <f t="shared" si="164"/>
        <v>9.7328366192051127E-13</v>
      </c>
      <c r="AL191" s="22">
        <f t="shared" si="165"/>
        <v>1.8017017738191463E-12</v>
      </c>
      <c r="AM191" s="62">
        <f t="shared" si="113"/>
        <v>293.33333333333513</v>
      </c>
      <c r="AN191" s="62">
        <f ca="1">AVERAGE(OFFSET($AM$3,0,0,'Données projet'!$E$10+1,1))-AVERAGE(OFFSET($H$3,0,0,'Données projet'!$E$10+1,1))</f>
        <v>377.28543127606366</v>
      </c>
      <c r="AO191" s="62">
        <f t="shared" si="144"/>
        <v>166.97658184507776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-9.9316821433603781E-14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271.30269362742433</v>
      </c>
      <c r="BJ191" s="62">
        <f t="shared" si="146"/>
        <v>296.39988431569537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projet'!$B$9,Paramètres!$A$1:$I$89,3,0)*VLOOKUP('Données projet'!$B$9,Paramètres!$A$1:$I$89,5,0)</f>
        <v>-3.0859155231155454E-13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429.08703331308703</v>
      </c>
      <c r="T192" s="62">
        <f t="shared" si="142"/>
        <v>231.36959598460675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6.1186256061773749E-14</v>
      </c>
      <c r="AK192" s="14">
        <f t="shared" si="164"/>
        <v>9.7328366192051127E-13</v>
      </c>
      <c r="AL192" s="22">
        <f t="shared" si="165"/>
        <v>1.8017017738191463E-12</v>
      </c>
      <c r="AM192" s="62">
        <f t="shared" si="113"/>
        <v>293.33333333333513</v>
      </c>
      <c r="AN192" s="62">
        <f ca="1">AVERAGE(OFFSET($AM$3,0,0,'Données projet'!$E$10+1,1))-AVERAGE(OFFSET($H$3,0,0,'Données projet'!$E$10+1,1))</f>
        <v>377.28543127606366</v>
      </c>
      <c r="AO192" s="62">
        <f t="shared" si="144"/>
        <v>166.97658184507776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-9.9316821433603781E-14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271.30269362742433</v>
      </c>
      <c r="BJ192" s="62">
        <f t="shared" si="146"/>
        <v>296.39988431569537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projet'!$B$9,Paramètres!$A$1:$I$89,3,0)*VLOOKUP('Données projet'!$B$9,Paramètres!$A$1:$I$89,5,0)</f>
        <v>-3.0859155231155454E-13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429.08703331308703</v>
      </c>
      <c r="T193" s="62">
        <f t="shared" si="142"/>
        <v>231.36959598460675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6.1186256061773749E-14</v>
      </c>
      <c r="AK193" s="14">
        <f t="shared" si="164"/>
        <v>9.7328366192051127E-13</v>
      </c>
      <c r="AL193" s="22">
        <f t="shared" si="165"/>
        <v>1.8017017738191463E-12</v>
      </c>
      <c r="AM193" s="62">
        <f t="shared" si="113"/>
        <v>293.33333333333513</v>
      </c>
      <c r="AN193" s="62">
        <f ca="1">AVERAGE(OFFSET($AM$3,0,0,'Données projet'!$E$10+1,1))-AVERAGE(OFFSET($H$3,0,0,'Données projet'!$E$10+1,1))</f>
        <v>377.28543127606366</v>
      </c>
      <c r="AO193" s="62">
        <f t="shared" si="144"/>
        <v>166.97658184507776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-9.9316821433603781E-14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271.30269362742433</v>
      </c>
      <c r="BJ193" s="62">
        <f t="shared" si="146"/>
        <v>296.39988431569537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projet'!$B$9,Paramètres!$A$1:$I$89,3,0)*VLOOKUP('Données projet'!$B$9,Paramètres!$A$1:$I$89,5,0)</f>
        <v>-3.0859155231155454E-13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429.08703331308703</v>
      </c>
      <c r="T194" s="62">
        <f t="shared" si="142"/>
        <v>231.36959598460675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6.1186256061773749E-14</v>
      </c>
      <c r="AK194" s="14">
        <f t="shared" si="164"/>
        <v>9.7328366192051127E-13</v>
      </c>
      <c r="AL194" s="22">
        <f t="shared" si="165"/>
        <v>1.8017017738191463E-12</v>
      </c>
      <c r="AM194" s="62">
        <f t="shared" si="113"/>
        <v>293.33333333333513</v>
      </c>
      <c r="AN194" s="62">
        <f ca="1">AVERAGE(OFFSET($AM$3,0,0,'Données projet'!$E$10+1,1))-AVERAGE(OFFSET($H$3,0,0,'Données projet'!$E$10+1,1))</f>
        <v>377.28543127606366</v>
      </c>
      <c r="AO194" s="62">
        <f t="shared" si="144"/>
        <v>166.97658184507776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-9.9316821433603781E-14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271.30269362742433</v>
      </c>
      <c r="BJ194" s="62">
        <f t="shared" si="146"/>
        <v>296.39988431569537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projet'!$B$9,Paramètres!$A$1:$I$89,3,0)*VLOOKUP('Données projet'!$B$9,Paramètres!$A$1:$I$89,5,0)</f>
        <v>-3.0859155231155454E-13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429.08703331308703</v>
      </c>
      <c r="T195" s="62">
        <f t="shared" si="142"/>
        <v>231.36959598460675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6.1186256061773749E-14</v>
      </c>
      <c r="AK195" s="14">
        <f t="shared" si="164"/>
        <v>9.7328366192051127E-13</v>
      </c>
      <c r="AL195" s="22">
        <f t="shared" si="165"/>
        <v>1.8017017738191463E-12</v>
      </c>
      <c r="AM195" s="62">
        <f t="shared" si="113"/>
        <v>293.33333333333513</v>
      </c>
      <c r="AN195" s="62">
        <f ca="1">AVERAGE(OFFSET($AM$3,0,0,'Données projet'!$E$10+1,1))-AVERAGE(OFFSET($H$3,0,0,'Données projet'!$E$10+1,1))</f>
        <v>377.28543127606366</v>
      </c>
      <c r="AO195" s="62">
        <f t="shared" si="144"/>
        <v>166.97658184507776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-9.9316821433603781E-14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271.30269362742433</v>
      </c>
      <c r="BJ195" s="62">
        <f t="shared" si="146"/>
        <v>296.39988431569537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projet'!$B$9,Paramètres!$A$1:$I$89,3,0)*VLOOKUP('Données projet'!$B$9,Paramètres!$A$1:$I$89,5,0)</f>
        <v>-3.0859155231155454E-13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429.08703331308703</v>
      </c>
      <c r="T196" s="62">
        <f t="shared" si="142"/>
        <v>231.36959598460675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6.1186256061773749E-14</v>
      </c>
      <c r="AK196" s="14">
        <f t="shared" si="164"/>
        <v>9.7328366192051127E-13</v>
      </c>
      <c r="AL196" s="22">
        <f t="shared" si="165"/>
        <v>1.8017017738191463E-12</v>
      </c>
      <c r="AM196" s="62">
        <f t="shared" ref="AM196:AM203" si="193">AL196+(AD196+AE196)*44/12</f>
        <v>293.33333333333513</v>
      </c>
      <c r="AN196" s="62">
        <f ca="1">AVERAGE(OFFSET($AM$3,0,0,'Données projet'!$E$10+1,1))-AVERAGE(OFFSET($H$3,0,0,'Données projet'!$E$10+1,1))</f>
        <v>377.28543127606366</v>
      </c>
      <c r="AO196" s="62">
        <f t="shared" si="144"/>
        <v>166.97658184507776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-9.9316821433603781E-14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271.30269362742433</v>
      </c>
      <c r="BJ196" s="62">
        <f t="shared" si="146"/>
        <v>296.39988431569537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projet'!$B$9,Paramètres!$A$1:$I$89,3,0)*VLOOKUP('Données projet'!$B$9,Paramètres!$A$1:$I$89,5,0)</f>
        <v>-3.0859155231155454E-13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429.08703331308703</v>
      </c>
      <c r="T197" s="62">
        <f t="shared" ref="T197:T203" si="204">$T$3</f>
        <v>231.36959598460675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6.1186256061773749E-14</v>
      </c>
      <c r="AK197" s="14">
        <f t="shared" si="164"/>
        <v>9.7328366192051127E-13</v>
      </c>
      <c r="AL197" s="22">
        <f t="shared" si="165"/>
        <v>1.8017017738191463E-12</v>
      </c>
      <c r="AM197" s="62">
        <f t="shared" si="193"/>
        <v>293.33333333333513</v>
      </c>
      <c r="AN197" s="62">
        <f ca="1">AVERAGE(OFFSET($AM$3,0,0,'Données projet'!$E$10+1,1))-AVERAGE(OFFSET($H$3,0,0,'Données projet'!$E$10+1,1))</f>
        <v>377.28543127606366</v>
      </c>
      <c r="AO197" s="62">
        <f t="shared" ref="AO197:AO203" si="205">$AO$3</f>
        <v>166.97658184507776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-9.9316821433603781E-14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271.30269362742433</v>
      </c>
      <c r="BJ197" s="62">
        <f t="shared" ref="BJ197:BJ203" si="206">$BJ$3</f>
        <v>296.39988431569537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projet'!$B$9,Paramètres!$A$1:$I$89,3,0)*VLOOKUP('Données projet'!$B$9,Paramètres!$A$1:$I$89,5,0)</f>
        <v>-3.0859155231155454E-13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429.08703331308703</v>
      </c>
      <c r="T198" s="62">
        <f t="shared" si="204"/>
        <v>231.36959598460675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6.1186256061773749E-14</v>
      </c>
      <c r="AK198" s="14">
        <f t="shared" si="164"/>
        <v>9.7328366192051127E-13</v>
      </c>
      <c r="AL198" s="22">
        <f t="shared" si="165"/>
        <v>1.8017017738191463E-12</v>
      </c>
      <c r="AM198" s="62">
        <f t="shared" si="193"/>
        <v>293.33333333333513</v>
      </c>
      <c r="AN198" s="62">
        <f ca="1">AVERAGE(OFFSET($AM$3,0,0,'Données projet'!$E$10+1,1))-AVERAGE(OFFSET($H$3,0,0,'Données projet'!$E$10+1,1))</f>
        <v>377.28543127606366</v>
      </c>
      <c r="AO198" s="62">
        <f t="shared" si="205"/>
        <v>166.97658184507776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-9.9316821433603781E-14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271.30269362742433</v>
      </c>
      <c r="BJ198" s="62">
        <f t="shared" si="206"/>
        <v>296.39988431569537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projet'!$B$9,Paramètres!$A$1:$I$89,3,0)*VLOOKUP('Données projet'!$B$9,Paramètres!$A$1:$I$89,5,0)</f>
        <v>-3.0859155231155454E-13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429.08703331308703</v>
      </c>
      <c r="T199" s="62">
        <f t="shared" si="204"/>
        <v>231.36959598460675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6.1186256061773749E-14</v>
      </c>
      <c r="AK199" s="14">
        <f t="shared" si="164"/>
        <v>9.7328366192051127E-13</v>
      </c>
      <c r="AL199" s="22">
        <f t="shared" si="165"/>
        <v>1.8017017738191463E-12</v>
      </c>
      <c r="AM199" s="62">
        <f t="shared" si="193"/>
        <v>293.33333333333513</v>
      </c>
      <c r="AN199" s="62">
        <f ca="1">AVERAGE(OFFSET($AM$3,0,0,'Données projet'!$E$10+1,1))-AVERAGE(OFFSET($H$3,0,0,'Données projet'!$E$10+1,1))</f>
        <v>377.28543127606366</v>
      </c>
      <c r="AO199" s="62">
        <f t="shared" si="205"/>
        <v>166.97658184507776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-9.9316821433603781E-14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271.30269362742433</v>
      </c>
      <c r="BJ199" s="62">
        <f t="shared" si="206"/>
        <v>296.39988431569537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projet'!$B$9,Paramètres!$A$1:$I$89,3,0)*VLOOKUP('Données projet'!$B$9,Paramètres!$A$1:$I$89,5,0)</f>
        <v>-3.0859155231155454E-13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429.08703331308703</v>
      </c>
      <c r="T200" s="62">
        <f t="shared" si="204"/>
        <v>231.36959598460675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6.1186256061773749E-14</v>
      </c>
      <c r="AK200" s="14">
        <f t="shared" si="164"/>
        <v>9.7328366192051127E-13</v>
      </c>
      <c r="AL200" s="22">
        <f t="shared" si="165"/>
        <v>1.8017017738191463E-12</v>
      </c>
      <c r="AM200" s="62">
        <f t="shared" si="193"/>
        <v>293.33333333333513</v>
      </c>
      <c r="AN200" s="62">
        <f ca="1">AVERAGE(OFFSET($AM$3,0,0,'Données projet'!$E$10+1,1))-AVERAGE(OFFSET($H$3,0,0,'Données projet'!$E$10+1,1))</f>
        <v>377.28543127606366</v>
      </c>
      <c r="AO200" s="62">
        <f t="shared" si="205"/>
        <v>166.97658184507776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-9.9316821433603781E-14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271.30269362742433</v>
      </c>
      <c r="BJ200" s="62">
        <f t="shared" si="206"/>
        <v>296.39988431569537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projet'!$B$9,Paramètres!$A$1:$I$89,3,0)*VLOOKUP('Données projet'!$B$9,Paramètres!$A$1:$I$89,5,0)</f>
        <v>-3.0859155231155454E-13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429.08703331308703</v>
      </c>
      <c r="T201" s="62">
        <f t="shared" si="204"/>
        <v>231.36959598460675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6.1186256061773749E-14</v>
      </c>
      <c r="AK201" s="14">
        <f t="shared" si="164"/>
        <v>9.7328366192051127E-13</v>
      </c>
      <c r="AL201" s="22">
        <f t="shared" si="165"/>
        <v>1.8017017738191463E-12</v>
      </c>
      <c r="AM201" s="62">
        <f t="shared" si="193"/>
        <v>293.33333333333513</v>
      </c>
      <c r="AN201" s="62">
        <f ca="1">AVERAGE(OFFSET($AM$3,0,0,'Données projet'!$E$10+1,1))-AVERAGE(OFFSET($H$3,0,0,'Données projet'!$E$10+1,1))</f>
        <v>377.28543127606366</v>
      </c>
      <c r="AO201" s="62">
        <f t="shared" si="205"/>
        <v>166.97658184507776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-9.9316821433603781E-14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271.30269362742433</v>
      </c>
      <c r="BJ201" s="62">
        <f t="shared" si="206"/>
        <v>296.39988431569537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projet'!$B$9,Paramètres!$A$1:$I$89,3,0)*VLOOKUP('Données projet'!$B$9,Paramètres!$A$1:$I$89,5,0)</f>
        <v>-3.0859155231155454E-13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429.08703331308703</v>
      </c>
      <c r="T202" s="62">
        <f t="shared" si="204"/>
        <v>231.36959598460675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6.1186256061773749E-14</v>
      </c>
      <c r="AK202" s="14">
        <f t="shared" si="164"/>
        <v>9.7328366192051127E-13</v>
      </c>
      <c r="AL202" s="22">
        <f t="shared" si="165"/>
        <v>1.8017017738191463E-12</v>
      </c>
      <c r="AM202" s="62">
        <f t="shared" si="193"/>
        <v>293.33333333333513</v>
      </c>
      <c r="AN202" s="62">
        <f ca="1">AVERAGE(OFFSET($AM$3,0,0,'Données projet'!$E$10+1,1))-AVERAGE(OFFSET($H$3,0,0,'Données projet'!$E$10+1,1))</f>
        <v>377.28543127606366</v>
      </c>
      <c r="AO202" s="62">
        <f t="shared" si="205"/>
        <v>166.97658184507776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-9.9316821433603781E-14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271.30269362742433</v>
      </c>
      <c r="BJ202" s="62">
        <f t="shared" si="206"/>
        <v>296.39988431569537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projet'!$B$9,Paramètres!$A$1:$I$89,3,0)*VLOOKUP('Données projet'!$B$9,Paramètres!$A$1:$I$89,5,0)</f>
        <v>-3.0859155231155454E-13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429.08703331308703</v>
      </c>
      <c r="T203" s="62">
        <f t="shared" si="204"/>
        <v>231.36959598460675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6.1186256061773749E-14</v>
      </c>
      <c r="AK203" s="14">
        <f t="shared" si="164"/>
        <v>9.7328366192051127E-13</v>
      </c>
      <c r="AL203" s="22">
        <f t="shared" si="165"/>
        <v>1.8017017738191463E-12</v>
      </c>
      <c r="AM203" s="62">
        <f t="shared" si="193"/>
        <v>293.33333333333513</v>
      </c>
      <c r="AN203" s="62">
        <f ca="1">AVERAGE(OFFSET($AM$3,0,0,'Données projet'!$E$10+1,1))-AVERAGE(OFFSET($H$3,0,0,'Données projet'!$E$10+1,1))</f>
        <v>377.28543127606366</v>
      </c>
      <c r="AO203" s="62">
        <f t="shared" si="205"/>
        <v>166.97658184507776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-9.9316821433603781E-14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271.30269362742433</v>
      </c>
      <c r="BJ203" s="62">
        <f t="shared" si="206"/>
        <v>296.39988431569537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>
        <f>EXP(LN('Données projet'!B88)/'Données projet'!A88)</f>
        <v>1.1577536725165907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J30" sqref="J3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1.56</v>
      </c>
      <c r="C6" s="156">
        <f ca="1">IF(OR('Données projet'!B9="",'Données projet'!C9="",'Données projet'!C9=0%),0,Calculateur!S3)</f>
        <v>429.08703331308703</v>
      </c>
      <c r="D6" s="156">
        <f>IF(OR('Données projet'!B9="",'Données projet'!C9="",'Données projet'!C9=0%),0,Calculateur!T3)</f>
        <v>231.36959598460675</v>
      </c>
      <c r="E6" s="156">
        <f ca="1">MIN(C6,D6)</f>
        <v>231.36959598460675</v>
      </c>
      <c r="F6" s="156">
        <f ca="1">E6*B6</f>
        <v>360.93656973598655</v>
      </c>
      <c r="G6" s="156">
        <f ca="1">F6*(100%-'Données projet'!$C$24)*(100%-'Données projet'!$C$25)*(100%-'Données projet'!$C$26)*(100%-'Données projet'!$C$27)</f>
        <v>308.60076712426849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3.12</v>
      </c>
      <c r="K6" s="160">
        <f>J6*(100%-'Données projet'!$C$24)*(100%-'Données projet'!$C$25)*(100%-'Données projet'!$C$26)*(100%-'Données projet'!$C$27)</f>
        <v>2.6676000000000002</v>
      </c>
      <c r="L6" s="161">
        <f ca="1">G6+I6+K6</f>
        <v>311.26836712426848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Cormier</v>
      </c>
      <c r="B7" s="163">
        <f>'Données projet'!D10</f>
        <v>0.26</v>
      </c>
      <c r="C7" s="156">
        <f ca="1">IF(OR('Données projet'!B10="",'Données projet'!C10="",'Données projet'!C10=0%),0,Calculateur!AN3)</f>
        <v>377.28543127606366</v>
      </c>
      <c r="D7" s="156">
        <f>IF(OR('Données projet'!B10="",'Données projet'!C10="",'Données projet'!C10=0%),0,Calculateur!AO3)</f>
        <v>166.97658184507776</v>
      </c>
      <c r="E7" s="156">
        <f t="shared" ref="E7:E15" ca="1" si="0">MIN(C7,D7)</f>
        <v>166.97658184507776</v>
      </c>
      <c r="F7" s="156">
        <f t="shared" ref="F7:F15" ca="1" si="1">E7*B7</f>
        <v>43.413911279720217</v>
      </c>
      <c r="G7" s="156">
        <f ca="1">F7*(100%-'Données projet'!$C$24)*(100%-'Données projet'!$C$25)*(100%-'Données projet'!$C$26)*(100%-'Données projet'!$C$27)</f>
        <v>37.118894144160784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37.118894144160784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Erable champêtre</v>
      </c>
      <c r="B8" s="163">
        <f>'Données projet'!D11</f>
        <v>0.26</v>
      </c>
      <c r="C8" s="156">
        <f ca="1">IF(OR('Données projet'!B11="",'Données projet'!C11="",'Données projet'!C11=0%),0,Calculateur!BI3)</f>
        <v>271.30269362742433</v>
      </c>
      <c r="D8" s="156">
        <f>IF(OR('Données projet'!B11="",'Données projet'!C11="",'Données projet'!C11=0%),0,Calculateur!BJ3)</f>
        <v>296.39988431569537</v>
      </c>
      <c r="E8" s="156">
        <f t="shared" ca="1" si="0"/>
        <v>271.30269362742433</v>
      </c>
      <c r="F8" s="156">
        <f t="shared" ca="1" si="1"/>
        <v>70.53870034313033</v>
      </c>
      <c r="G8" s="156">
        <f ca="1">F8*(100%-'Données projet'!$C$24)*(100%-'Données projet'!$C$25)*(100%-'Données projet'!$C$26)*(100%-'Données projet'!$C$27)</f>
        <v>60.310588793376432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4.0949999999999998</v>
      </c>
      <c r="K8" s="160">
        <f>J8*(100%-'Données projet'!$C$24)*(100%-'Données projet'!$C$25)*(100%-'Données projet'!$C$26)*(100%-'Données projet'!$C$27)</f>
        <v>3.5012249999999998</v>
      </c>
      <c r="L8" s="161">
        <f t="shared" ca="1" si="2"/>
        <v>63.81181379337643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474.88918135883705</v>
      </c>
      <c r="G16" s="175">
        <f t="shared" ca="1" si="3"/>
        <v>406.0302500618057</v>
      </c>
      <c r="H16" s="176">
        <f t="shared" si="3"/>
        <v>0</v>
      </c>
      <c r="I16" s="176">
        <f t="shared" si="3"/>
        <v>0</v>
      </c>
      <c r="J16" s="177">
        <f t="shared" si="3"/>
        <v>7.2149999999999999</v>
      </c>
      <c r="K16" s="177">
        <f t="shared" si="3"/>
        <v>6.168825</v>
      </c>
      <c r="L16" s="178">
        <f t="shared" ca="1" si="3"/>
        <v>412.19907506180567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Cormier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Erable champêtre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L7" zoomScale="90" zoomScaleNormal="90" workbookViewId="0">
      <selection activeCell="C95" sqref="C9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-1340.2858282070006</v>
      </c>
      <c r="U10" s="190">
        <f>'Données projet'!D9</f>
        <v>1.56</v>
      </c>
      <c r="V10" s="189">
        <f>U10*T10</f>
        <v>-2090.8458920029211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Cormier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-1652.6093952109168</v>
      </c>
      <c r="U11" s="190">
        <f>'Données projet'!D10</f>
        <v>0.26</v>
      </c>
      <c r="V11" s="189">
        <f t="shared" ref="V11" si="0">U11*T11</f>
        <v>-429.67844275483839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Erable champêtre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-1144.6832687726105</v>
      </c>
      <c r="U12" s="190">
        <f>'Données projet'!D11</f>
        <v>0.26</v>
      </c>
      <c r="V12" s="189">
        <f t="shared" ref="V12:V19" si="1">U12*T12</f>
        <v>-297.61764988087873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2000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v>2000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600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-10469.396937993635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8</v>
      </c>
      <c r="C24" s="206">
        <v>10</v>
      </c>
      <c r="D24" s="194">
        <f t="shared" ref="D24:D42" si="2">B24*C24</f>
        <v>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29334.948405891522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500</v>
      </c>
      <c r="Q25" s="265"/>
      <c r="R25" s="25"/>
      <c r="S25" s="198" t="s">
        <v>266</v>
      </c>
      <c r="T25" s="341">
        <f ca="1">T23-T24</f>
        <v>-39804.345343885157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42</v>
      </c>
      <c r="C26" s="206">
        <v>10</v>
      </c>
      <c r="D26" s="194">
        <f t="shared" si="2"/>
        <v>420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42</v>
      </c>
      <c r="C28" s="206">
        <v>10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42</v>
      </c>
      <c r="C30" s="206">
        <v>20</v>
      </c>
      <c r="D30" s="194">
        <f t="shared" si="2"/>
        <v>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11282.672463804431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42</v>
      </c>
      <c r="C32" s="206">
        <v>30</v>
      </c>
      <c r="D32" s="194">
        <f t="shared" si="2"/>
        <v>1260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500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42</v>
      </c>
      <c r="C34" s="206">
        <v>40</v>
      </c>
      <c r="D34" s="194">
        <f t="shared" si="2"/>
        <v>1680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478.46889952153111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85</v>
      </c>
      <c r="B35" s="193">
        <f>'Données projet'!D48</f>
        <v>42</v>
      </c>
      <c r="C35" s="206">
        <v>50</v>
      </c>
      <c r="D35" s="194">
        <f t="shared" si="2"/>
        <v>2100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457.86497561869015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95</v>
      </c>
      <c r="B36" s="193">
        <f>'Données projet'!D49</f>
        <v>42</v>
      </c>
      <c r="C36" s="206">
        <v>70</v>
      </c>
      <c r="D36" s="194">
        <f t="shared" si="2"/>
        <v>2940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438.14830202745469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105</v>
      </c>
      <c r="B37" s="193">
        <f>'Données projet'!D50</f>
        <v>41</v>
      </c>
      <c r="C37" s="206">
        <v>100</v>
      </c>
      <c r="D37" s="194">
        <f t="shared" si="2"/>
        <v>4100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419.28067179660746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115</v>
      </c>
      <c r="B38" s="193">
        <f>'Données projet'!D51</f>
        <v>37</v>
      </c>
      <c r="C38" s="206">
        <v>120</v>
      </c>
      <c r="D38" s="194">
        <f t="shared" si="2"/>
        <v>4440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401.22552325034206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125</v>
      </c>
      <c r="B39" s="193">
        <f>'Données projet'!D52</f>
        <v>33</v>
      </c>
      <c r="C39" s="206">
        <v>120</v>
      </c>
      <c r="D39" s="194">
        <f t="shared" si="2"/>
        <v>3960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383.94786913908342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135</v>
      </c>
      <c r="B40" s="193">
        <f>'Données projet'!D53</f>
        <v>29</v>
      </c>
      <c r="C40" s="206">
        <v>150</v>
      </c>
      <c r="D40" s="194">
        <f t="shared" si="2"/>
        <v>4350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367.41422884122812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145</v>
      </c>
      <c r="B41" s="193">
        <f>'Données projet'!D54</f>
        <v>26</v>
      </c>
      <c r="C41" s="206">
        <v>150</v>
      </c>
      <c r="D41" s="194">
        <f t="shared" si="2"/>
        <v>3900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351.59256348442892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150</v>
      </c>
      <c r="B42" s="193">
        <f>'Données projet'!D55</f>
        <v>292</v>
      </c>
      <c r="C42" s="206">
        <v>200</v>
      </c>
      <c r="D42" s="194">
        <f t="shared" si="2"/>
        <v>58400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336.45221386069755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321.96384101502161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308.09936939236519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Cormier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294.83193243288542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282.13582050993818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269.98643110998876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2000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258.36022115788398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247.23466139510438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236.58819272258791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226.40018442352914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216.65089418519537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207.32142984229228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198.39371276774378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189.85044283994625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35</v>
      </c>
      <c r="B56" s="193">
        <f>'Données projet'!D64</f>
        <v>13</v>
      </c>
      <c r="C56" s="204">
        <v>10</v>
      </c>
      <c r="D56" s="191">
        <f t="shared" si="4"/>
        <v>130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181.67506491860885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40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173.85173676421903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45</v>
      </c>
      <c r="B58" s="193">
        <f>'Données projet'!D66</f>
        <v>27</v>
      </c>
      <c r="C58" s="204">
        <v>10</v>
      </c>
      <c r="D58" s="191">
        <f t="shared" si="4"/>
        <v>270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166.3652983389656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50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159.2012424296322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55</v>
      </c>
      <c r="B60" s="193">
        <f>'Données projet'!D68</f>
        <v>28</v>
      </c>
      <c r="C60" s="204">
        <v>20</v>
      </c>
      <c r="D60" s="191">
        <f t="shared" si="4"/>
        <v>560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152.34568653553319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60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145.78534596701746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65</v>
      </c>
      <c r="B62" s="193">
        <f>'Données projet'!D70</f>
        <v>28</v>
      </c>
      <c r="C62" s="204">
        <v>30</v>
      </c>
      <c r="D62" s="191">
        <f t="shared" si="4"/>
        <v>840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139.50750810240902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70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133.50000775350151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75</v>
      </c>
      <c r="B64" s="193">
        <f>'Données projet'!D72</f>
        <v>28</v>
      </c>
      <c r="C64" s="204">
        <v>40</v>
      </c>
      <c r="D64" s="191">
        <f t="shared" si="4"/>
        <v>1120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127.75120359186744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85</v>
      </c>
      <c r="B65" s="193">
        <f>'Données projet'!D73</f>
        <v>28</v>
      </c>
      <c r="C65" s="204">
        <v>50</v>
      </c>
      <c r="D65" s="191">
        <f t="shared" si="4"/>
        <v>1400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122.24995559030384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95</v>
      </c>
      <c r="B66" s="193">
        <f>'Données projet'!D74</f>
        <v>28</v>
      </c>
      <c r="C66" s="204">
        <v>50</v>
      </c>
      <c r="D66" s="191">
        <f t="shared" si="4"/>
        <v>1400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116.98560343569747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105</v>
      </c>
      <c r="B67" s="193">
        <f>'Données projet'!D75</f>
        <v>28</v>
      </c>
      <c r="C67" s="204">
        <v>50</v>
      </c>
      <c r="D67" s="191">
        <f t="shared" si="4"/>
        <v>1400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111.94794587148084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115</v>
      </c>
      <c r="B68" s="193">
        <f>'Données projet'!D76</f>
        <v>26</v>
      </c>
      <c r="C68" s="204">
        <v>70</v>
      </c>
      <c r="D68" s="191">
        <f t="shared" si="4"/>
        <v>1820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107.12722092964674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125</v>
      </c>
      <c r="B69" s="193">
        <f>'Données projet'!D77</f>
        <v>23</v>
      </c>
      <c r="C69" s="204">
        <v>100</v>
      </c>
      <c r="D69" s="191">
        <f t="shared" si="4"/>
        <v>2300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102.51408701401604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135</v>
      </c>
      <c r="B70" s="193">
        <f>'Données projet'!D78</f>
        <v>19</v>
      </c>
      <c r="C70" s="204">
        <v>120</v>
      </c>
      <c r="D70" s="191">
        <f t="shared" si="4"/>
        <v>2280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98.099604798101481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145</v>
      </c>
      <c r="B71" s="193">
        <f>'Données projet'!D79</f>
        <v>15</v>
      </c>
      <c r="C71" s="204">
        <v>150</v>
      </c>
      <c r="D71" s="191">
        <f t="shared" si="4"/>
        <v>2250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93.875219902489462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150</v>
      </c>
      <c r="B72" s="193">
        <f>'Données projet'!D80</f>
        <v>217</v>
      </c>
      <c r="C72" s="204">
        <v>150</v>
      </c>
      <c r="D72" s="191">
        <f t="shared" si="4"/>
        <v>32550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89.832746318171743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85.964350543705038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82.262536405459372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78.720130531540079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Erable champêtre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75.330268451234531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72.08638129304741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68.98218305554775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/>
      <c r="D79" s="211" t="s">
        <v>132</v>
      </c>
      <c r="E79" s="206">
        <v>2000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66.011658426361507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/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63.169051125704783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/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60.448852751870632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/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57.845792107053235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/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55.354824982826074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52.971124385479499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50.690071182277045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20</v>
      </c>
      <c r="B86" s="193">
        <f>'Données projet'!D89</f>
        <v>21</v>
      </c>
      <c r="C86" s="204">
        <v>10</v>
      </c>
      <c r="D86" s="191">
        <f t="shared" ref="D86:D104" si="6">B86*C86</f>
        <v>210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48.507245150504346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25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46.4184164119659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30</v>
      </c>
      <c r="B88" s="193">
        <f>'Données projet'!D91</f>
        <v>42</v>
      </c>
      <c r="C88" s="204">
        <v>10</v>
      </c>
      <c r="D88" s="191">
        <f t="shared" si="6"/>
        <v>420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44.419537236330996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35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42.506734197445944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40</v>
      </c>
      <c r="B90" s="193">
        <f>'Données projet'!D93</f>
        <v>42</v>
      </c>
      <c r="C90" s="204">
        <v>20</v>
      </c>
      <c r="D90" s="191">
        <f t="shared" si="6"/>
        <v>840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40.676300667412391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45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38.924689633887461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50</v>
      </c>
      <c r="B92" s="193">
        <f>'Données projet'!D95</f>
        <v>31</v>
      </c>
      <c r="C92" s="204">
        <v>30</v>
      </c>
      <c r="D92" s="191">
        <f t="shared" si="6"/>
        <v>930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37.248506826686565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55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35.644504140369925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60</v>
      </c>
      <c r="B94" s="193">
        <f>'Données projet'!D97</f>
        <v>20</v>
      </c>
      <c r="C94" s="204">
        <v>30</v>
      </c>
      <c r="D94" s="191">
        <f t="shared" si="6"/>
        <v>600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34.109573340066909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65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32.640740038341555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70</v>
      </c>
      <c r="B96" s="193">
        <f>'Données projet'!D99</f>
        <v>16</v>
      </c>
      <c r="C96" s="204">
        <v>40</v>
      </c>
      <c r="D96" s="191">
        <f t="shared" si="6"/>
        <v>640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31.235157931427317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75</v>
      </c>
      <c r="B97" s="193">
        <f>'Données projet'!D100</f>
        <v>7</v>
      </c>
      <c r="C97" s="204">
        <v>50</v>
      </c>
      <c r="D97" s="191">
        <f t="shared" si="6"/>
        <v>350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29.890103283662523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80</v>
      </c>
      <c r="B98" s="193">
        <f>'Données projet'!D101</f>
        <v>219</v>
      </c>
      <c r="C98" s="204">
        <v>50</v>
      </c>
      <c r="D98" s="191">
        <f t="shared" si="6"/>
        <v>10950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28.602969649437821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27.371262822428545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26.192596002323963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25.064685169688008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23.985344659988524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22.952482928218689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21.964098495903052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21.018276072634507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20.113182844626323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19.247064923087393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18.418243945538176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17.625113823481509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/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16.866137630125849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/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16.139844622130003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/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15.444827389598087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/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14.779739128802001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/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/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/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/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/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/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/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/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Lucie RUPIL</cp:lastModifiedBy>
  <dcterms:created xsi:type="dcterms:W3CDTF">2021-02-01T08:22:39Z</dcterms:created>
  <dcterms:modified xsi:type="dcterms:W3CDTF">2022-02-11T09:33:52Z</dcterms:modified>
</cp:coreProperties>
</file>