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551eea340582f2a/5-Label Bas Carbone/2023-6 Vacquerie (62) - Hervé Fouconnier/1-Labellisation/Envoi 4/"/>
    </mc:Choice>
  </mc:AlternateContent>
  <xr:revisionPtr revIDLastSave="27" documentId="14_{CF2C36CC-00C0-F54D-B5D2-0678F23C8D00}" xr6:coauthVersionLast="47" xr6:coauthVersionMax="47" xr10:uidLastSave="{B7C8CF3D-7716-DF45-8F5F-B01C33935C9F}"/>
  <bookViews>
    <workbookView xWindow="0" yWindow="0" windowWidth="28800" windowHeight="180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2" i="1" l="1"/>
  <c r="B171" i="1"/>
  <c r="B170" i="1"/>
  <c r="B169" i="1"/>
  <c r="B168" i="1"/>
  <c r="B225" i="1"/>
  <c r="B224" i="1"/>
  <c r="B223" i="1"/>
  <c r="B222" i="1"/>
  <c r="B221" i="1"/>
  <c r="B220" i="1"/>
  <c r="B219" i="1"/>
  <c r="B200" i="1"/>
  <c r="B199" i="1"/>
  <c r="B198" i="1"/>
  <c r="B197" i="1"/>
  <c r="B196" i="1"/>
  <c r="B195" i="1"/>
  <c r="B194" i="1"/>
  <c r="B73" i="1"/>
  <c r="B72" i="1"/>
  <c r="B71" i="1"/>
  <c r="B70" i="1"/>
  <c r="B69" i="1"/>
  <c r="B68" i="1"/>
  <c r="B67" i="1"/>
  <c r="B66" i="1"/>
  <c r="B65" i="1"/>
  <c r="B64" i="1"/>
  <c r="B115" i="1"/>
  <c r="B41" i="1" l="1"/>
  <c r="D41" i="1" s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R4" i="2"/>
  <c r="FQ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FS20" i="2"/>
  <c r="EC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C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FS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HG43" i="2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HG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EC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EW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G85" i="2"/>
  <c r="EC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A105" i="2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B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EC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V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HG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HH140" i="2"/>
  <c r="EB140" i="2"/>
  <c r="FR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A141" i="2"/>
  <c r="EB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A145" i="2"/>
  <c r="EB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EC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HJ154" i="2" s="1"/>
  <c r="HH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HG155" i="2"/>
  <c r="EX155" i="2"/>
  <c r="HH155" i="2"/>
  <c r="ED154" i="2"/>
  <c r="DI154" i="2"/>
  <c r="AC154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G156" i="2" l="1"/>
  <c r="EY155" i="2"/>
  <c r="EX156" i="2"/>
  <c r="HH156" i="2"/>
  <c r="HI156" i="2"/>
  <c r="ED155" i="2"/>
  <c r="FS156" i="2"/>
  <c r="EB156" i="2"/>
  <c r="DH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X157" i="2"/>
  <c r="HH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ED157" i="2"/>
  <c r="EV158" i="2"/>
  <c r="EC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HH159" i="2"/>
  <c r="EC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G160" i="2"/>
  <c r="ED159" i="2"/>
  <c r="HI160" i="2"/>
  <c r="FS160" i="2"/>
  <c r="DG160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HG161" i="2"/>
  <c r="HH161" i="2"/>
  <c r="EX161" i="2"/>
  <c r="EB161" i="2"/>
  <c r="EA161" i="2"/>
  <c r="ED160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W162" i="2"/>
  <c r="EC162" i="2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G163" i="2"/>
  <c r="HH163" i="2"/>
  <c r="EY162" i="2"/>
  <c r="EV163" i="2"/>
  <c r="EB163" i="2"/>
  <c r="EA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G164" i="2" l="1"/>
  <c r="EY163" i="2"/>
  <c r="ED163" i="2"/>
  <c r="FR164" i="2"/>
  <c r="FS164" i="2"/>
  <c r="DH164" i="2"/>
  <c r="HH164" i="2"/>
  <c r="EA164" i="2"/>
  <c r="EX164" i="2"/>
  <c r="EV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FS166" i="2"/>
  <c r="EC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DG167" i="2"/>
  <c r="FR167" i="2"/>
  <c r="EY166" i="2"/>
  <c r="EB167" i="2"/>
  <c r="EA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C168" i="2"/>
  <c r="HH168" i="2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HI172" i="2"/>
  <c r="EY171" i="2"/>
  <c r="HG172" i="2"/>
  <c r="ED171" i="2"/>
  <c r="EW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D172" i="2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HH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HI175" i="2"/>
  <c r="ED174" i="2"/>
  <c r="FS175" i="2"/>
  <c r="EB175" i="2"/>
  <c r="EA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FQ177" i="2"/>
  <c r="FS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HG178" i="2"/>
  <c r="ED177" i="2"/>
  <c r="FS178" i="2"/>
  <c r="EA178" i="2"/>
  <c r="HH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D178" i="2"/>
  <c r="EB179" i="2"/>
  <c r="DF179" i="2"/>
  <c r="HH179" i="2"/>
  <c r="EV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HH185" i="2"/>
  <c r="HI185" i="2"/>
  <c r="EY184" i="2"/>
  <c r="ED184" i="2"/>
  <c r="EA185" i="2"/>
  <c r="EB185" i="2"/>
  <c r="EV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S186" i="2"/>
  <c r="EW186" i="2"/>
  <c r="EB186" i="2"/>
  <c r="EA186" i="2"/>
  <c r="HH186" i="2"/>
  <c r="FR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H187" i="2"/>
  <c r="EC187" i="2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HH189" i="2" l="1"/>
  <c r="AA189" i="2"/>
  <c r="EY188" i="2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Y189" i="2"/>
  <c r="EV190" i="2"/>
  <c r="EW190" i="2"/>
  <c r="HG190" i="2"/>
  <c r="ED189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W191" i="2"/>
  <c r="ED190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Y191" i="2"/>
  <c r="EB192" i="2"/>
  <c r="EV192" i="2"/>
  <c r="HH192" i="2"/>
  <c r="EC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HI193" i="2"/>
  <c r="EY192" i="2"/>
  <c r="ED192" i="2"/>
  <c r="EB193" i="2"/>
  <c r="DI192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FQ194" i="2"/>
  <c r="HG194" i="2"/>
  <c r="ED193" i="2"/>
  <c r="EB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HI195" i="2"/>
  <c r="ED194" i="2"/>
  <c r="EX195" i="2"/>
  <c r="EY194" i="2"/>
  <c r="EA195" i="2"/>
  <c r="EB195" i="2"/>
  <c r="DH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H197" i="2"/>
  <c r="EY196" i="2"/>
  <c r="HG197" i="2"/>
  <c r="EW197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HJ199" i="2" s="1"/>
  <c r="FS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HH201" i="2" l="1"/>
  <c r="ED200" i="2"/>
  <c r="EY200" i="2"/>
  <c r="HG201" i="2"/>
  <c r="DI200" i="2"/>
  <c r="EA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HJ202" i="2" s="1"/>
  <c r="FS202" i="2"/>
  <c r="EY201" i="2"/>
  <c r="EW202" i="2"/>
  <c r="ED201" i="2"/>
  <c r="FZ6" i="2"/>
  <c r="EX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192" i="2" a="1"/>
  <c r="DN192" i="2" s="1"/>
  <c r="DN6" i="2" a="1"/>
  <c r="DN6" i="2" s="1"/>
  <c r="DO6" i="2" s="1"/>
  <c r="AX200" i="2"/>
  <c r="GT191" i="2" l="1" a="1"/>
  <c r="GT191" i="2" s="1"/>
  <c r="DN187" i="2" a="1"/>
  <c r="DN187" i="2" s="1"/>
  <c r="BC31" i="2" a="1"/>
  <c r="BC31" i="2" s="1"/>
  <c r="DN110" i="2" a="1"/>
  <c r="DN110" i="2" s="1"/>
  <c r="EI109" i="2" a="1"/>
  <c r="EI109" i="2" s="1"/>
  <c r="GT138" i="2" a="1"/>
  <c r="GT138" i="2" s="1"/>
  <c r="DN43" i="2" a="1"/>
  <c r="DN43" i="2" s="1"/>
  <c r="CS66" i="2" a="1"/>
  <c r="CS66" i="2" s="1"/>
  <c r="FY86" i="2" a="1"/>
  <c r="FY86" i="2" s="1"/>
  <c r="FY92" i="2" a="1"/>
  <c r="FY92" i="2" s="1"/>
  <c r="AH199" i="2" a="1"/>
  <c r="AH199" i="2" s="1"/>
  <c r="FY104" i="2" a="1"/>
  <c r="FY104" i="2" s="1"/>
  <c r="FY69" i="2" a="1"/>
  <c r="FY69" i="2" s="1"/>
  <c r="FY24" i="2" a="1"/>
  <c r="FY24" i="2" s="1"/>
  <c r="FY18" i="2" a="1"/>
  <c r="FY18" i="2" s="1"/>
  <c r="FY78" i="2" a="1"/>
  <c r="FY78" i="2" s="1"/>
  <c r="FY50" i="2" a="1"/>
  <c r="FY50" i="2" s="1"/>
  <c r="FS203" i="2"/>
  <c r="DN46" i="2" a="1"/>
  <c r="DN46" i="2" s="1"/>
  <c r="BC192" i="2" a="1"/>
  <c r="BC192" i="2" s="1"/>
  <c r="DN177" i="2" a="1"/>
  <c r="DN177" i="2" s="1"/>
  <c r="DN38" i="2" a="1"/>
  <c r="DN38" i="2" s="1"/>
  <c r="DN63" i="2" a="1"/>
  <c r="DN63" i="2" s="1"/>
  <c r="FY142" i="2" a="1"/>
  <c r="FY142" i="2" s="1"/>
  <c r="DN103" i="2" a="1"/>
  <c r="DN103" i="2" s="1"/>
  <c r="DN129" i="2" a="1"/>
  <c r="DN129" i="2" s="1"/>
  <c r="BC117" i="2" a="1"/>
  <c r="BC117" i="2" s="1"/>
  <c r="FY190" i="2" a="1"/>
  <c r="FY190" i="2" s="1"/>
  <c r="FY186" i="2" a="1"/>
  <c r="FY186" i="2" s="1"/>
  <c r="FY35" i="2" a="1"/>
  <c r="FY35" i="2" s="1"/>
  <c r="DN162" i="2" a="1"/>
  <c r="DN162" i="2" s="1"/>
  <c r="DN133" i="2" a="1"/>
  <c r="DN133" i="2" s="1"/>
  <c r="BC151" i="2" a="1"/>
  <c r="BC151" i="2" s="1"/>
  <c r="FY196" i="2" a="1"/>
  <c r="FY196" i="2" s="1"/>
  <c r="AH151" i="2" a="1"/>
  <c r="AH151" i="2" s="1"/>
  <c r="DN184" i="2" a="1"/>
  <c r="DN184" i="2" s="1"/>
  <c r="BC126" i="2" a="1"/>
  <c r="BC126" i="2" s="1"/>
  <c r="FY55" i="2" a="1"/>
  <c r="FY55" i="2" s="1"/>
  <c r="FY191" i="2" a="1"/>
  <c r="FY191" i="2" s="1"/>
  <c r="FY22" i="2" a="1"/>
  <c r="FY22" i="2" s="1"/>
  <c r="GT178" i="2" a="1"/>
  <c r="GT178" i="2" s="1"/>
  <c r="GT12" i="2" a="1"/>
  <c r="GT12" i="2" s="1"/>
  <c r="GT133" i="2" a="1"/>
  <c r="GT133" i="2" s="1"/>
  <c r="DN45" i="2" a="1"/>
  <c r="DN45" i="2" s="1"/>
  <c r="DN65" i="2" a="1"/>
  <c r="DN65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DN168" i="2" a="1"/>
  <c r="DN168" i="2" s="1"/>
  <c r="BC38" i="2" a="1"/>
  <c r="BC38" i="2" s="1"/>
  <c r="BC185" i="2" a="1"/>
  <c r="BC185" i="2" s="1"/>
  <c r="BC32" i="2" a="1"/>
  <c r="BC32" i="2" s="1"/>
  <c r="BC130" i="2" a="1"/>
  <c r="BC130" i="2" s="1"/>
  <c r="DN123" i="2" a="1"/>
  <c r="DN123" i="2" s="1"/>
  <c r="DN188" i="2" a="1"/>
  <c r="DN188" i="2" s="1"/>
  <c r="DN153" i="2" a="1"/>
  <c r="DN153" i="2" s="1"/>
  <c r="DN113" i="2" a="1"/>
  <c r="DN113" i="2" s="1"/>
  <c r="DN29" i="2" a="1"/>
  <c r="DN29" i="2" s="1"/>
  <c r="DN137" i="2" a="1"/>
  <c r="DN137" i="2" s="1"/>
  <c r="BC65" i="2" a="1"/>
  <c r="BC65" i="2" s="1"/>
  <c r="BC58" i="2" a="1"/>
  <c r="BC58" i="2" s="1"/>
  <c r="DN30" i="2" a="1"/>
  <c r="DN30" i="2" s="1"/>
  <c r="DN190" i="2" a="1"/>
  <c r="DN190" i="2" s="1"/>
  <c r="DN55" i="2" a="1"/>
  <c r="DN55" i="2" s="1"/>
  <c r="DN16" i="2" a="1"/>
  <c r="DN16" i="2" s="1"/>
  <c r="DN135" i="2" a="1"/>
  <c r="DN135" i="2" s="1"/>
  <c r="BC83" i="2" a="1"/>
  <c r="BC83" i="2" s="1"/>
  <c r="BC143" i="2" a="1"/>
  <c r="BC143" i="2" s="1"/>
  <c r="BC164" i="2" a="1"/>
  <c r="BC164" i="2" s="1"/>
  <c r="DN114" i="2" a="1"/>
  <c r="DN114" i="2" s="1"/>
  <c r="DN150" i="2" a="1"/>
  <c r="DN150" i="2" s="1"/>
  <c r="DN86" i="2" a="1"/>
  <c r="DN86" i="2" s="1"/>
  <c r="DN170" i="2" a="1"/>
  <c r="DN170" i="2" s="1"/>
  <c r="DN25" i="2" a="1"/>
  <c r="DN25" i="2" s="1"/>
  <c r="DN41" i="2" a="1"/>
  <c r="DN41" i="2" s="1"/>
  <c r="DN124" i="2" a="1"/>
  <c r="DN124" i="2" s="1"/>
  <c r="DN56" i="2" a="1"/>
  <c r="DN56" i="2" s="1"/>
  <c r="BC114" i="2" a="1"/>
  <c r="BC114" i="2" s="1"/>
  <c r="BC34" i="2" a="1"/>
  <c r="BC34" i="2" s="1"/>
  <c r="DN31" i="2" a="1"/>
  <c r="DN31" i="2" s="1"/>
  <c r="DN49" i="2" a="1"/>
  <c r="DN49" i="2" s="1"/>
  <c r="DN80" i="2" a="1"/>
  <c r="DN80" i="2" s="1"/>
  <c r="BC18" i="2" a="1"/>
  <c r="BC18" i="2" s="1"/>
  <c r="BC7" i="2" a="1"/>
  <c r="BC7" i="2" s="1"/>
  <c r="BC84" i="2" a="1"/>
  <c r="BC84" i="2" s="1"/>
  <c r="BC55" i="2" a="1"/>
  <c r="BC55" i="2" s="1"/>
  <c r="DN66" i="2" a="1"/>
  <c r="DN66" i="2" s="1"/>
  <c r="DN115" i="2" a="1"/>
  <c r="DN115" i="2" s="1"/>
  <c r="DN50" i="2" a="1"/>
  <c r="DN50" i="2" s="1"/>
  <c r="DN152" i="2" a="1"/>
  <c r="DN152" i="2" s="1"/>
  <c r="DN186" i="2" a="1"/>
  <c r="DN186" i="2" s="1"/>
  <c r="DN155" i="2" a="1"/>
  <c r="DN155" i="2" s="1"/>
  <c r="BC181" i="2" a="1"/>
  <c r="BC181" i="2" s="1"/>
  <c r="BC68" i="2" a="1"/>
  <c r="BC68" i="2" s="1"/>
  <c r="BC82" i="2" a="1"/>
  <c r="BC82" i="2" s="1"/>
  <c r="BC47" i="2" a="1"/>
  <c r="BC47" i="2" s="1"/>
  <c r="FD19" i="2" a="1"/>
  <c r="FD19" i="2" s="1"/>
  <c r="FD188" i="2" a="1"/>
  <c r="FD188" i="2" s="1"/>
  <c r="FD167" i="2" a="1"/>
  <c r="FD167" i="2" s="1"/>
  <c r="FD189" i="2" a="1"/>
  <c r="FD189" i="2" s="1"/>
  <c r="FD160" i="2" a="1"/>
  <c r="FD160" i="2" s="1"/>
  <c r="FD59" i="2" a="1"/>
  <c r="FD59" i="2" s="1"/>
  <c r="EY202" i="2"/>
  <c r="EI128" i="2" a="1"/>
  <c r="EI128" i="2" s="1"/>
  <c r="EI71" i="2" a="1"/>
  <c r="EI71" i="2" s="1"/>
  <c r="EI145" i="2" a="1"/>
  <c r="EI145" i="2" s="1"/>
  <c r="EI67" i="2" a="1"/>
  <c r="EI67" i="2" s="1"/>
  <c r="EI106" i="2" a="1"/>
  <c r="EI106" i="2" s="1"/>
  <c r="EI37" i="2" a="1"/>
  <c r="EI37" i="2" s="1"/>
  <c r="EI170" i="2" a="1"/>
  <c r="EI170" i="2" s="1"/>
  <c r="EI20" i="2" a="1"/>
  <c r="EI20" i="2" s="1"/>
  <c r="EI57" i="2" a="1"/>
  <c r="EI57" i="2" s="1"/>
  <c r="EI38" i="2" a="1"/>
  <c r="EI38" i="2" s="1"/>
  <c r="EI162" i="2" a="1"/>
  <c r="EI162" i="2" s="1"/>
  <c r="EI153" i="2" a="1"/>
  <c r="EI153" i="2" s="1"/>
  <c r="EI16" i="2" a="1"/>
  <c r="EI16" i="2" s="1"/>
  <c r="EI34" i="2" a="1"/>
  <c r="EI34" i="2" s="1"/>
  <c r="EI36" i="2" a="1"/>
  <c r="EI36" i="2" s="1"/>
  <c r="EI195" i="2" a="1"/>
  <c r="EI195" i="2" s="1"/>
  <c r="EI142" i="2" a="1"/>
  <c r="EI142" i="2" s="1"/>
  <c r="EI150" i="2" a="1"/>
  <c r="EI150" i="2" s="1"/>
  <c r="EI166" i="2" a="1"/>
  <c r="EI166" i="2" s="1"/>
  <c r="EI35" i="2" a="1"/>
  <c r="EI35" i="2" s="1"/>
  <c r="EI139" i="2" a="1"/>
  <c r="EI139" i="2" s="1"/>
  <c r="EI113" i="2" a="1"/>
  <c r="EI113" i="2" s="1"/>
  <c r="EI165" i="2" a="1"/>
  <c r="EI165" i="2" s="1"/>
  <c r="EI87" i="2" a="1"/>
  <c r="EI87" i="2" s="1"/>
  <c r="EI178" i="2" a="1"/>
  <c r="EI178" i="2" s="1"/>
  <c r="EI29" i="2" a="1"/>
  <c r="EI29" i="2" s="1"/>
  <c r="EI198" i="2" a="1"/>
  <c r="EI198" i="2" s="1"/>
  <c r="FD82" i="2" a="1"/>
  <c r="FD82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9" i="2" a="1"/>
  <c r="AH1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CS56" i="2" a="1"/>
  <c r="CS56" i="2" s="1"/>
  <c r="FD194" i="2" a="1"/>
  <c r="FD194" i="2" s="1"/>
  <c r="FD159" i="2" a="1"/>
  <c r="FD159" i="2" s="1"/>
  <c r="FD43" i="2" a="1"/>
  <c r="FD43" i="2" s="1"/>
  <c r="FD48" i="2" a="1"/>
  <c r="FD48" i="2" s="1"/>
  <c r="FY121" i="2" a="1"/>
  <c r="FY121" i="2" s="1"/>
  <c r="FY30" i="2" a="1"/>
  <c r="FY30" i="2" s="1"/>
  <c r="FY182" i="2" a="1"/>
  <c r="FY182" i="2" s="1"/>
  <c r="AH163" i="2" a="1"/>
  <c r="AH163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AH62" i="2" a="1"/>
  <c r="AH62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GT102" i="2" a="1"/>
  <c r="GT102" i="2" s="1"/>
  <c r="GT68" i="2" a="1"/>
  <c r="GT68" i="2" s="1"/>
  <c r="GT107" i="2" a="1"/>
  <c r="GT107" i="2" s="1"/>
  <c r="GT38" i="2" a="1"/>
  <c r="GT38" i="2" s="1"/>
  <c r="GT189" i="2" a="1"/>
  <c r="GT189" i="2" s="1"/>
  <c r="GT147" i="2" a="1"/>
  <c r="GT147" i="2" s="1"/>
  <c r="GT121" i="2" a="1"/>
  <c r="GT121" i="2" s="1"/>
  <c r="GT181" i="2" a="1"/>
  <c r="GT181" i="2" s="1"/>
  <c r="GT174" i="2" a="1"/>
  <c r="GT174" i="2" s="1"/>
  <c r="GT126" i="2" a="1"/>
  <c r="GT126" i="2" s="1"/>
  <c r="GT198" i="2" a="1"/>
  <c r="GT198" i="2" s="1"/>
  <c r="GT152" i="2" a="1"/>
  <c r="GT152" i="2" s="1"/>
  <c r="GT122" i="2" a="1"/>
  <c r="GT122" i="2" s="1"/>
  <c r="GT184" i="2" a="1"/>
  <c r="GT184" i="2" s="1"/>
  <c r="GT15" i="2" a="1"/>
  <c r="GT15" i="2" s="1"/>
  <c r="GT190" i="2" a="1"/>
  <c r="GT190" i="2" s="1"/>
  <c r="GT74" i="2" a="1"/>
  <c r="GT74" i="2" s="1"/>
  <c r="GT21" i="2" a="1"/>
  <c r="GT21" i="2" s="1"/>
  <c r="GT11" i="2" a="1"/>
  <c r="GT11" i="2" s="1"/>
  <c r="GT33" i="2" a="1"/>
  <c r="GT33" i="2" s="1"/>
  <c r="GT51" i="2" a="1"/>
  <c r="GT51" i="2" s="1"/>
  <c r="GT115" i="2" a="1"/>
  <c r="GT115" i="2" s="1"/>
  <c r="AH90" i="2" a="1"/>
  <c r="AH90" i="2" s="1"/>
  <c r="AH166" i="2" a="1"/>
  <c r="AH166" i="2" s="1"/>
  <c r="BX107" i="2" a="1"/>
  <c r="BX107" i="2" s="1"/>
  <c r="CS38" i="2" a="1"/>
  <c r="CS38" i="2" s="1"/>
  <c r="CS116" i="2" a="1"/>
  <c r="CS116" i="2" s="1"/>
  <c r="CS72" i="2" a="1"/>
  <c r="CS72" i="2" s="1"/>
  <c r="CS105" i="2" a="1"/>
  <c r="CS105" i="2" s="1"/>
  <c r="CS77" i="2" a="1"/>
  <c r="CS77" i="2" s="1"/>
  <c r="CS137" i="2" a="1"/>
  <c r="CS137" i="2" s="1"/>
  <c r="CS129" i="2" a="1"/>
  <c r="CS129" i="2" s="1"/>
  <c r="CS185" i="2" a="1"/>
  <c r="CS185" i="2" s="1"/>
  <c r="CS161" i="2" a="1"/>
  <c r="CS161" i="2" s="1"/>
  <c r="CS52" i="2" a="1"/>
  <c r="CS52" i="2" s="1"/>
  <c r="CS134" i="2" a="1"/>
  <c r="CS134" i="2" s="1"/>
  <c r="CS24" i="2" a="1"/>
  <c r="CS24" i="2" s="1"/>
  <c r="CS114" i="2" a="1"/>
  <c r="CS114" i="2" s="1"/>
  <c r="CS120" i="2" a="1"/>
  <c r="CS120" i="2" s="1"/>
  <c r="HG203" i="2"/>
  <c r="FR203" i="2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T203" i="2"/>
  <c r="ED203" i="2"/>
  <c r="EY203" i="2"/>
  <c r="DI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<sst xmlns="http://schemas.openxmlformats.org/spreadsheetml/2006/main" count="1177" uniqueCount="324">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</sst>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21" borderId="1" xfId="0" applyNumberFormat="1" applyFont="1" applyFill="1" applyBorder="1" applyAlignment="1" applyProtection="1">
      <alignment horizontal="center"/>
      <protection locked="0" hidden="1"/>
    </xf>
    <xf numFmtId="9" fontId="9" fillId="21" borderId="6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2.5749292969997861</c:v>
                </c:pt>
                <c:pt idx="2">
                  <c:v>2.9683200938367302</c:v>
                </c:pt>
                <c:pt idx="3">
                  <c:v>3.422028558426168</c:v>
                </c:pt>
                <c:pt idx="4">
                  <c:v>3.9453344281701681</c:v>
                </c:pt>
                <c:pt idx="5">
                  <c:v>4.5489496379150145</c:v>
                </c:pt>
                <c:pt idx="6">
                  <c:v>5.2452400116326094</c:v>
                </c:pt>
                <c:pt idx="7">
                  <c:v>6.0484813635928134</c:v>
                </c:pt>
                <c:pt idx="8">
                  <c:v>6.975155363218362</c:v>
                </c:pt>
                <c:pt idx="9">
                  <c:v>8.0442913528468249</c:v>
                </c:pt>
                <c:pt idx="10">
                  <c:v>9.2778612731593029</c:v>
                </c:pt>
                <c:pt idx="11">
                  <c:v>10.701235967507055</c:v>
                </c:pt>
                <c:pt idx="12">
                  <c:v>12.343712427414003</c:v>
                </c:pt>
                <c:pt idx="13">
                  <c:v>14.239123034502825</c:v>
                </c:pt>
                <c:pt idx="14">
                  <c:v>16.426539580623167</c:v>
                </c:pt>
                <c:pt idx="15">
                  <c:v>18.951086844657393</c:v>
                </c:pt>
                <c:pt idx="16">
                  <c:v>21.864882813691214</c:v>
                </c:pt>
                <c:pt idx="17">
                  <c:v>25.228125306963943</c:v>
                </c:pt>
                <c:pt idx="18">
                  <c:v>29.110347849948678</c:v>
                </c:pt>
                <c:pt idx="19">
                  <c:v>33.591871218656543</c:v>
                </c:pt>
                <c:pt idx="20">
                  <c:v>38.76548120671373</c:v>
                </c:pt>
                <c:pt idx="21">
                  <c:v>44.738367947757183</c:v>
                </c:pt>
                <c:pt idx="22">
                  <c:v>51.634367654867269</c:v>
                </c:pt>
                <c:pt idx="23">
                  <c:v>59.596554034711637</c:v>
                </c:pt>
                <c:pt idx="24">
                  <c:v>68.790234032913318</c:v>
                </c:pt>
                <c:pt idx="25">
                  <c:v>79.406411126373186</c:v>
                </c:pt>
                <c:pt idx="26">
                  <c:v>92.127784973737278</c:v>
                </c:pt>
                <c:pt idx="27">
                  <c:v>104.80519472066622</c:v>
                </c:pt>
                <c:pt idx="28">
                  <c:v>117.44471900781481</c:v>
                </c:pt>
                <c:pt idx="29">
                  <c:v>130.05101606689391</c:v>
                </c:pt>
                <c:pt idx="30">
                  <c:v>142.62776454340624</c:v>
                </c:pt>
                <c:pt idx="31">
                  <c:v>133.48383262853429</c:v>
                </c:pt>
                <c:pt idx="32">
                  <c:v>147.19440041072565</c:v>
                </c:pt>
                <c:pt idx="33">
                  <c:v>160.87445980010816</c:v>
                </c:pt>
                <c:pt idx="34">
                  <c:v>174.52697249791552</c:v>
                </c:pt>
                <c:pt idx="35">
                  <c:v>188.15439824972214</c:v>
                </c:pt>
                <c:pt idx="36">
                  <c:v>162.77222886502182</c:v>
                </c:pt>
                <c:pt idx="37">
                  <c:v>177.17864497610682</c:v>
                </c:pt>
                <c:pt idx="38">
                  <c:v>191.55758507110068</c:v>
                </c:pt>
                <c:pt idx="39">
                  <c:v>205.9114029973158</c:v>
                </c:pt>
                <c:pt idx="40">
                  <c:v>220.24209728386407</c:v>
                </c:pt>
                <c:pt idx="41">
                  <c:v>196.09298269939748</c:v>
                </c:pt>
                <c:pt idx="42">
                  <c:v>211.57091737527435</c:v>
                </c:pt>
                <c:pt idx="43">
                  <c:v>227.0227533017385</c:v>
                </c:pt>
                <c:pt idx="44">
                  <c:v>242.45051729235126</c:v>
                </c:pt>
                <c:pt idx="45">
                  <c:v>257.85595699105767</c:v>
                </c:pt>
                <c:pt idx="46">
                  <c:v>233.79877322752995</c:v>
                </c:pt>
                <c:pt idx="47">
                  <c:v>249.2165355146897</c:v>
                </c:pt>
                <c:pt idx="48">
                  <c:v>264.61266674466128</c:v>
                </c:pt>
                <c:pt idx="49">
                  <c:v>279.98860279382745</c:v>
                </c:pt>
                <c:pt idx="50">
                  <c:v>295.34560890488154</c:v>
                </c:pt>
                <c:pt idx="51">
                  <c:v>271.74053105174613</c:v>
                </c:pt>
                <c:pt idx="52">
                  <c:v>287.48211750444796</c:v>
                </c:pt>
                <c:pt idx="53">
                  <c:v>303.20443066214949</c:v>
                </c:pt>
                <c:pt idx="54">
                  <c:v>318.90861058050911</c:v>
                </c:pt>
                <c:pt idx="55">
                  <c:v>334.59567585759874</c:v>
                </c:pt>
                <c:pt idx="56">
                  <c:v>311.43262404935149</c:v>
                </c:pt>
                <c:pt idx="57">
                  <c:v>327.50120555867016</c:v>
                </c:pt>
                <c:pt idx="58">
                  <c:v>343.55238507891909</c:v>
                </c:pt>
                <c:pt idx="59">
                  <c:v>359.58708999068568</c:v>
                </c:pt>
                <c:pt idx="60">
                  <c:v>375.60615822359955</c:v>
                </c:pt>
                <c:pt idx="61">
                  <c:v>351.75819111537243</c:v>
                </c:pt>
                <c:pt idx="62">
                  <c:v>367.03971658708974</c:v>
                </c:pt>
                <c:pt idx="63">
                  <c:v>382.30735640887286</c:v>
                </c:pt>
                <c:pt idx="64">
                  <c:v>397.56174311317301</c:v>
                </c:pt>
                <c:pt idx="65">
                  <c:v>412.80345673799053</c:v>
                </c:pt>
                <c:pt idx="66">
                  <c:v>388.63392005694851</c:v>
                </c:pt>
                <c:pt idx="67">
                  <c:v>403.51120632532292</c:v>
                </c:pt>
                <c:pt idx="68">
                  <c:v>418.37663353903218</c:v>
                </c:pt>
                <c:pt idx="69">
                  <c:v>433.23068233058694</c:v>
                </c:pt>
                <c:pt idx="70">
                  <c:v>448.07379769140431</c:v>
                </c:pt>
                <c:pt idx="71">
                  <c:v>423.57682142079744</c:v>
                </c:pt>
                <c:pt idx="72">
                  <c:v>438.05587345614805</c:v>
                </c:pt>
                <c:pt idx="73">
                  <c:v>452.5246628164245</c:v>
                </c:pt>
                <c:pt idx="74">
                  <c:v>466.98356378402372</c:v>
                </c:pt>
                <c:pt idx="75">
                  <c:v>481.43292557887889</c:v>
                </c:pt>
                <c:pt idx="76">
                  <c:v>456.23300164242454</c:v>
                </c:pt>
                <c:pt idx="77">
                  <c:v>469.94830210518927</c:v>
                </c:pt>
                <c:pt idx="78">
                  <c:v>483.65507874042174</c:v>
                </c:pt>
                <c:pt idx="79">
                  <c:v>497.35360709544074</c:v>
                </c:pt>
                <c:pt idx="80">
                  <c:v>511.04414630438487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2.1751336196930473</c:v>
                </c:pt>
                <c:pt idx="2">
                  <c:v>2.5072550393220214</c:v>
                </c:pt>
                <c:pt idx="3">
                  <c:v>2.8902723517083007</c:v>
                </c:pt>
                <c:pt idx="4">
                  <c:v>3.3320118057865837</c:v>
                </c:pt>
                <c:pt idx="5">
                  <c:v>3.8415069510438875</c:v>
                </c:pt>
                <c:pt idx="6">
                  <c:v>4.4291854351578364</c:v>
                </c:pt>
                <c:pt idx="7">
                  <c:v>5.1070847833827226</c:v>
                </c:pt>
                <c:pt idx="8">
                  <c:v>5.8891016676337671</c:v>
                </c:pt>
                <c:pt idx="9">
                  <c:v>6.7912798760361239</c:v>
                </c:pt>
                <c:pt idx="10">
                  <c:v>7.8321430063265218</c:v>
                </c:pt>
                <c:pt idx="11">
                  <c:v>9.0330788461103992</c:v>
                </c:pt>
                <c:pt idx="12">
                  <c:v>10.418783489469677</c:v>
                </c:pt>
                <c:pt idx="13">
                  <c:v>12.017774495788307</c:v>
                </c:pt>
                <c:pt idx="14">
                  <c:v>13.862983849525138</c:v>
                </c:pt>
                <c:pt idx="15">
                  <c:v>15.992443159802773</c:v>
                </c:pt>
                <c:pt idx="16">
                  <c:v>18.45007548171429</c:v>
                </c:pt>
                <c:pt idx="17">
                  <c:v>21.286610388386091</c:v>
                </c:pt>
                <c:pt idx="18">
                  <c:v>24.560641521752327</c:v>
                </c:pt>
                <c:pt idx="19">
                  <c:v>28.339848855860193</c:v>
                </c:pt>
                <c:pt idx="20">
                  <c:v>32.702411383165433</c:v>
                </c:pt>
                <c:pt idx="21">
                  <c:v>37.738639955549687</c:v>
                </c:pt>
                <c:pt idx="22">
                  <c:v>43.552864663157798</c:v>
                </c:pt>
                <c:pt idx="23">
                  <c:v>50.265616514504586</c:v>
                </c:pt>
                <c:pt idx="24">
                  <c:v>58.016149405071097</c:v>
                </c:pt>
                <c:pt idx="25">
                  <c:v>66.965355561225593</c:v>
                </c:pt>
                <c:pt idx="26">
                  <c:v>77.688553841510242</c:v>
                </c:pt>
                <c:pt idx="27">
                  <c:v>88.374093456991488</c:v>
                </c:pt>
                <c:pt idx="28">
                  <c:v>99.027181235254019</c:v>
                </c:pt>
                <c:pt idx="29">
                  <c:v>109.65180731336052</c:v>
                </c:pt>
                <c:pt idx="30">
                  <c:v>120.25112273674453</c:v>
                </c:pt>
                <c:pt idx="31">
                  <c:v>112.54492319347283</c:v>
                </c:pt>
                <c:pt idx="32">
                  <c:v>124.09965687243914</c:v>
                </c:pt>
                <c:pt idx="33">
                  <c:v>135.62825774470392</c:v>
                </c:pt>
                <c:pt idx="34">
                  <c:v>147.1332627372804</c:v>
                </c:pt>
                <c:pt idx="35">
                  <c:v>158.61677881319463</c:v>
                </c:pt>
                <c:pt idx="36">
                  <c:v>137.22753427571274</c:v>
                </c:pt>
                <c:pt idx="37">
                  <c:v>149.36779206854069</c:v>
                </c:pt>
                <c:pt idx="38">
                  <c:v>161.48451452071876</c:v>
                </c:pt>
                <c:pt idx="39">
                  <c:v>173.57971788519089</c:v>
                </c:pt>
                <c:pt idx="40">
                  <c:v>185.65511405728049</c:v>
                </c:pt>
                <c:pt idx="41">
                  <c:v>165.30629067977432</c:v>
                </c:pt>
                <c:pt idx="42">
                  <c:v>178.34860130742405</c:v>
                </c:pt>
                <c:pt idx="43">
                  <c:v>191.36855633024655</c:v>
                </c:pt>
                <c:pt idx="44">
                  <c:v>204.36789187139138</c:v>
                </c:pt>
                <c:pt idx="45">
                  <c:v>217.34810492356107</c:v>
                </c:pt>
                <c:pt idx="46">
                  <c:v>197.07802743045988</c:v>
                </c:pt>
                <c:pt idx="47">
                  <c:v>210.0687957361996</c:v>
                </c:pt>
                <c:pt idx="48">
                  <c:v>223.04103536231369</c:v>
                </c:pt>
                <c:pt idx="49">
                  <c:v>235.9959762483862</c:v>
                </c:pt>
                <c:pt idx="50">
                  <c:v>248.93470217300001</c:v>
                </c:pt>
                <c:pt idx="51">
                  <c:v>229.04662648949974</c:v>
                </c:pt>
                <c:pt idx="52">
                  <c:v>242.30951333230908</c:v>
                </c:pt>
                <c:pt idx="53">
                  <c:v>255.55589110183152</c:v>
                </c:pt>
                <c:pt idx="54">
                  <c:v>268.78673634423711</c:v>
                </c:pt>
                <c:pt idx="55">
                  <c:v>282.00292156784479</c:v>
                </c:pt>
                <c:pt idx="56">
                  <c:v>262.48821350667606</c:v>
                </c:pt>
                <c:pt idx="57">
                  <c:v>276.02593500090569</c:v>
                </c:pt>
                <c:pt idx="58">
                  <c:v>289.54875034064099</c:v>
                </c:pt>
                <c:pt idx="59">
                  <c:v>303.05745389934464</c:v>
                </c:pt>
                <c:pt idx="60">
                  <c:v>316.55276342878955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175.21027396812136</c:v>
                </c:pt>
                <c:pt idx="27">
                  <c:v>195.8838145879254</c:v>
                </c:pt>
                <c:pt idx="28">
                  <c:v>216.50666233809886</c:v>
                </c:pt>
                <c:pt idx="29">
                  <c:v>237.08432568129521</c:v>
                </c:pt>
                <c:pt idx="30">
                  <c:v>257.62127772428215</c:v>
                </c:pt>
                <c:pt idx="31">
                  <c:v>228.17257887218292</c:v>
                </c:pt>
                <c:pt idx="32">
                  <c:v>246.67306214732389</c:v>
                </c:pt>
                <c:pt idx="33">
                  <c:v>265.14204459810429</c:v>
                </c:pt>
                <c:pt idx="34">
                  <c:v>283.58202888251463</c:v>
                </c:pt>
                <c:pt idx="35">
                  <c:v>301.99516552771883</c:v>
                </c:pt>
                <c:pt idx="36">
                  <c:v>270.26707351328014</c:v>
                </c:pt>
                <c:pt idx="37">
                  <c:v>286.31154709420952</c:v>
                </c:pt>
                <c:pt idx="38">
                  <c:v>302.33590858145311</c:v>
                </c:pt>
                <c:pt idx="39">
                  <c:v>318.34137394785938</c:v>
                </c:pt>
                <c:pt idx="40">
                  <c:v>334.32902690172904</c:v>
                </c:pt>
                <c:pt idx="41">
                  <c:v>300.63210759978887</c:v>
                </c:pt>
                <c:pt idx="42">
                  <c:v>314.59704855401986</c:v>
                </c:pt>
                <c:pt idx="43">
                  <c:v>328.54825156463448</c:v>
                </c:pt>
                <c:pt idx="44">
                  <c:v>342.48638220302018</c:v>
                </c:pt>
                <c:pt idx="45">
                  <c:v>356.41204743833867</c:v>
                </c:pt>
                <c:pt idx="46">
                  <c:v>330.92884034916193</c:v>
                </c:pt>
                <c:pt idx="47">
                  <c:v>342.82617852900444</c:v>
                </c:pt>
                <c:pt idx="48">
                  <c:v>354.71444390147082</c:v>
                </c:pt>
                <c:pt idx="49">
                  <c:v>366.59398347144844</c:v>
                </c:pt>
                <c:pt idx="50">
                  <c:v>378.46511991321876</c:v>
                </c:pt>
                <c:pt idx="51">
                  <c:v>360.14615329066828</c:v>
                </c:pt>
                <c:pt idx="52">
                  <c:v>370.6650184301746</c:v>
                </c:pt>
                <c:pt idx="53">
                  <c:v>381.17737444442332</c:v>
                </c:pt>
                <c:pt idx="54">
                  <c:v>391.68342621612163</c:v>
                </c:pt>
                <c:pt idx="55">
                  <c:v>402.18336673633206</c:v>
                </c:pt>
                <c:pt idx="56">
                  <c:v>388.97277965128006</c:v>
                </c:pt>
                <c:pt idx="57">
                  <c:v>397.78089798901993</c:v>
                </c:pt>
                <c:pt idx="58">
                  <c:v>406.58479291095324</c:v>
                </c:pt>
                <c:pt idx="59">
                  <c:v>415.38456880992311</c:v>
                </c:pt>
                <c:pt idx="60">
                  <c:v>424.18032529272597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175.21027396812136</c:v>
                </c:pt>
                <c:pt idx="27">
                  <c:v>195.8838145879254</c:v>
                </c:pt>
                <c:pt idx="28">
                  <c:v>216.50666233809886</c:v>
                </c:pt>
                <c:pt idx="29">
                  <c:v>237.08432568129521</c:v>
                </c:pt>
                <c:pt idx="30">
                  <c:v>257.62127772428215</c:v>
                </c:pt>
                <c:pt idx="31">
                  <c:v>228.17257887218292</c:v>
                </c:pt>
                <c:pt idx="32">
                  <c:v>246.67306214732389</c:v>
                </c:pt>
                <c:pt idx="33">
                  <c:v>265.14204459810429</c:v>
                </c:pt>
                <c:pt idx="34">
                  <c:v>283.58202888251463</c:v>
                </c:pt>
                <c:pt idx="35">
                  <c:v>301.99516552771883</c:v>
                </c:pt>
                <c:pt idx="36">
                  <c:v>270.26707351328014</c:v>
                </c:pt>
                <c:pt idx="37">
                  <c:v>286.31154709420952</c:v>
                </c:pt>
                <c:pt idx="38">
                  <c:v>302.33590858145311</c:v>
                </c:pt>
                <c:pt idx="39">
                  <c:v>318.34137394785938</c:v>
                </c:pt>
                <c:pt idx="40">
                  <c:v>334.32902690172904</c:v>
                </c:pt>
                <c:pt idx="41">
                  <c:v>300.63210759978887</c:v>
                </c:pt>
                <c:pt idx="42">
                  <c:v>314.59704855401986</c:v>
                </c:pt>
                <c:pt idx="43">
                  <c:v>328.54825156463448</c:v>
                </c:pt>
                <c:pt idx="44">
                  <c:v>342.48638220302018</c:v>
                </c:pt>
                <c:pt idx="45">
                  <c:v>356.41204743833867</c:v>
                </c:pt>
                <c:pt idx="46">
                  <c:v>330.92884034916193</c:v>
                </c:pt>
                <c:pt idx="47">
                  <c:v>342.82617852900444</c:v>
                </c:pt>
                <c:pt idx="48">
                  <c:v>354.71444390147082</c:v>
                </c:pt>
                <c:pt idx="49">
                  <c:v>366.59398347144844</c:v>
                </c:pt>
                <c:pt idx="50">
                  <c:v>378.46511991321876</c:v>
                </c:pt>
                <c:pt idx="51">
                  <c:v>360.14615329066828</c:v>
                </c:pt>
                <c:pt idx="52">
                  <c:v>370.6650184301746</c:v>
                </c:pt>
                <c:pt idx="53">
                  <c:v>381.17737444442332</c:v>
                </c:pt>
                <c:pt idx="54">
                  <c:v>391.68342621612163</c:v>
                </c:pt>
                <c:pt idx="55">
                  <c:v>402.18336673633206</c:v>
                </c:pt>
                <c:pt idx="56">
                  <c:v>388.97277965128006</c:v>
                </c:pt>
                <c:pt idx="57">
                  <c:v>397.78089798901993</c:v>
                </c:pt>
                <c:pt idx="58">
                  <c:v>406.58479291095324</c:v>
                </c:pt>
                <c:pt idx="59">
                  <c:v>415.38456880992311</c:v>
                </c:pt>
                <c:pt idx="60">
                  <c:v>424.18032529272597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2.5306217639403932</c:v>
                </c:pt>
                <c:pt idx="2">
                  <c:v>2.9172207570325672</c:v>
                </c:pt>
                <c:pt idx="3">
                  <c:v>3.3630927689110268</c:v>
                </c:pt>
                <c:pt idx="4">
                  <c:v>3.8773563467113861</c:v>
                </c:pt>
                <c:pt idx="5">
                  <c:v>4.4705372894252715</c:v>
                </c:pt>
                <c:pt idx="6">
                  <c:v>5.1547864684478117</c:v>
                </c:pt>
                <c:pt idx="7">
                  <c:v>5.9441314553665761</c:v>
                </c:pt>
                <c:pt idx="8">
                  <c:v>6.8547672172727552</c:v>
                </c:pt>
                <c:pt idx="9">
                  <c:v>7.9053919602337386</c:v>
                </c:pt>
                <c:pt idx="10">
                  <c:v>9.117595150129306</c:v>
                </c:pt>
                <c:pt idx="11">
                  <c:v>10.516305836895535</c:v>
                </c:pt>
                <c:pt idx="12">
                  <c:v>12.130310676562779</c:v>
                </c:pt>
                <c:pt idx="13">
                  <c:v>13.992852512182466</c:v>
                </c:pt>
                <c:pt idx="14">
                  <c:v>16.142322070891733</c:v>
                </c:pt>
                <c:pt idx="15">
                  <c:v>18.623057295923864</c:v>
                </c:pt>
                <c:pt idx="16">
                  <c:v>21.486267100938448</c:v>
                </c:pt>
                <c:pt idx="17">
                  <c:v>24.7910989577524</c:v>
                </c:pt>
                <c:pt idx="18">
                  <c:v>28.605872763094592</c:v>
                </c:pt>
                <c:pt idx="19">
                  <c:v>33.009506939823325</c:v>
                </c:pt>
                <c:pt idx="20">
                  <c:v>38.093166787700049</c:v>
                </c:pt>
                <c:pt idx="21">
                  <c:v>43.962169794584405</c:v>
                </c:pt>
                <c:pt idx="22">
                  <c:v>50.738188050641945</c:v>
                </c:pt>
                <c:pt idx="23">
                  <c:v>58.561794191367277</c:v>
                </c:pt>
                <c:pt idx="24">
                  <c:v>67.595404563615133</c:v>
                </c:pt>
                <c:pt idx="25">
                  <c:v>78.026681717112226</c:v>
                </c:pt>
                <c:pt idx="26">
                  <c:v>90.526413145957463</c:v>
                </c:pt>
                <c:pt idx="27">
                  <c:v>102.98287489084596</c:v>
                </c:pt>
                <c:pt idx="28">
                  <c:v>115.40204957981786</c:v>
                </c:pt>
                <c:pt idx="29">
                  <c:v>127.78852186744196</c:v>
                </c:pt>
                <c:pt idx="30">
                  <c:v>140.14591229472146</c:v>
                </c:pt>
                <c:pt idx="31">
                  <c:v>131.16146937116449</c:v>
                </c:pt>
                <c:pt idx="32">
                  <c:v>144.63288785558254</c:v>
                </c:pt>
                <c:pt idx="33">
                  <c:v>158.07427982969338</c:v>
                </c:pt>
                <c:pt idx="34">
                  <c:v>171.48856021442305</c:v>
                </c:pt>
                <c:pt idx="35">
                  <c:v>184.87814990346817</c:v>
                </c:pt>
                <c:pt idx="36">
                  <c:v>159.93893601056996</c:v>
                </c:pt>
                <c:pt idx="37">
                  <c:v>174.09395685591767</c:v>
                </c:pt>
                <c:pt idx="38">
                  <c:v>188.22193567104327</c:v>
                </c:pt>
                <c:pt idx="39">
                  <c:v>202.32518912405283</c:v>
                </c:pt>
                <c:pt idx="40">
                  <c:v>216.40568417713132</c:v>
                </c:pt>
                <c:pt idx="41">
                  <c:v>192.67816640336261</c:v>
                </c:pt>
                <c:pt idx="42">
                  <c:v>207.8858986101408</c:v>
                </c:pt>
                <c:pt idx="43">
                  <c:v>223.06794429933836</c:v>
                </c:pt>
                <c:pt idx="44">
                  <c:v>238.22629827083418</c:v>
                </c:pt>
                <c:pt idx="45">
                  <c:v>253.36268056439769</c:v>
                </c:pt>
                <c:pt idx="46">
                  <c:v>229.72564155690716</c:v>
                </c:pt>
                <c:pt idx="47">
                  <c:v>244.87415180265498</c:v>
                </c:pt>
                <c:pt idx="48">
                  <c:v>260.00137265549091</c:v>
                </c:pt>
                <c:pt idx="49">
                  <c:v>275.10871731201564</c:v>
                </c:pt>
                <c:pt idx="50">
                  <c:v>290.19743103031288</c:v>
                </c:pt>
                <c:pt idx="51">
                  <c:v>267.00472939023291</c:v>
                </c:pt>
                <c:pt idx="52">
                  <c:v>282.47132147894871</c:v>
                </c:pt>
                <c:pt idx="53">
                  <c:v>297.91894469589852</c:v>
                </c:pt>
                <c:pt idx="54">
                  <c:v>313.3487210894703</c:v>
                </c:pt>
                <c:pt idx="55">
                  <c:v>328.76165316889802</c:v>
                </c:pt>
                <c:pt idx="56">
                  <c:v>306.00336824300524</c:v>
                </c:pt>
                <c:pt idx="57">
                  <c:v>321.79116298128594</c:v>
                </c:pt>
                <c:pt idx="58">
                  <c:v>337.56183059630439</c:v>
                </c:pt>
                <c:pt idx="59">
                  <c:v>353.31628382059779</c:v>
                </c:pt>
                <c:pt idx="60">
                  <c:v>369.05534734862982</c:v>
                </c:pt>
                <c:pt idx="61">
                  <c:v>345.62422040265614</c:v>
                </c:pt>
                <c:pt idx="62">
                  <c:v>360.6386457043447</c:v>
                </c:pt>
                <c:pt idx="63">
                  <c:v>375.63940468104903</c:v>
                </c:pt>
                <c:pt idx="64">
                  <c:v>390.62711987431982</c:v>
                </c:pt>
                <c:pt idx="65">
                  <c:v>405.60236216041085</c:v>
                </c:pt>
                <c:pt idx="66">
                  <c:v>381.85537235272426</c:v>
                </c:pt>
                <c:pt idx="67">
                  <c:v>396.47257093559</c:v>
                </c:pt>
                <c:pt idx="68">
                  <c:v>411.07809777850645</c:v>
                </c:pt>
                <c:pt idx="69">
                  <c:v>425.67242592235556</c:v>
                </c:pt>
                <c:pt idx="70">
                  <c:v>440.25599332987878</c:v>
                </c:pt>
                <c:pt idx="71">
                  <c:v>416.1873633611126</c:v>
                </c:pt>
                <c:pt idx="72">
                  <c:v>430.41324534648902</c:v>
                </c:pt>
                <c:pt idx="73">
                  <c:v>444.62902675656369</c:v>
                </c:pt>
                <c:pt idx="74">
                  <c:v>458.83507596191345</c:v>
                </c:pt>
                <c:pt idx="75">
                  <c:v>473.03173666651497</c:v>
                </c:pt>
                <c:pt idx="76">
                  <c:v>448.27251713445963</c:v>
                </c:pt>
                <c:pt idx="77">
                  <c:v>461.7479660523727</c:v>
                </c:pt>
                <c:pt idx="78">
                  <c:v>475.21502577729035</c:v>
                </c:pt>
                <c:pt idx="79">
                  <c:v>488.6739675042395</c:v>
                </c:pt>
                <c:pt idx="80">
                  <c:v>502.125046274314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104.27091205345118</c:v>
                </c:pt>
                <c:pt idx="22">
                  <c:v>116.57037244826073</c:v>
                </c:pt>
                <c:pt idx="23">
                  <c:v>128.83811164782671</c:v>
                </c:pt>
                <c:pt idx="24">
                  <c:v>141.07757949202232</c:v>
                </c:pt>
                <c:pt idx="25">
                  <c:v>153.29157689885756</c:v>
                </c:pt>
                <c:pt idx="26">
                  <c:v>151.18742647916039</c:v>
                </c:pt>
                <c:pt idx="27">
                  <c:v>165.90240656060982</c:v>
                </c:pt>
                <c:pt idx="28">
                  <c:v>180.58657218998459</c:v>
                </c:pt>
                <c:pt idx="29">
                  <c:v>195.24278318241952</c:v>
                </c:pt>
                <c:pt idx="30">
                  <c:v>209.87343438827475</c:v>
                </c:pt>
                <c:pt idx="31">
                  <c:v>182.26293388859062</c:v>
                </c:pt>
                <c:pt idx="32">
                  <c:v>198.58910688128836</c:v>
                </c:pt>
                <c:pt idx="33">
                  <c:v>214.88414831813782</c:v>
                </c:pt>
                <c:pt idx="34">
                  <c:v>231.15075177059677</c:v>
                </c:pt>
                <c:pt idx="35">
                  <c:v>247.39120044621504</c:v>
                </c:pt>
                <c:pt idx="36">
                  <c:v>221.14376696934883</c:v>
                </c:pt>
                <c:pt idx="37">
                  <c:v>238.64946815456815</c:v>
                </c:pt>
                <c:pt idx="38">
                  <c:v>256.1259217726236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264.85390518195555</c:v>
                </c:pt>
                <c:pt idx="42">
                  <c:v>282.29065500591173</c:v>
                </c:pt>
                <c:pt idx="43">
                  <c:v>299.70327852559689</c:v>
                </c:pt>
                <c:pt idx="44">
                  <c:v>317.09337448903148</c:v>
                </c:pt>
                <c:pt idx="45">
                  <c:v>334.46235196533502</c:v>
                </c:pt>
                <c:pt idx="46">
                  <c:v>308.40105034381344</c:v>
                </c:pt>
                <c:pt idx="47">
                  <c:v>325.78042147316609</c:v>
                </c:pt>
                <c:pt idx="48">
                  <c:v>343.13931760637462</c:v>
                </c:pt>
                <c:pt idx="49">
                  <c:v>360.47892004811712</c:v>
                </c:pt>
                <c:pt idx="50">
                  <c:v>377.80028720100813</c:v>
                </c:pt>
                <c:pt idx="51">
                  <c:v>350.98574721103279</c:v>
                </c:pt>
                <c:pt idx="52">
                  <c:v>367.49209034996039</c:v>
                </c:pt>
                <c:pt idx="53">
                  <c:v>383.98225493635573</c:v>
                </c:pt>
                <c:pt idx="54">
                  <c:v>400.45703338613862</c:v>
                </c:pt>
                <c:pt idx="55">
                  <c:v>416.9171476106103</c:v>
                </c:pt>
                <c:pt idx="56">
                  <c:v>389.33820928617291</c:v>
                </c:pt>
                <c:pt idx="57">
                  <c:v>404.9849976044755</c:v>
                </c:pt>
                <c:pt idx="58">
                  <c:v>420.61872100551955</c:v>
                </c:pt>
                <c:pt idx="59">
                  <c:v>436.23993334519014</c:v>
                </c:pt>
                <c:pt idx="60">
                  <c:v>451.84914558797823</c:v>
                </c:pt>
                <c:pt idx="61">
                  <c:v>8.8379730068101964E-13</c:v>
                </c:pt>
                <c:pt idx="62">
                  <c:v>8.8379730068101964E-13</c:v>
                </c:pt>
                <c:pt idx="63">
                  <c:v>8.8379730068101964E-13</c:v>
                </c:pt>
                <c:pt idx="64">
                  <c:v>8.8379730068101964E-13</c:v>
                </c:pt>
                <c:pt idx="65">
                  <c:v>8.8379730068101964E-13</c:v>
                </c:pt>
                <c:pt idx="66">
                  <c:v>8.8379730068101964E-13</c:v>
                </c:pt>
                <c:pt idx="67">
                  <c:v>8.8379730068101964E-13</c:v>
                </c:pt>
                <c:pt idx="68">
                  <c:v>8.8379730068101964E-13</c:v>
                </c:pt>
                <c:pt idx="69">
                  <c:v>8.8379730068101964E-13</c:v>
                </c:pt>
                <c:pt idx="70">
                  <c:v>8.8379730068101964E-13</c:v>
                </c:pt>
                <c:pt idx="71">
                  <c:v>8.8379730068101964E-13</c:v>
                </c:pt>
                <c:pt idx="72">
                  <c:v>8.8379730068101964E-13</c:v>
                </c:pt>
                <c:pt idx="73">
                  <c:v>8.8379730068101964E-13</c:v>
                </c:pt>
                <c:pt idx="74">
                  <c:v>8.8379730068101964E-13</c:v>
                </c:pt>
                <c:pt idx="75">
                  <c:v>8.8379730068101964E-13</c:v>
                </c:pt>
                <c:pt idx="76">
                  <c:v>8.8379730068101964E-13</c:v>
                </c:pt>
                <c:pt idx="77">
                  <c:v>8.8379730068101964E-13</c:v>
                </c:pt>
                <c:pt idx="78">
                  <c:v>8.8379730068101964E-13</c:v>
                </c:pt>
                <c:pt idx="79">
                  <c:v>8.8379730068101964E-13</c:v>
                </c:pt>
                <c:pt idx="80">
                  <c:v>8.8379730068101964E-13</c:v>
                </c:pt>
                <c:pt idx="81">
                  <c:v>8.8379730068101964E-13</c:v>
                </c:pt>
                <c:pt idx="82">
                  <c:v>8.8379730068101964E-13</c:v>
                </c:pt>
                <c:pt idx="83">
                  <c:v>8.8379730068101964E-13</c:v>
                </c:pt>
                <c:pt idx="84">
                  <c:v>8.8379730068101964E-13</c:v>
                </c:pt>
                <c:pt idx="85">
                  <c:v>8.8379730068101964E-13</c:v>
                </c:pt>
                <c:pt idx="86">
                  <c:v>8.8379730068101964E-13</c:v>
                </c:pt>
                <c:pt idx="87">
                  <c:v>8.8379730068101964E-13</c:v>
                </c:pt>
                <c:pt idx="88">
                  <c:v>8.8379730068101964E-13</c:v>
                </c:pt>
                <c:pt idx="89">
                  <c:v>8.8379730068101964E-13</c:v>
                </c:pt>
                <c:pt idx="90">
                  <c:v>8.8379730068101964E-13</c:v>
                </c:pt>
                <c:pt idx="91">
                  <c:v>8.8379730068101964E-13</c:v>
                </c:pt>
                <c:pt idx="92">
                  <c:v>8.8379730068101964E-13</c:v>
                </c:pt>
                <c:pt idx="93">
                  <c:v>8.8379730068101964E-13</c:v>
                </c:pt>
                <c:pt idx="94">
                  <c:v>8.8379730068101964E-13</c:v>
                </c:pt>
                <c:pt idx="95">
                  <c:v>8.8379730068101964E-13</c:v>
                </c:pt>
                <c:pt idx="96">
                  <c:v>8.8379730068101964E-13</c:v>
                </c:pt>
                <c:pt idx="97">
                  <c:v>8.8379730068101964E-13</c:v>
                </c:pt>
                <c:pt idx="98">
                  <c:v>8.8379730068101964E-13</c:v>
                </c:pt>
                <c:pt idx="99">
                  <c:v>8.8379730068101964E-13</c:v>
                </c:pt>
                <c:pt idx="100">
                  <c:v>8.8379730068101964E-13</c:v>
                </c:pt>
                <c:pt idx="101">
                  <c:v>8.8379730068101964E-13</c:v>
                </c:pt>
                <c:pt idx="102">
                  <c:v>8.8379730068101964E-13</c:v>
                </c:pt>
                <c:pt idx="103">
                  <c:v>8.8379730068101964E-13</c:v>
                </c:pt>
                <c:pt idx="104">
                  <c:v>8.8379730068101964E-13</c:v>
                </c:pt>
                <c:pt idx="105">
                  <c:v>8.8379730068101964E-13</c:v>
                </c:pt>
                <c:pt idx="106">
                  <c:v>8.8379730068101964E-13</c:v>
                </c:pt>
                <c:pt idx="107">
                  <c:v>8.8379730068101964E-13</c:v>
                </c:pt>
                <c:pt idx="108">
                  <c:v>8.8379730068101964E-13</c:v>
                </c:pt>
                <c:pt idx="109">
                  <c:v>8.8379730068101964E-13</c:v>
                </c:pt>
                <c:pt idx="110">
                  <c:v>8.8379730068101964E-13</c:v>
                </c:pt>
                <c:pt idx="111">
                  <c:v>8.8379730068101964E-13</c:v>
                </c:pt>
                <c:pt idx="112">
                  <c:v>8.8379730068101964E-13</c:v>
                </c:pt>
                <c:pt idx="113">
                  <c:v>8.8379730068101964E-13</c:v>
                </c:pt>
                <c:pt idx="114">
                  <c:v>8.8379730068101964E-13</c:v>
                </c:pt>
                <c:pt idx="115">
                  <c:v>8.8379730068101964E-13</c:v>
                </c:pt>
                <c:pt idx="116">
                  <c:v>8.8379730068101964E-13</c:v>
                </c:pt>
                <c:pt idx="117">
                  <c:v>8.8379730068101964E-13</c:v>
                </c:pt>
                <c:pt idx="118">
                  <c:v>8.8379730068101964E-13</c:v>
                </c:pt>
                <c:pt idx="119">
                  <c:v>8.8379730068101964E-13</c:v>
                </c:pt>
                <c:pt idx="120">
                  <c:v>8.8379730068101964E-13</c:v>
                </c:pt>
                <c:pt idx="121">
                  <c:v>8.8379730068101964E-13</c:v>
                </c:pt>
                <c:pt idx="122">
                  <c:v>8.8379730068101964E-13</c:v>
                </c:pt>
                <c:pt idx="123">
                  <c:v>8.8379730068101964E-13</c:v>
                </c:pt>
                <c:pt idx="124">
                  <c:v>8.8379730068101964E-13</c:v>
                </c:pt>
                <c:pt idx="125">
                  <c:v>8.8379730068101964E-13</c:v>
                </c:pt>
                <c:pt idx="126">
                  <c:v>8.8379730068101964E-13</c:v>
                </c:pt>
                <c:pt idx="127">
                  <c:v>8.8379730068101964E-13</c:v>
                </c:pt>
                <c:pt idx="128">
                  <c:v>8.8379730068101964E-13</c:v>
                </c:pt>
                <c:pt idx="129">
                  <c:v>8.8379730068101964E-13</c:v>
                </c:pt>
                <c:pt idx="130">
                  <c:v>8.8379730068101964E-13</c:v>
                </c:pt>
                <c:pt idx="131">
                  <c:v>8.8379730068101964E-13</c:v>
                </c:pt>
                <c:pt idx="132">
                  <c:v>8.8379730068101964E-13</c:v>
                </c:pt>
                <c:pt idx="133">
                  <c:v>8.8379730068101964E-13</c:v>
                </c:pt>
                <c:pt idx="134">
                  <c:v>8.8379730068101964E-13</c:v>
                </c:pt>
                <c:pt idx="135">
                  <c:v>8.8379730068101964E-13</c:v>
                </c:pt>
                <c:pt idx="136">
                  <c:v>8.8379730068101964E-13</c:v>
                </c:pt>
                <c:pt idx="137">
                  <c:v>8.8379730068101964E-13</c:v>
                </c:pt>
                <c:pt idx="138">
                  <c:v>8.8379730068101964E-13</c:v>
                </c:pt>
                <c:pt idx="139">
                  <c:v>8.8379730068101964E-13</c:v>
                </c:pt>
                <c:pt idx="140">
                  <c:v>8.8379730068101964E-13</c:v>
                </c:pt>
                <c:pt idx="141">
                  <c:v>8.8379730068101964E-13</c:v>
                </c:pt>
                <c:pt idx="142">
                  <c:v>8.8379730068101964E-13</c:v>
                </c:pt>
                <c:pt idx="143">
                  <c:v>8.8379730068101964E-13</c:v>
                </c:pt>
                <c:pt idx="144">
                  <c:v>8.8379730068101964E-13</c:v>
                </c:pt>
                <c:pt idx="145">
                  <c:v>8.8379730068101964E-13</c:v>
                </c:pt>
                <c:pt idx="146">
                  <c:v>8.8379730068101964E-13</c:v>
                </c:pt>
                <c:pt idx="147">
                  <c:v>8.8379730068101964E-13</c:v>
                </c:pt>
                <c:pt idx="148">
                  <c:v>8.8379730068101964E-13</c:v>
                </c:pt>
                <c:pt idx="149">
                  <c:v>8.8379730068101964E-13</c:v>
                </c:pt>
                <c:pt idx="150">
                  <c:v>8.8379730068101964E-13</c:v>
                </c:pt>
                <c:pt idx="151">
                  <c:v>8.8379730068101964E-13</c:v>
                </c:pt>
                <c:pt idx="152">
                  <c:v>8.8379730068101964E-13</c:v>
                </c:pt>
                <c:pt idx="153">
                  <c:v>8.8379730068101964E-13</c:v>
                </c:pt>
                <c:pt idx="154">
                  <c:v>8.8379730068101964E-13</c:v>
                </c:pt>
                <c:pt idx="155">
                  <c:v>8.8379730068101964E-13</c:v>
                </c:pt>
                <c:pt idx="156">
                  <c:v>8.8379730068101964E-13</c:v>
                </c:pt>
                <c:pt idx="157">
                  <c:v>8.8379730068101964E-13</c:v>
                </c:pt>
                <c:pt idx="158">
                  <c:v>8.8379730068101964E-13</c:v>
                </c:pt>
                <c:pt idx="159">
                  <c:v>8.8379730068101964E-13</c:v>
                </c:pt>
                <c:pt idx="160">
                  <c:v>8.8379730068101964E-13</c:v>
                </c:pt>
                <c:pt idx="161">
                  <c:v>8.8379730068101964E-13</c:v>
                </c:pt>
                <c:pt idx="162">
                  <c:v>8.8379730068101964E-13</c:v>
                </c:pt>
                <c:pt idx="163">
                  <c:v>8.8379730068101964E-13</c:v>
                </c:pt>
                <c:pt idx="164">
                  <c:v>8.8379730068101964E-13</c:v>
                </c:pt>
                <c:pt idx="165">
                  <c:v>8.8379730068101964E-13</c:v>
                </c:pt>
                <c:pt idx="166">
                  <c:v>8.8379730068101964E-13</c:v>
                </c:pt>
                <c:pt idx="167">
                  <c:v>8.8379730068101964E-13</c:v>
                </c:pt>
                <c:pt idx="168">
                  <c:v>8.8379730068101964E-13</c:v>
                </c:pt>
                <c:pt idx="169">
                  <c:v>8.8379730068101964E-13</c:v>
                </c:pt>
                <c:pt idx="170">
                  <c:v>8.8379730068101964E-13</c:v>
                </c:pt>
                <c:pt idx="171">
                  <c:v>8.8379730068101964E-13</c:v>
                </c:pt>
                <c:pt idx="172">
                  <c:v>8.8379730068101964E-13</c:v>
                </c:pt>
                <c:pt idx="173">
                  <c:v>8.8379730068101964E-13</c:v>
                </c:pt>
                <c:pt idx="174">
                  <c:v>8.8379730068101964E-13</c:v>
                </c:pt>
                <c:pt idx="175">
                  <c:v>8.8379730068101964E-13</c:v>
                </c:pt>
                <c:pt idx="176">
                  <c:v>8.8379730068101964E-13</c:v>
                </c:pt>
                <c:pt idx="177">
                  <c:v>8.8379730068101964E-13</c:v>
                </c:pt>
                <c:pt idx="178">
                  <c:v>8.8379730068101964E-13</c:v>
                </c:pt>
                <c:pt idx="179">
                  <c:v>8.8379730068101964E-13</c:v>
                </c:pt>
                <c:pt idx="180">
                  <c:v>8.8379730068101964E-13</c:v>
                </c:pt>
                <c:pt idx="181">
                  <c:v>8.8379730068101964E-13</c:v>
                </c:pt>
                <c:pt idx="182">
                  <c:v>8.8379730068101964E-13</c:v>
                </c:pt>
                <c:pt idx="183">
                  <c:v>8.8379730068101964E-13</c:v>
                </c:pt>
                <c:pt idx="184">
                  <c:v>8.8379730068101964E-13</c:v>
                </c:pt>
                <c:pt idx="185">
                  <c:v>8.8379730068101964E-13</c:v>
                </c:pt>
                <c:pt idx="186">
                  <c:v>8.8379730068101964E-13</c:v>
                </c:pt>
                <c:pt idx="187">
                  <c:v>8.8379730068101964E-13</c:v>
                </c:pt>
                <c:pt idx="188">
                  <c:v>8.8379730068101964E-13</c:v>
                </c:pt>
                <c:pt idx="189">
                  <c:v>8.8379730068101964E-13</c:v>
                </c:pt>
                <c:pt idx="190">
                  <c:v>8.8379730068101964E-13</c:v>
                </c:pt>
                <c:pt idx="191">
                  <c:v>8.8379730068101964E-13</c:v>
                </c:pt>
                <c:pt idx="192">
                  <c:v>8.8379730068101964E-13</c:v>
                </c:pt>
                <c:pt idx="193">
                  <c:v>8.8379730068101964E-13</c:v>
                </c:pt>
                <c:pt idx="194">
                  <c:v>8.8379730068101964E-13</c:v>
                </c:pt>
                <c:pt idx="195">
                  <c:v>8.8379730068101964E-13</c:v>
                </c:pt>
                <c:pt idx="196">
                  <c:v>8.8379730068101964E-13</c:v>
                </c:pt>
                <c:pt idx="197">
                  <c:v>8.8379730068101964E-13</c:v>
                </c:pt>
                <c:pt idx="198">
                  <c:v>8.8379730068101964E-13</c:v>
                </c:pt>
                <c:pt idx="199">
                  <c:v>8.8379730068101964E-13</c:v>
                </c:pt>
                <c:pt idx="200">
                  <c:v>8.8379730068101964E-13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2.1350786004664535</c:v>
                </c:pt>
                <c:pt idx="2">
                  <c:v>2.6921717481430694</c:v>
                </c:pt>
                <c:pt idx="3">
                  <c:v>3.3951979925602132</c:v>
                </c:pt>
                <c:pt idx="4">
                  <c:v>4.2825271299889929</c:v>
                </c:pt>
                <c:pt idx="5">
                  <c:v>5.4026523830368793</c:v>
                </c:pt>
                <c:pt idx="6">
                  <c:v>6.8168699269517186</c:v>
                </c:pt>
                <c:pt idx="7">
                  <c:v>8.6026697455530794</c:v>
                </c:pt>
                <c:pt idx="8">
                  <c:v>10.858027163519033</c:v>
                </c:pt>
                <c:pt idx="9">
                  <c:v>13.706834927621495</c:v>
                </c:pt>
                <c:pt idx="10">
                  <c:v>17.305779747951522</c:v>
                </c:pt>
                <c:pt idx="11">
                  <c:v>21.853048382275563</c:v>
                </c:pt>
                <c:pt idx="12">
                  <c:v>27.599351245605177</c:v>
                </c:pt>
                <c:pt idx="13">
                  <c:v>34.861881979556053</c:v>
                </c:pt>
                <c:pt idx="14">
                  <c:v>44.041996814142045</c:v>
                </c:pt>
                <c:pt idx="15">
                  <c:v>55.647607276796499</c:v>
                </c:pt>
                <c:pt idx="16">
                  <c:v>50.671605091578876</c:v>
                </c:pt>
                <c:pt idx="17">
                  <c:v>67.602585604870953</c:v>
                </c:pt>
                <c:pt idx="18">
                  <c:v>84.42357654371574</c:v>
                </c:pt>
                <c:pt idx="19">
                  <c:v>101.15975656350798</c:v>
                </c:pt>
                <c:pt idx="20">
                  <c:v>117.82719554138386</c:v>
                </c:pt>
                <c:pt idx="21">
                  <c:v>95.685441973812658</c:v>
                </c:pt>
                <c:pt idx="22">
                  <c:v>113.80965748960364</c:v>
                </c:pt>
                <c:pt idx="23">
                  <c:v>131.86304956724535</c:v>
                </c:pt>
                <c:pt idx="24">
                  <c:v>149.85670075971808</c:v>
                </c:pt>
                <c:pt idx="25">
                  <c:v>167.79880331835713</c:v>
                </c:pt>
                <c:pt idx="26">
                  <c:v>145.00665050019273</c:v>
                </c:pt>
                <c:pt idx="27">
                  <c:v>162.10806960101644</c:v>
                </c:pt>
                <c:pt idx="28">
                  <c:v>179.16678741707776</c:v>
                </c:pt>
                <c:pt idx="29">
                  <c:v>196.18744401776067</c:v>
                </c:pt>
                <c:pt idx="30">
                  <c:v>213.17380733743661</c:v>
                </c:pt>
                <c:pt idx="31">
                  <c:v>188.81624062533345</c:v>
                </c:pt>
                <c:pt idx="32">
                  <c:v>204.11847835141131</c:v>
                </c:pt>
                <c:pt idx="33">
                  <c:v>219.39418126734577</c:v>
                </c:pt>
                <c:pt idx="34">
                  <c:v>234.64545749430451</c:v>
                </c:pt>
                <c:pt idx="35">
                  <c:v>249.87411853503872</c:v>
                </c:pt>
                <c:pt idx="36">
                  <c:v>223.63301478908238</c:v>
                </c:pt>
                <c:pt idx="37">
                  <c:v>236.90294203691144</c:v>
                </c:pt>
                <c:pt idx="38">
                  <c:v>250.15592780468816</c:v>
                </c:pt>
                <c:pt idx="39">
                  <c:v>263.39299637064414</c:v>
                </c:pt>
                <c:pt idx="40">
                  <c:v>276.61506059958828</c:v>
                </c:pt>
                <c:pt idx="41">
                  <c:v>248.7468092558544</c:v>
                </c:pt>
                <c:pt idx="42">
                  <c:v>260.29633594452872</c:v>
                </c:pt>
                <c:pt idx="43">
                  <c:v>271.83429043682321</c:v>
                </c:pt>
                <c:pt idx="44">
                  <c:v>283.36123337871362</c:v>
                </c:pt>
                <c:pt idx="45">
                  <c:v>294.87767605242158</c:v>
                </c:pt>
                <c:pt idx="46">
                  <c:v>273.80306989453715</c:v>
                </c:pt>
                <c:pt idx="47">
                  <c:v>283.64224516951555</c:v>
                </c:pt>
                <c:pt idx="48">
                  <c:v>293.47377793906497</c:v>
                </c:pt>
                <c:pt idx="49">
                  <c:v>303.29796050375188</c:v>
                </c:pt>
                <c:pt idx="50">
                  <c:v>313.11506466918667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7" zoomScale="115" zoomScaleNormal="115" workbookViewId="0">
      <selection activeCell="H6" sqref="H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9" t="s">
        <v>291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2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2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2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2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2">
      <c r="B18" s="259" t="s">
        <v>292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2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2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2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2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2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2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2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2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2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2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2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2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2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24" zoomScale="125" zoomScaleNormal="90" workbookViewId="0">
      <selection activeCell="E148" sqref="E148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4" t="s">
        <v>190</v>
      </c>
      <c r="D1" s="264"/>
      <c r="E1" s="26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5" t="s">
        <v>192</v>
      </c>
      <c r="C3" s="266"/>
      <c r="D3" s="266"/>
      <c r="E3" s="266"/>
      <c r="F3" s="267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70" t="s">
        <v>231</v>
      </c>
      <c r="B5" s="270"/>
      <c r="C5" s="24">
        <v>10.0532</v>
      </c>
      <c r="D5" s="271" t="s">
        <v>229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9" t="s">
        <v>226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18</v>
      </c>
      <c r="C9" s="32">
        <v>0.81520000000000004</v>
      </c>
      <c r="D9" s="33">
        <f t="shared" ref="D9:D18" si="0">C9*$C$5</f>
        <v>8.1953686399999999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13</v>
      </c>
      <c r="C10" s="32">
        <v>3.78E-2</v>
      </c>
      <c r="D10" s="33">
        <f t="shared" si="0"/>
        <v>0.38001096000000001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8</v>
      </c>
      <c r="C11" s="32">
        <v>3.78E-2</v>
      </c>
      <c r="D11" s="33">
        <f t="shared" si="0"/>
        <v>0.38001096000000001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22</v>
      </c>
      <c r="C12" s="32">
        <v>2.0199999999999999E-2</v>
      </c>
      <c r="D12" s="33">
        <f t="shared" si="0"/>
        <v>0.20307464</v>
      </c>
      <c r="E12" s="34">
        <v>60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23</v>
      </c>
      <c r="C13" s="32">
        <v>2.07E-2</v>
      </c>
      <c r="D13" s="33">
        <f t="shared" si="0"/>
        <v>0.20810123999999999</v>
      </c>
      <c r="E13" s="34">
        <v>60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25</v>
      </c>
      <c r="C14" s="32">
        <v>2.9000000000000001E-2</v>
      </c>
      <c r="D14" s="33">
        <f t="shared" si="0"/>
        <v>0.29154280000000005</v>
      </c>
      <c r="E14" s="34">
        <v>70</v>
      </c>
      <c r="F14" s="35" t="str">
        <f t="array" ref="F14">IF(E14="","",IF(INDEX(A:A,MAX(IF(ISNUMBER($A$166:$A$185),ROW($A$166:$A$185),"")))&lt;&gt;E14,"Corrigez : révolution incorrecte","OK"))</f>
        <v>Corrigez : révolution incorrecte</v>
      </c>
      <c r="H14" s="220"/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1</v>
      </c>
      <c r="C15" s="32">
        <v>2.07E-2</v>
      </c>
      <c r="D15" s="33">
        <f t="shared" si="0"/>
        <v>0.20810123999999999</v>
      </c>
      <c r="E15" s="34">
        <v>60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98</v>
      </c>
      <c r="C16" s="32">
        <v>1.8599999999999998E-2</v>
      </c>
      <c r="D16" s="33">
        <f t="shared" si="0"/>
        <v>0.18698951999999999</v>
      </c>
      <c r="E16" s="34">
        <v>50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1.0000000000000002</v>
      </c>
      <c r="D19" s="38">
        <f>SUM(D9:D18)</f>
        <v>10.053199999999999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8" t="s">
        <v>232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0.1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9" t="s">
        <v>227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19</v>
      </c>
      <c r="B36" s="60">
        <v>162</v>
      </c>
      <c r="C36" s="60"/>
      <c r="D36" s="60"/>
      <c r="E36" s="51"/>
      <c r="F36" s="51"/>
      <c r="G36" s="51"/>
      <c r="H36" s="51"/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25</v>
      </c>
      <c r="B37" s="60">
        <v>335</v>
      </c>
      <c r="C37" s="60">
        <v>1</v>
      </c>
      <c r="D37" s="60">
        <v>54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f>475-D37</f>
        <v>421</v>
      </c>
      <c r="C38" s="60">
        <v>2</v>
      </c>
      <c r="D38" s="60">
        <v>54</v>
      </c>
      <c r="E38" s="51"/>
      <c r="F38" s="51">
        <v>0.62</v>
      </c>
      <c r="G38" s="51">
        <v>0.375</v>
      </c>
      <c r="H38" s="51"/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60">
        <f>613-D38-D37</f>
        <v>505</v>
      </c>
      <c r="C39" s="60">
        <v>3</v>
      </c>
      <c r="D39" s="60">
        <v>69</v>
      </c>
      <c r="E39" s="51"/>
      <c r="F39" s="51">
        <v>0.67210000000000003</v>
      </c>
      <c r="G39" s="51">
        <v>0.33</v>
      </c>
      <c r="H39" s="51"/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40</v>
      </c>
      <c r="B40" s="60">
        <f>741-D39-D38-D37</f>
        <v>564</v>
      </c>
      <c r="C40" s="60">
        <v>4</v>
      </c>
      <c r="D40" s="60">
        <v>72</v>
      </c>
      <c r="E40" s="51"/>
      <c r="F40" s="51">
        <v>0.375</v>
      </c>
      <c r="G40" s="51">
        <v>0.31</v>
      </c>
      <c r="H40" s="51"/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45</v>
      </c>
      <c r="B41" s="60">
        <f>855-D40-D39-D38-D37</f>
        <v>606</v>
      </c>
      <c r="C41" s="60">
        <v>5</v>
      </c>
      <c r="D41" s="60">
        <f>B41</f>
        <v>606</v>
      </c>
      <c r="E41" s="51">
        <v>0.7</v>
      </c>
      <c r="F41" s="257">
        <v>0.2</v>
      </c>
      <c r="G41" s="258">
        <v>0.1</v>
      </c>
      <c r="H41" s="51"/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25</v>
      </c>
      <c r="B62" s="60">
        <v>40</v>
      </c>
      <c r="C62" s="60"/>
      <c r="D62" s="60"/>
      <c r="E62" s="51"/>
      <c r="F62" s="51"/>
      <c r="G62" s="51"/>
      <c r="H62" s="51">
        <v>1</v>
      </c>
      <c r="I62" s="53">
        <f>IFERROR(B62/A62,"")</f>
        <v>1.6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30</v>
      </c>
      <c r="B63" s="60">
        <v>73</v>
      </c>
      <c r="C63" s="60">
        <v>1</v>
      </c>
      <c r="D63" s="60">
        <v>12</v>
      </c>
      <c r="E63" s="51"/>
      <c r="F63" s="51"/>
      <c r="G63" s="51"/>
      <c r="H63" s="51">
        <v>1</v>
      </c>
      <c r="I63" s="49">
        <f t="shared" ref="I63:I69" si="2">IF(A63&lt;&gt;0,(B63-(B62-D62))/(A63-A62),"")</f>
        <v>6.6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35</v>
      </c>
      <c r="B64" s="60">
        <f>109-D63</f>
        <v>97</v>
      </c>
      <c r="C64" s="60">
        <v>2</v>
      </c>
      <c r="D64" s="60">
        <v>21</v>
      </c>
      <c r="E64" s="51"/>
      <c r="F64" s="51"/>
      <c r="G64" s="51"/>
      <c r="H64" s="51">
        <v>1</v>
      </c>
      <c r="I64" s="49">
        <f t="shared" si="2"/>
        <v>7.2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40</v>
      </c>
      <c r="B65" s="60">
        <f>147-D64-D63</f>
        <v>114</v>
      </c>
      <c r="C65" s="60">
        <v>3</v>
      </c>
      <c r="D65" s="60">
        <v>21</v>
      </c>
      <c r="E65" s="51">
        <v>0.4</v>
      </c>
      <c r="F65" s="51"/>
      <c r="G65" s="51"/>
      <c r="H65" s="51">
        <v>0.6</v>
      </c>
      <c r="I65" s="49">
        <f t="shared" si="2"/>
        <v>7.6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45</v>
      </c>
      <c r="B66" s="60">
        <f>188-D65-D64-D63</f>
        <v>134</v>
      </c>
      <c r="C66" s="60">
        <v>4</v>
      </c>
      <c r="D66" s="60">
        <v>21</v>
      </c>
      <c r="E66" s="51">
        <v>0.4</v>
      </c>
      <c r="F66" s="51"/>
      <c r="G66" s="51"/>
      <c r="H66" s="51">
        <v>0.6</v>
      </c>
      <c r="I66" s="49">
        <f t="shared" si="2"/>
        <v>8.1999999999999993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50</v>
      </c>
      <c r="B67" s="60">
        <f>229-D66-D65-D64-D63</f>
        <v>154</v>
      </c>
      <c r="C67" s="60">
        <v>5</v>
      </c>
      <c r="D67" s="60">
        <v>21</v>
      </c>
      <c r="E67" s="51">
        <v>0.5</v>
      </c>
      <c r="F67" s="51"/>
      <c r="G67" s="51"/>
      <c r="H67" s="51">
        <v>0.5</v>
      </c>
      <c r="I67" s="49">
        <f t="shared" si="2"/>
        <v>8.1999999999999993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55</v>
      </c>
      <c r="B68" s="60">
        <f>271-D67-D65-D66-D64-D63</f>
        <v>175</v>
      </c>
      <c r="C68" s="60">
        <v>6</v>
      </c>
      <c r="D68" s="60">
        <v>21</v>
      </c>
      <c r="E68" s="51">
        <v>0.5</v>
      </c>
      <c r="F68" s="51"/>
      <c r="G68" s="51"/>
      <c r="H68" s="51">
        <v>0.5</v>
      </c>
      <c r="I68" s="49">
        <f t="shared" si="2"/>
        <v>8.4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60</v>
      </c>
      <c r="B69" s="50">
        <f>314-D68-D67-D66-D65-D64-D63</f>
        <v>197</v>
      </c>
      <c r="C69" s="60">
        <v>7</v>
      </c>
      <c r="D69" s="50">
        <v>21</v>
      </c>
      <c r="E69" s="51">
        <v>0.6</v>
      </c>
      <c r="F69" s="51"/>
      <c r="G69" s="51"/>
      <c r="H69" s="51">
        <v>0.4</v>
      </c>
      <c r="I69" s="49">
        <f t="shared" si="2"/>
        <v>8.6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65</v>
      </c>
      <c r="B70" s="50">
        <f>355-D69-D68-D67-D66-D65-D64-D63</f>
        <v>217</v>
      </c>
      <c r="C70" s="60">
        <v>8</v>
      </c>
      <c r="D70" s="50">
        <v>21</v>
      </c>
      <c r="E70" s="51">
        <v>0.6</v>
      </c>
      <c r="F70" s="51"/>
      <c r="G70" s="51"/>
      <c r="H70" s="51">
        <v>0.4</v>
      </c>
      <c r="I70" s="49">
        <f t="shared" ref="I70:I81" si="3">IF(A70&lt;&gt;0,(B70-(B69-D69))/(A70-A69),"")</f>
        <v>8.1999999999999993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70</v>
      </c>
      <c r="B71" s="50">
        <f>395-D70-D69-D68-D67-D66-D65-D64-D63</f>
        <v>236</v>
      </c>
      <c r="C71" s="60">
        <v>9</v>
      </c>
      <c r="D71" s="50">
        <v>21</v>
      </c>
      <c r="E71" s="51">
        <v>0.7</v>
      </c>
      <c r="F71" s="51"/>
      <c r="G71" s="51"/>
      <c r="H71" s="51">
        <v>0.3</v>
      </c>
      <c r="I71" s="49">
        <f t="shared" si="3"/>
        <v>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75</v>
      </c>
      <c r="B72" s="50">
        <f>434-D71-D70-D69-D68-D67-D66-D65-D64-D63</f>
        <v>254</v>
      </c>
      <c r="C72" s="60">
        <v>10</v>
      </c>
      <c r="D72" s="50">
        <v>21</v>
      </c>
      <c r="E72" s="51">
        <v>0.7</v>
      </c>
      <c r="F72" s="51"/>
      <c r="G72" s="51"/>
      <c r="H72" s="51">
        <v>0.3</v>
      </c>
      <c r="I72" s="49">
        <f t="shared" si="3"/>
        <v>7.8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80</v>
      </c>
      <c r="B73" s="50">
        <f>471-D72-D71-D70-D69-D68-D67-D66-D65-D63-D64</f>
        <v>270</v>
      </c>
      <c r="C73" s="60">
        <v>11</v>
      </c>
      <c r="D73" s="50">
        <v>270</v>
      </c>
      <c r="E73" s="51">
        <v>0.8</v>
      </c>
      <c r="F73" s="51"/>
      <c r="G73" s="51"/>
      <c r="H73" s="51">
        <v>0.2</v>
      </c>
      <c r="I73" s="49">
        <f t="shared" si="3"/>
        <v>7.4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Châtaignier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5">
        <v>25</v>
      </c>
      <c r="B88" s="55">
        <v>40</v>
      </c>
      <c r="C88" s="55"/>
      <c r="D88" s="55"/>
      <c r="E88" s="63"/>
      <c r="F88" s="63"/>
      <c r="G88" s="63"/>
      <c r="H88" s="63">
        <v>1</v>
      </c>
      <c r="I88" s="53">
        <f>IFERROR(B88/A88,"")</f>
        <v>1.6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5">
        <v>30</v>
      </c>
      <c r="B89" s="55">
        <v>73</v>
      </c>
      <c r="C89" s="55">
        <v>1</v>
      </c>
      <c r="D89" s="55">
        <v>12</v>
      </c>
      <c r="E89" s="63"/>
      <c r="F89" s="63"/>
      <c r="G89" s="63"/>
      <c r="H89" s="63">
        <v>1</v>
      </c>
      <c r="I89" s="53">
        <f t="shared" ref="I89:I107" si="4">IF(A89&lt;&gt;0,(B89-(B88-D88))/(A89-A88),"")</f>
        <v>6.6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5">
        <v>35</v>
      </c>
      <c r="B90" s="55">
        <v>97</v>
      </c>
      <c r="C90" s="55">
        <v>2</v>
      </c>
      <c r="D90" s="55">
        <v>21</v>
      </c>
      <c r="E90" s="63"/>
      <c r="F90" s="63"/>
      <c r="G90" s="63"/>
      <c r="H90" s="63">
        <v>1</v>
      </c>
      <c r="I90" s="53">
        <f t="shared" si="4"/>
        <v>7.2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5">
        <v>40</v>
      </c>
      <c r="B91" s="55">
        <v>114</v>
      </c>
      <c r="C91" s="55">
        <v>3</v>
      </c>
      <c r="D91" s="55">
        <v>21</v>
      </c>
      <c r="E91" s="63">
        <v>0.6</v>
      </c>
      <c r="F91" s="63"/>
      <c r="G91" s="63"/>
      <c r="H91" s="63">
        <v>0.4</v>
      </c>
      <c r="I91" s="53">
        <f t="shared" si="4"/>
        <v>7.6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5">
        <v>45</v>
      </c>
      <c r="B92" s="55">
        <v>134</v>
      </c>
      <c r="C92" s="55">
        <v>4</v>
      </c>
      <c r="D92" s="55">
        <v>21</v>
      </c>
      <c r="E92" s="63">
        <v>0.8</v>
      </c>
      <c r="F92" s="63"/>
      <c r="G92" s="63"/>
      <c r="H92" s="63">
        <v>0.2</v>
      </c>
      <c r="I92" s="53">
        <f t="shared" si="4"/>
        <v>8.1999999999999993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5">
        <v>50</v>
      </c>
      <c r="B93" s="55">
        <v>154</v>
      </c>
      <c r="C93" s="55">
        <v>5</v>
      </c>
      <c r="D93" s="55">
        <v>21</v>
      </c>
      <c r="E93" s="63">
        <v>0.8</v>
      </c>
      <c r="F93" s="63"/>
      <c r="G93" s="63"/>
      <c r="H93" s="63">
        <v>0.2</v>
      </c>
      <c r="I93" s="53">
        <f t="shared" si="4"/>
        <v>8.1999999999999993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5">
        <v>55</v>
      </c>
      <c r="B94" s="55">
        <v>175</v>
      </c>
      <c r="C94" s="55">
        <v>6</v>
      </c>
      <c r="D94" s="55">
        <v>21</v>
      </c>
      <c r="E94" s="63">
        <v>0.8</v>
      </c>
      <c r="F94" s="63"/>
      <c r="G94" s="63"/>
      <c r="H94" s="63">
        <v>0.2</v>
      </c>
      <c r="I94" s="53">
        <f t="shared" si="4"/>
        <v>8.4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55">
        <v>60</v>
      </c>
      <c r="B95" s="55">
        <v>197</v>
      </c>
      <c r="C95" s="55">
        <v>7</v>
      </c>
      <c r="D95" s="55">
        <v>197</v>
      </c>
      <c r="E95" s="63">
        <v>0.8</v>
      </c>
      <c r="F95" s="63"/>
      <c r="G95" s="63"/>
      <c r="H95" s="63">
        <v>0.2</v>
      </c>
      <c r="I95" s="53">
        <f t="shared" si="4"/>
        <v>8.6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Erable plane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15</v>
      </c>
      <c r="B114" s="60">
        <v>37</v>
      </c>
      <c r="C114" s="55">
        <v>1</v>
      </c>
      <c r="D114" s="55">
        <v>15</v>
      </c>
      <c r="E114" s="51"/>
      <c r="F114" s="51"/>
      <c r="G114" s="51"/>
      <c r="H114" s="51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20</v>
      </c>
      <c r="B115" s="60">
        <f>95-D114</f>
        <v>80</v>
      </c>
      <c r="C115" s="55">
        <v>2</v>
      </c>
      <c r="D115" s="55">
        <v>28</v>
      </c>
      <c r="E115" s="51"/>
      <c r="F115" s="51"/>
      <c r="G115" s="51"/>
      <c r="H115" s="51">
        <v>1</v>
      </c>
      <c r="I115" s="53">
        <f t="shared" ref="I115:I133" si="5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25</v>
      </c>
      <c r="B116" s="55">
        <v>115</v>
      </c>
      <c r="C116" s="55">
        <v>3</v>
      </c>
      <c r="D116" s="55">
        <v>28</v>
      </c>
      <c r="E116" s="51"/>
      <c r="F116" s="51"/>
      <c r="G116" s="51"/>
      <c r="H116" s="51">
        <v>1</v>
      </c>
      <c r="I116" s="53">
        <f t="shared" si="5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30</v>
      </c>
      <c r="B117" s="55">
        <v>147</v>
      </c>
      <c r="C117" s="55">
        <v>4</v>
      </c>
      <c r="D117" s="55">
        <v>28</v>
      </c>
      <c r="E117" s="51"/>
      <c r="F117" s="51"/>
      <c r="G117" s="51"/>
      <c r="H117" s="51">
        <v>1</v>
      </c>
      <c r="I117" s="53">
        <f t="shared" si="5"/>
        <v>12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35</v>
      </c>
      <c r="B118" s="55">
        <v>173</v>
      </c>
      <c r="C118" s="55">
        <v>5</v>
      </c>
      <c r="D118" s="55">
        <v>28</v>
      </c>
      <c r="E118" s="51">
        <v>0.6</v>
      </c>
      <c r="F118" s="51"/>
      <c r="G118" s="51"/>
      <c r="H118" s="51">
        <v>0.4</v>
      </c>
      <c r="I118" s="53">
        <f t="shared" si="5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40</v>
      </c>
      <c r="B119" s="55">
        <v>192</v>
      </c>
      <c r="C119" s="55">
        <v>6</v>
      </c>
      <c r="D119" s="55">
        <v>28</v>
      </c>
      <c r="E119" s="63">
        <v>0.8</v>
      </c>
      <c r="F119" s="63"/>
      <c r="G119" s="63"/>
      <c r="H119" s="63">
        <v>0.2</v>
      </c>
      <c r="I119" s="53">
        <f t="shared" si="5"/>
        <v>9.4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50">
        <v>45</v>
      </c>
      <c r="B120" s="55">
        <v>205</v>
      </c>
      <c r="C120" s="55">
        <v>7</v>
      </c>
      <c r="D120" s="55">
        <v>22</v>
      </c>
      <c r="E120" s="63">
        <v>0.8</v>
      </c>
      <c r="F120" s="63"/>
      <c r="G120" s="63"/>
      <c r="H120" s="63">
        <v>0.2</v>
      </c>
      <c r="I120" s="53">
        <f t="shared" si="5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50">
        <v>50</v>
      </c>
      <c r="B121" s="55">
        <v>218</v>
      </c>
      <c r="C121" s="55">
        <v>8</v>
      </c>
      <c r="D121" s="55">
        <v>17</v>
      </c>
      <c r="E121" s="63">
        <v>0.8</v>
      </c>
      <c r="F121" s="63"/>
      <c r="G121" s="63"/>
      <c r="H121" s="63">
        <v>0.2</v>
      </c>
      <c r="I121" s="53">
        <f t="shared" si="5"/>
        <v>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50">
        <v>55</v>
      </c>
      <c r="B122" s="55">
        <v>232</v>
      </c>
      <c r="C122" s="55">
        <v>9</v>
      </c>
      <c r="D122" s="55">
        <v>13</v>
      </c>
      <c r="E122" s="63">
        <v>0.8</v>
      </c>
      <c r="F122" s="63"/>
      <c r="G122" s="63"/>
      <c r="H122" s="63">
        <v>0.2</v>
      </c>
      <c r="I122" s="53">
        <f t="shared" si="5"/>
        <v>6.2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50">
        <v>60</v>
      </c>
      <c r="B123" s="55">
        <v>245</v>
      </c>
      <c r="C123" s="55">
        <v>10</v>
      </c>
      <c r="D123" s="55">
        <v>249</v>
      </c>
      <c r="E123" s="63">
        <v>0.8</v>
      </c>
      <c r="F123" s="63"/>
      <c r="G123" s="63"/>
      <c r="H123" s="63">
        <v>0.2</v>
      </c>
      <c r="I123" s="53">
        <f t="shared" si="5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Erable sycomore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15</v>
      </c>
      <c r="B140" s="50">
        <v>37</v>
      </c>
      <c r="C140" s="50">
        <v>1</v>
      </c>
      <c r="D140" s="50">
        <v>15</v>
      </c>
      <c r="E140" s="51"/>
      <c r="F140" s="51"/>
      <c r="G140" s="51"/>
      <c r="H140" s="51">
        <v>1</v>
      </c>
      <c r="I140" s="57">
        <f>IFERROR(B140/A140,"")</f>
        <v>2.4666666666666668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20</v>
      </c>
      <c r="B141" s="50">
        <v>80</v>
      </c>
      <c r="C141" s="50">
        <v>2</v>
      </c>
      <c r="D141" s="50">
        <v>28</v>
      </c>
      <c r="E141" s="51"/>
      <c r="F141" s="51"/>
      <c r="G141" s="51"/>
      <c r="H141" s="51">
        <v>1</v>
      </c>
      <c r="I141" s="57">
        <f t="shared" ref="I141:I159" si="6">IF(A141&lt;&gt;0,(B141-(B140-D140))/(A141-A140),"")</f>
        <v>11.6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25</v>
      </c>
      <c r="B142" s="50">
        <v>115</v>
      </c>
      <c r="C142" s="50">
        <v>3</v>
      </c>
      <c r="D142" s="50">
        <v>28</v>
      </c>
      <c r="E142" s="51"/>
      <c r="F142" s="51"/>
      <c r="G142" s="51"/>
      <c r="H142" s="51">
        <v>1</v>
      </c>
      <c r="I142" s="57">
        <f t="shared" si="6"/>
        <v>12.6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30</v>
      </c>
      <c r="B143" s="50">
        <v>147</v>
      </c>
      <c r="C143" s="50">
        <v>4</v>
      </c>
      <c r="D143" s="50">
        <v>28</v>
      </c>
      <c r="E143" s="51"/>
      <c r="F143" s="51"/>
      <c r="G143" s="51"/>
      <c r="H143" s="51">
        <v>1</v>
      </c>
      <c r="I143" s="57">
        <f t="shared" si="6"/>
        <v>12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35</v>
      </c>
      <c r="B144" s="50">
        <v>173</v>
      </c>
      <c r="C144" s="50">
        <v>5</v>
      </c>
      <c r="D144" s="50">
        <v>28</v>
      </c>
      <c r="E144" s="51">
        <v>0.6</v>
      </c>
      <c r="F144" s="51"/>
      <c r="G144" s="51"/>
      <c r="H144" s="51">
        <v>0.4</v>
      </c>
      <c r="I144" s="57">
        <f t="shared" si="6"/>
        <v>10.8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40</v>
      </c>
      <c r="B145" s="55">
        <v>192</v>
      </c>
      <c r="C145" s="50">
        <v>6</v>
      </c>
      <c r="D145" s="55">
        <v>28</v>
      </c>
      <c r="E145" s="63">
        <v>0.8</v>
      </c>
      <c r="F145" s="63"/>
      <c r="G145" s="63"/>
      <c r="H145" s="63">
        <v>0.2</v>
      </c>
      <c r="I145" s="57">
        <f t="shared" si="6"/>
        <v>9.4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45</v>
      </c>
      <c r="B146" s="55">
        <v>205</v>
      </c>
      <c r="C146" s="50">
        <v>7</v>
      </c>
      <c r="D146" s="55">
        <v>22</v>
      </c>
      <c r="E146" s="63">
        <v>0.8</v>
      </c>
      <c r="F146" s="63"/>
      <c r="G146" s="63"/>
      <c r="H146" s="63">
        <v>0.2</v>
      </c>
      <c r="I146" s="57">
        <f t="shared" si="6"/>
        <v>8.1999999999999993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50</v>
      </c>
      <c r="B147" s="55">
        <v>218</v>
      </c>
      <c r="C147" s="50">
        <v>8</v>
      </c>
      <c r="D147" s="55">
        <v>17</v>
      </c>
      <c r="E147" s="63">
        <v>0.8</v>
      </c>
      <c r="F147" s="63"/>
      <c r="G147" s="63"/>
      <c r="H147" s="63">
        <v>0.2</v>
      </c>
      <c r="I147" s="57">
        <f>IF(A147&lt;&gt;0,(B147-(B146-D146))/(A147-A146),"")</f>
        <v>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55</v>
      </c>
      <c r="B148" s="55">
        <v>232</v>
      </c>
      <c r="C148" s="50">
        <v>9</v>
      </c>
      <c r="D148" s="55">
        <v>13</v>
      </c>
      <c r="E148" s="63">
        <v>0.8</v>
      </c>
      <c r="F148" s="63"/>
      <c r="G148" s="63"/>
      <c r="H148" s="63">
        <v>0.2</v>
      </c>
      <c r="I148" s="57">
        <f t="shared" si="6"/>
        <v>6.2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60</v>
      </c>
      <c r="B149" s="55">
        <v>245</v>
      </c>
      <c r="C149" s="50">
        <v>10</v>
      </c>
      <c r="D149" s="55">
        <v>245</v>
      </c>
      <c r="E149" s="63">
        <v>0.8</v>
      </c>
      <c r="F149" s="63"/>
      <c r="G149" s="63"/>
      <c r="H149" s="63">
        <v>0.2</v>
      </c>
      <c r="I149" s="57">
        <f t="shared" si="6"/>
        <v>5.2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Hêtre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25</v>
      </c>
      <c r="B166" s="50">
        <v>40</v>
      </c>
      <c r="C166" s="50"/>
      <c r="D166" s="50"/>
      <c r="E166" s="63"/>
      <c r="F166" s="63"/>
      <c r="G166" s="63"/>
      <c r="H166" s="63">
        <v>1</v>
      </c>
      <c r="I166" s="49">
        <f>IFERROR(B166/A166,"")</f>
        <v>1.6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30</v>
      </c>
      <c r="B167" s="50">
        <v>73</v>
      </c>
      <c r="C167" s="50">
        <v>1</v>
      </c>
      <c r="D167" s="50">
        <v>12</v>
      </c>
      <c r="E167" s="63"/>
      <c r="F167" s="63"/>
      <c r="G167" s="63"/>
      <c r="H167" s="63">
        <v>1</v>
      </c>
      <c r="I167" s="49">
        <f t="shared" ref="I167:I185" si="7">IF(A167&lt;&gt;0,(B167-(B166-D166))/(A167-A166),"")</f>
        <v>6.6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35</v>
      </c>
      <c r="B168" s="50">
        <f>109-D167</f>
        <v>97</v>
      </c>
      <c r="C168" s="50">
        <v>2</v>
      </c>
      <c r="D168" s="50">
        <v>21</v>
      </c>
      <c r="E168" s="63"/>
      <c r="F168" s="63"/>
      <c r="G168" s="63"/>
      <c r="H168" s="63">
        <v>1</v>
      </c>
      <c r="I168" s="49">
        <f t="shared" si="7"/>
        <v>7.2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40</v>
      </c>
      <c r="B169" s="50">
        <f>147-D168-D167</f>
        <v>114</v>
      </c>
      <c r="C169" s="50">
        <v>3</v>
      </c>
      <c r="D169" s="50">
        <v>21</v>
      </c>
      <c r="E169" s="63">
        <v>0.6</v>
      </c>
      <c r="F169" s="63"/>
      <c r="G169" s="63"/>
      <c r="H169" s="63">
        <v>0.4</v>
      </c>
      <c r="I169" s="49">
        <f t="shared" si="7"/>
        <v>7.6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45</v>
      </c>
      <c r="B170" s="50">
        <f>188-D169-D168-D167</f>
        <v>134</v>
      </c>
      <c r="C170" s="50">
        <v>4</v>
      </c>
      <c r="D170" s="50">
        <v>21</v>
      </c>
      <c r="E170" s="63">
        <v>0.8</v>
      </c>
      <c r="F170" s="63"/>
      <c r="G170" s="63"/>
      <c r="H170" s="63">
        <v>0.2</v>
      </c>
      <c r="I170" s="49">
        <f t="shared" si="7"/>
        <v>8.1999999999999993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50</v>
      </c>
      <c r="B171" s="50">
        <f>229-D170-D169-D168-D167</f>
        <v>154</v>
      </c>
      <c r="C171" s="50">
        <v>5</v>
      </c>
      <c r="D171" s="50">
        <v>21</v>
      </c>
      <c r="E171" s="63">
        <v>0.8</v>
      </c>
      <c r="F171" s="63"/>
      <c r="G171" s="63"/>
      <c r="H171" s="63">
        <v>0.2</v>
      </c>
      <c r="I171" s="49">
        <f t="shared" si="7"/>
        <v>8.1999999999999993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55</v>
      </c>
      <c r="B172" s="50">
        <f>271-D171-D169-D170-D168-D167</f>
        <v>175</v>
      </c>
      <c r="C172" s="50">
        <v>6</v>
      </c>
      <c r="D172" s="50">
        <v>21</v>
      </c>
      <c r="E172" s="63">
        <v>0.8</v>
      </c>
      <c r="F172" s="63"/>
      <c r="G172" s="63"/>
      <c r="H172" s="63">
        <v>0.2</v>
      </c>
      <c r="I172" s="49">
        <f t="shared" si="7"/>
        <v>8.4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60</v>
      </c>
      <c r="B173" s="50">
        <v>197</v>
      </c>
      <c r="C173" s="50">
        <v>7</v>
      </c>
      <c r="D173" s="50">
        <v>21</v>
      </c>
      <c r="E173" s="63">
        <v>0.8</v>
      </c>
      <c r="F173" s="63"/>
      <c r="G173" s="63"/>
      <c r="H173" s="63">
        <v>0.2</v>
      </c>
      <c r="I173" s="49">
        <f t="shared" si="7"/>
        <v>8.6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65</v>
      </c>
      <c r="B174" s="50">
        <v>217</v>
      </c>
      <c r="C174" s="50">
        <v>8</v>
      </c>
      <c r="D174" s="50">
        <v>21</v>
      </c>
      <c r="E174" s="63">
        <v>0.8</v>
      </c>
      <c r="F174" s="63"/>
      <c r="G174" s="63"/>
      <c r="H174" s="63">
        <v>0.2</v>
      </c>
      <c r="I174" s="49">
        <f t="shared" si="7"/>
        <v>8.1999999999999993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>
        <v>70</v>
      </c>
      <c r="B175" s="50">
        <v>236</v>
      </c>
      <c r="C175" s="50">
        <v>9</v>
      </c>
      <c r="D175" s="50">
        <v>21</v>
      </c>
      <c r="E175" s="63">
        <v>0.8</v>
      </c>
      <c r="F175" s="63"/>
      <c r="G175" s="63"/>
      <c r="H175" s="63">
        <v>0.2</v>
      </c>
      <c r="I175" s="49">
        <f t="shared" si="7"/>
        <v>8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75</v>
      </c>
      <c r="B176" s="50">
        <v>254</v>
      </c>
      <c r="C176" s="50">
        <v>10</v>
      </c>
      <c r="D176" s="50">
        <v>21</v>
      </c>
      <c r="E176" s="51">
        <v>0.8</v>
      </c>
      <c r="F176" s="51"/>
      <c r="G176" s="51"/>
      <c r="H176" s="51">
        <v>0.2</v>
      </c>
      <c r="I176" s="49">
        <f t="shared" si="7"/>
        <v>7.8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>
        <v>80</v>
      </c>
      <c r="B177" s="50">
        <v>270</v>
      </c>
      <c r="C177" s="50">
        <v>11</v>
      </c>
      <c r="D177" s="50">
        <v>270</v>
      </c>
      <c r="E177" s="51">
        <v>0.8</v>
      </c>
      <c r="F177" s="51"/>
      <c r="G177" s="51"/>
      <c r="H177" s="51">
        <v>0.2</v>
      </c>
      <c r="I177" s="49">
        <f t="shared" si="7"/>
        <v>7.4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Alisier torminal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>
        <v>20</v>
      </c>
      <c r="B192" s="60">
        <v>42</v>
      </c>
      <c r="C192" s="60"/>
      <c r="D192" s="60"/>
      <c r="E192" s="51"/>
      <c r="F192" s="51"/>
      <c r="G192" s="51"/>
      <c r="H192" s="51"/>
      <c r="I192" s="49">
        <f>IFERROR(B192/A192,"")</f>
        <v>2.1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>
        <v>25</v>
      </c>
      <c r="B193" s="60">
        <v>71</v>
      </c>
      <c r="C193" s="60">
        <v>1</v>
      </c>
      <c r="D193" s="60">
        <v>8</v>
      </c>
      <c r="E193" s="51"/>
      <c r="F193" s="51"/>
      <c r="G193" s="51"/>
      <c r="H193" s="51"/>
      <c r="I193" s="49">
        <f t="shared" ref="I193:I211" si="8">IF(A193&lt;&gt;0,(B193-(B192-D192))/(A193-A192),"")</f>
        <v>5.8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>
        <v>30</v>
      </c>
      <c r="B194" s="60">
        <f>106-D193</f>
        <v>98</v>
      </c>
      <c r="C194" s="60">
        <v>2</v>
      </c>
      <c r="D194" s="60">
        <v>21</v>
      </c>
      <c r="E194" s="51"/>
      <c r="F194" s="51"/>
      <c r="G194" s="51"/>
      <c r="H194" s="51"/>
      <c r="I194" s="49">
        <f t="shared" si="8"/>
        <v>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>
        <v>35</v>
      </c>
      <c r="B195" s="60">
        <f>145-D194-D193</f>
        <v>116</v>
      </c>
      <c r="C195" s="60">
        <v>3</v>
      </c>
      <c r="D195" s="60">
        <v>21</v>
      </c>
      <c r="E195" s="51"/>
      <c r="F195" s="51"/>
      <c r="G195" s="51"/>
      <c r="H195" s="51"/>
      <c r="I195" s="49">
        <f t="shared" si="8"/>
        <v>7.8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>
        <v>40</v>
      </c>
      <c r="B196" s="60">
        <f>187-D194-D195-D193</f>
        <v>137</v>
      </c>
      <c r="C196" s="60">
        <v>4</v>
      </c>
      <c r="D196" s="60">
        <v>21</v>
      </c>
      <c r="E196" s="51"/>
      <c r="F196" s="51"/>
      <c r="G196" s="51"/>
      <c r="H196" s="51"/>
      <c r="I196" s="49">
        <f t="shared" si="8"/>
        <v>8.4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>
        <v>45</v>
      </c>
      <c r="B197" s="60">
        <f>229-D196-D195-D194-D193</f>
        <v>158</v>
      </c>
      <c r="C197" s="60">
        <v>5</v>
      </c>
      <c r="D197" s="60">
        <v>21</v>
      </c>
      <c r="E197" s="51"/>
      <c r="F197" s="51"/>
      <c r="G197" s="51"/>
      <c r="H197" s="51"/>
      <c r="I197" s="49">
        <f t="shared" si="8"/>
        <v>8.4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>
        <v>50</v>
      </c>
      <c r="B198" s="60">
        <f>271-D197-D196-D195-D194-D193</f>
        <v>179</v>
      </c>
      <c r="C198" s="60">
        <v>6</v>
      </c>
      <c r="D198" s="60">
        <v>21</v>
      </c>
      <c r="E198" s="51"/>
      <c r="F198" s="51"/>
      <c r="G198" s="51"/>
      <c r="H198" s="51"/>
      <c r="I198" s="49">
        <f t="shared" si="8"/>
        <v>8.4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>
        <v>55</v>
      </c>
      <c r="B199" s="50">
        <f>311-D198-D197-D196-D195-D194-D193</f>
        <v>198</v>
      </c>
      <c r="C199" s="60">
        <v>7</v>
      </c>
      <c r="D199" s="60">
        <v>21</v>
      </c>
      <c r="E199" s="51"/>
      <c r="F199" s="51"/>
      <c r="G199" s="51"/>
      <c r="H199" s="51"/>
      <c r="I199" s="49">
        <f t="shared" si="8"/>
        <v>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>
        <v>60</v>
      </c>
      <c r="B200" s="50">
        <f>349-D199-D198-D196-D197-D195-D194-D193</f>
        <v>215</v>
      </c>
      <c r="C200" s="60">
        <v>8</v>
      </c>
      <c r="D200" s="60">
        <v>215</v>
      </c>
      <c r="E200" s="51"/>
      <c r="F200" s="51"/>
      <c r="G200" s="51"/>
      <c r="H200" s="51"/>
      <c r="I200" s="49">
        <f t="shared" si="8"/>
        <v>7.6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Aulne à feuilles en cœur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>
        <v>15</v>
      </c>
      <c r="B218" s="60">
        <v>37</v>
      </c>
      <c r="C218" s="50">
        <v>1</v>
      </c>
      <c r="D218" s="60">
        <v>15</v>
      </c>
      <c r="E218" s="63"/>
      <c r="F218" s="63"/>
      <c r="G218" s="63"/>
      <c r="H218" s="63"/>
      <c r="I218" s="53">
        <f>IFERROR(B218/A218,"")</f>
        <v>2.4666666666666668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>
        <v>20</v>
      </c>
      <c r="B219" s="60">
        <f>95-D218</f>
        <v>80</v>
      </c>
      <c r="C219" s="50">
        <v>2</v>
      </c>
      <c r="D219" s="60">
        <v>28</v>
      </c>
      <c r="E219" s="63"/>
      <c r="F219" s="63"/>
      <c r="G219" s="63"/>
      <c r="H219" s="63"/>
      <c r="I219" s="53">
        <f t="shared" ref="I219:I237" si="9">IF(A219&lt;&gt;0,(B219-(B218-D218))/(A219-A218),"")</f>
        <v>11.6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>
        <v>25</v>
      </c>
      <c r="B220" s="60">
        <f>158-D219-D218</f>
        <v>115</v>
      </c>
      <c r="C220" s="50">
        <v>3</v>
      </c>
      <c r="D220" s="60">
        <v>28</v>
      </c>
      <c r="E220" s="63"/>
      <c r="F220" s="63"/>
      <c r="G220" s="63"/>
      <c r="H220" s="63"/>
      <c r="I220" s="53">
        <f t="shared" si="9"/>
        <v>12.6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0">
        <v>30</v>
      </c>
      <c r="B221" s="55">
        <f>218-D220-D219-D218</f>
        <v>147</v>
      </c>
      <c r="C221" s="55">
        <v>4</v>
      </c>
      <c r="D221" s="60">
        <v>28</v>
      </c>
      <c r="E221" s="63"/>
      <c r="F221" s="63"/>
      <c r="G221" s="63"/>
      <c r="H221" s="63"/>
      <c r="I221" s="53">
        <f t="shared" si="9"/>
        <v>12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0">
        <v>35</v>
      </c>
      <c r="B222" s="55">
        <f>272-D221-D220-D219-D218</f>
        <v>173</v>
      </c>
      <c r="C222" s="55">
        <v>5</v>
      </c>
      <c r="D222" s="60">
        <v>28</v>
      </c>
      <c r="E222" s="63"/>
      <c r="F222" s="63"/>
      <c r="G222" s="63"/>
      <c r="H222" s="63"/>
      <c r="I222" s="53">
        <f t="shared" si="9"/>
        <v>10.8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0">
        <v>40</v>
      </c>
      <c r="B223" s="55">
        <f>319-D222-D221-D220-D219-D218</f>
        <v>192</v>
      </c>
      <c r="C223" s="55">
        <v>6</v>
      </c>
      <c r="D223" s="60">
        <v>28</v>
      </c>
      <c r="E223" s="63"/>
      <c r="F223" s="63"/>
      <c r="G223" s="63"/>
      <c r="H223" s="63"/>
      <c r="I223" s="53">
        <f t="shared" si="9"/>
        <v>9.4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0">
        <v>45</v>
      </c>
      <c r="B224" s="55">
        <f>360-D223-D222-D221-D220-D219-D218</f>
        <v>205</v>
      </c>
      <c r="C224" s="55">
        <v>7</v>
      </c>
      <c r="D224" s="55">
        <v>22</v>
      </c>
      <c r="E224" s="63"/>
      <c r="F224" s="63"/>
      <c r="G224" s="63"/>
      <c r="H224" s="63"/>
      <c r="I224" s="53">
        <f t="shared" si="9"/>
        <v>8.1999999999999993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0">
        <v>50</v>
      </c>
      <c r="B225" s="55">
        <f>395-D224-D223-D222-D221-D220-D219-D218</f>
        <v>218</v>
      </c>
      <c r="C225" s="55">
        <v>8</v>
      </c>
      <c r="D225" s="55">
        <v>218</v>
      </c>
      <c r="E225" s="63"/>
      <c r="F225" s="63"/>
      <c r="G225" s="63"/>
      <c r="H225" s="63"/>
      <c r="I225" s="53">
        <f t="shared" si="9"/>
        <v>7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4" sqref="C24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4" t="s">
        <v>191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80" t="s">
        <v>176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Douglas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Chêne rouge d'Amérique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Châtaignier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>Erable plane</v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>Erable sycomore</v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>Hêtre</v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>Alisier torminal</v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>Aulne à feuilles en cœur</v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333.02360594713667</v>
      </c>
      <c r="T3" s="59">
        <f>IF('Données projet'!E9&gt;30,$R$33-$H$33,LOOKUP('Données projet'!$E$9,$A$3:$A$203,R3:R203)-LOOKUP('Données projet'!$E$9,$A$3:$A$203,$H$3:$H$203))</f>
        <v>546.58234447298014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243.26825841283591</v>
      </c>
      <c r="AO3" s="59">
        <f>IF('Données projet'!E10&gt;30,$AM$33-$H$33,LOOKUP('Données projet'!$E$10,$A$3:$A$203,AM3:AM203)-LOOKUP('Données projet'!$E$10,$A$3:$A$203,$H$3:$H$203))</f>
        <v>179.2944312100729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146.45728988963538</v>
      </c>
      <c r="BJ3" s="59">
        <f>IF('Données projet'!E11&gt;30,$BH$33-$H$33,LOOKUP('Données projet'!$E$11,$A$3:$A$203,BH3:BH203)-LOOKUP('Données projet'!$E$11,$A$3:$A$203,$H$3:$H$203))</f>
        <v>156.91778940341118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238.71022302719206</v>
      </c>
      <c r="CE3" s="59">
        <f>IF('Données projet'!E12&gt;30,$CC$33-$H$33,LOOKUP('Données projet'!$E$12,$A$3:$A$203,CC3:CC203)-LOOKUP('Données projet'!$E$12,$A$3:$A$203,$H$3:$H$203))</f>
        <v>294.28794439094878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238.71022302719206</v>
      </c>
      <c r="CZ3" s="59">
        <f>IF('Données projet'!E13&gt;30,$CX$33-$H$33,LOOKUP('Données projet'!$E$13,$A$3:$A$203,CX3:CX203)-LOOKUP('Données projet'!$E$13,$A$3:$A$203,$H$3:$H$203))</f>
        <v>294.28794439094878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203.34232675618244</v>
      </c>
      <c r="DU3" s="59">
        <f>IF('Données projet'!E14&gt;30,$DS$33-$H$33,LOOKUP('Données projet'!$E$14,$A$3:$A$203,DS3:DS203)-LOOKUP('Données projet'!$E$14,$A$3:$A$203,$H$3:$H$203))</f>
        <v>176.81257896138806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218.78765033569107</v>
      </c>
      <c r="EP3" s="59">
        <f>IF('Données projet'!E15&gt;30,$EN$33-$H$33,LOOKUP('Données projet'!$E$15,$A$3:$A$203,EN3:EN203)-LOOKUP('Données projet'!$E$15,$A$3:$A$203,$H$3:$H$203))</f>
        <v>246.54010105494137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170.80796812111521</v>
      </c>
      <c r="FK3" s="59">
        <f>IF('Données projet'!E16&gt;30,$FI$33-$H$33,LOOKUP('Données projet'!$E$16,$A$3:$A$203,FI3:FI203)-LOOKUP('Données projet'!$E$16,$A$3:$A$203,$H$3:$H$203))</f>
        <v>249.84047400410321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259.76966919403429</v>
      </c>
      <c r="S4" s="59">
        <f ca="1">AVERAGE(OFFSET($R$3,0,0,'Données projet'!$E$9+1,1))-AVERAGE(OFFSET($H$3,0,0,'Données projet'!$E$9+1,1))</f>
        <v>333.02360594713667</v>
      </c>
      <c r="T4" s="59">
        <f>$T$3</f>
        <v>546.58234447298014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1.6</v>
      </c>
      <c r="AI4" s="13">
        <f>IF('Données projet'!$A$62&gt;35,AI3+AH4-AQ3,IF(A4&lt;'Données projet'!$A$62,$AF$205^A4,IF(A4='Données projet'!$A$62,'Données projet'!$B$62,AI3+AH4-AQ3)))</f>
        <v>1.1589972344055464</v>
      </c>
      <c r="AJ4" s="13">
        <f>AI4*VLOOKUP('Données projet'!$B$10,Paramètres!$A$1:$I$89,3,0)*VLOOKUP('Données projet'!$B$10,Paramètres!$A$1:$I$89,5,0)</f>
        <v>1.0124999839766855</v>
      </c>
      <c r="AK4" s="13">
        <f>EXP(-1.0587+0.8836*LN(AJ4)+0.284)</f>
        <v>0.46592832052079941</v>
      </c>
      <c r="AL4" s="20">
        <f t="shared" ref="AL4:AL67" si="4">(AJ4+AK4)*0.475*44/12</f>
        <v>2.5749292969997861</v>
      </c>
      <c r="AM4" s="59">
        <f t="shared" ref="AM4:AM67" si="5">AL4+(AD4+AE4)*44/12</f>
        <v>260.46381818588867</v>
      </c>
      <c r="AN4" s="59">
        <f ca="1">AVERAGE(OFFSET($AM$3,0,0,'Données projet'!$E$10+1,1))-AVERAGE(OFFSET($H$3,0,0,'Données projet'!$E$10+1,1))</f>
        <v>243.26825841283591</v>
      </c>
      <c r="AO4" s="59">
        <f>$AO$3</f>
        <v>179.2944312100729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1.6</v>
      </c>
      <c r="BD4" s="12">
        <f>IF('Données projet'!$A$88&gt;35,BD3+BC4-BL3,IF(A4&lt;'Données projet'!$A$88,$BA$205^A4,IF(A4='Données projet'!$A$88,'Données projet'!$B$88,BD3+BC4-BL3)))</f>
        <v>1.1589972344055464</v>
      </c>
      <c r="BE4" s="13">
        <f>BD4*VLOOKUP('Données projet'!$B$11,Paramètres!$A$1:$I$89,3,0)*VLOOKUP('Données projet'!$B$11,Paramètres!$A$1:$I$89,5,0)</f>
        <v>0.84977677226614645</v>
      </c>
      <c r="BF4" s="13">
        <f>EXP(-1.0587+0.8836*LN(BE4)+0.284)</f>
        <v>0.39910377492603383</v>
      </c>
      <c r="BG4" s="20">
        <f t="shared" ref="BG4:BG67" si="7">(BE4+BF4)*0.475*44/12</f>
        <v>2.1751336196930473</v>
      </c>
      <c r="BH4" s="59">
        <f t="shared" ref="BH4:BH67" si="8">BG4+(AY4+AZ4)*44/12</f>
        <v>260.0640225085819</v>
      </c>
      <c r="BI4" s="59">
        <f ca="1">AVERAGE(OFFSET($BH$3,0,0,'Données projet'!$E$11+1,1))-AVERAGE(OFFSET($H$3,0,0,'Données projet'!$E$11+1,1))</f>
        <v>146.45728988963538</v>
      </c>
      <c r="BJ4" s="59">
        <f>$BJ$3</f>
        <v>156.91778940341118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1.0121422546683387</v>
      </c>
      <c r="CA4" s="13">
        <f>EXP(-1.0587+0.8836*LN(BZ4)+0.284)</f>
        <v>0.46578286063395047</v>
      </c>
      <c r="CB4" s="20">
        <f t="shared" ref="CB4:CB67" si="10">(BZ4+CA4)*0.475*44/12</f>
        <v>2.574052909151487</v>
      </c>
      <c r="CC4" s="59">
        <f t="shared" ref="CC4:CC67" si="11">CB4+(BT4+BU4)*44/12</f>
        <v>260.46294179804033</v>
      </c>
      <c r="CD4" s="59">
        <f ca="1">AVERAGE(OFFSET($CC$3,0,0,'Données projet'!$E$12+1,1))-AVERAGE(OFFSET($H$3,0,0,'Données projet'!$E$12+1,1))</f>
        <v>238.71022302719206</v>
      </c>
      <c r="CE4" s="59">
        <f>$CE$3</f>
        <v>294.28794439094878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2.4666666666666668</v>
      </c>
      <c r="CT4" s="12">
        <f>IF('Données projet'!$A$140&gt;35,CT3+CS4-DB3,IF(A4&lt;'Données projet'!$A$140,$CQ$205^A4,IF(A4='Données projet'!$A$140,'Données projet'!$B$140,CT3+CS4-DB3)))</f>
        <v>1.2721747796233518</v>
      </c>
      <c r="CU4" s="17">
        <f>CT4*VLOOKUP('Données projet'!$B$13,Paramètres!$A$1:$I$89,3,0)*VLOOKUP('Données projet'!$B$13,Paramètres!$A$1:$I$89,5,0)</f>
        <v>1.0121422546683387</v>
      </c>
      <c r="CV4" s="13">
        <f>EXP(-1.0587+0.8836*LN(CU4)+0.284)</f>
        <v>0.46578286063395047</v>
      </c>
      <c r="CW4" s="20">
        <f t="shared" ref="CW4:CW67" si="13">(CU4+CV4)*0.475*44/12</f>
        <v>2.574052909151487</v>
      </c>
      <c r="CX4" s="59">
        <f t="shared" ref="CX4:CX67" si="14">CW4+(CO4+CP4)*44/12</f>
        <v>260.46294179804033</v>
      </c>
      <c r="CY4" s="59">
        <f ca="1">AVERAGE(OFFSET($CX$3,0,0,'Données projet'!$E$13+1,1))-AVERAGE(OFFSET($H$3,0,0,'Données projet'!$E$13+1,1))</f>
        <v>238.71022302719206</v>
      </c>
      <c r="CZ4" s="59">
        <f>$CZ$3</f>
        <v>294.28794439094878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1.6</v>
      </c>
      <c r="DO4" s="12">
        <f>IF('Données projet'!$A$166&gt;35,DO3+DN4-DW3,IF(A4&lt;'Données projet'!$A$166,$DL$205^A4,IF(A4='Données projet'!$A$166,'Données projet'!$B$166,DO3+DN4-DW3)))</f>
        <v>1.1589972344055464</v>
      </c>
      <c r="DP4" s="17">
        <f>DO4*VLOOKUP('Données projet'!$B$14,Paramètres!$A$1:$I$89,3,0)*VLOOKUP('Données projet'!$B$14,Paramètres!$A$1:$I$89,5,0)</f>
        <v>0.9944196271199589</v>
      </c>
      <c r="DQ4" s="13">
        <f>EXP(-1.0587+0.8836*LN(DP4)+0.284)</f>
        <v>0.4585689454773958</v>
      </c>
      <c r="DR4" s="20">
        <f t="shared" ref="DR4:DR67" si="16">(DP4+DQ4)*0.475*44/12</f>
        <v>2.5306217639403932</v>
      </c>
      <c r="DS4" s="59">
        <f t="shared" ref="DS4:DS67" si="17">DR4+(DJ4+DK4)*44/12</f>
        <v>260.41951065282927</v>
      </c>
      <c r="DT4" s="59">
        <f ca="1">AVERAGE(OFFSET($DS$3,0,0,'Données projet'!$E$14+1,1))-AVERAGE(OFFSET($H$3,0,0,'Données projet'!$E$14+1,1))</f>
        <v>203.34232675618244</v>
      </c>
      <c r="DU4" s="59">
        <f>$DU$3</f>
        <v>176.81257896138806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2.1</v>
      </c>
      <c r="EJ4" s="12">
        <f>IF('Données projet'!$A$192&gt;35,EJ3+EI4-ER3,IF(A4&lt;'Données projet'!$A$192,$EG$205^A4,IF(A4='Données projet'!$A$192,'Données projet'!$B$192,EJ3+EI4-ER3)))</f>
        <v>1.2054868146447177</v>
      </c>
      <c r="EK4" s="17">
        <f>EJ4*VLOOKUP('Données projet'!$B$15,Paramètres!$A$1:$I$89,3,0)*VLOOKUP('Données projet'!$B$15,Paramètres!$A$1:$I$89,5,0)</f>
        <v>1.165946847124371</v>
      </c>
      <c r="EL4" s="13">
        <f>EXP(-1.0587+0.8836*LN(EK4)+0.284)</f>
        <v>0.52780002987456354</v>
      </c>
      <c r="EM4" s="20">
        <f t="shared" ref="EM4:EM67" si="19">(EK4+EL4)*0.475*44/12</f>
        <v>2.9499424774398109</v>
      </c>
      <c r="EN4" s="59">
        <f t="shared" ref="EN4:EN67" si="20">EM4+(EE4+EF4)*44/12</f>
        <v>260.83883136632869</v>
      </c>
      <c r="EO4" s="59">
        <f ca="1">AVERAGE(OFFSET($EN$3,0,0,'Données projet'!$E$15+1,1))-AVERAGE(OFFSET($H$3,0,0,'Données projet'!$E$15+1,1))</f>
        <v>218.78765033569107</v>
      </c>
      <c r="EP4" s="59">
        <f>$EP$3</f>
        <v>246.54010105494137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2.4666666666666668</v>
      </c>
      <c r="FE4" s="12">
        <f>IF('Données projet'!$A$218&gt;35,FE3+FD4-FM3,IF(A4&lt;'Données projet'!$A$218,$FB$205^A4,IF(A4='Données projet'!$A$218,'Données projet'!$B$218,FE3+FD4-FM3)))</f>
        <v>1.2721747796233518</v>
      </c>
      <c r="FF4" s="17">
        <f>FE4*VLOOKUP('Données projet'!$B$16,Paramètres!$A$1:$I$89,3,0)*VLOOKUP('Données projet'!$B$16,Paramètres!$A$1:$I$89,5,0)</f>
        <v>0.83352891560922016</v>
      </c>
      <c r="FG4" s="13">
        <f>EXP(-1.0587+0.8836*LN(FF4)+0.284)</f>
        <v>0.39235353441936577</v>
      </c>
      <c r="FH4" s="20">
        <f t="shared" ref="FH4:FH67" si="22">(FF4+FG4)*0.475*44/12</f>
        <v>2.1350786004664535</v>
      </c>
      <c r="FI4" s="59">
        <f t="shared" ref="FI4:FI67" si="23">FH4+(EZ4+FA4)*44/12</f>
        <v>260.0239674893553</v>
      </c>
      <c r="FJ4" s="59">
        <f ca="1">AVERAGE(OFFSET($FI$3,0,0,'Données projet'!$E$16+1,1))-AVERAGE(OFFSET($H$3,0,0,'Données projet'!$E$16+1,1))</f>
        <v>170.80796812111521</v>
      </c>
      <c r="FK4" s="59">
        <f>$FK$3</f>
        <v>249.84047400410321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261.54497706414969</v>
      </c>
      <c r="S5" s="59">
        <f ca="1">AVERAGE(OFFSET($R$3,0,0,'Données projet'!$E$9+1,1))-AVERAGE(OFFSET($H$3,0,0,'Données projet'!$E$9+1,1))</f>
        <v>333.02360594713667</v>
      </c>
      <c r="T5" s="59">
        <f t="shared" ref="T5:T68" si="34">$T$3</f>
        <v>546.58234447298014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1.6</v>
      </c>
      <c r="AI5" s="13">
        <f>IF('Données projet'!$A$62&gt;35,AI4+AH5-AQ4,IF(A5&lt;'Données projet'!$A$62,$AF$205^A5,IF(A5='Données projet'!$A$62,'Données projet'!$B$62,AI4+AH5-AQ4)))</f>
        <v>1.3432745893597049</v>
      </c>
      <c r="AJ5" s="13">
        <f>AI5*VLOOKUP('Données projet'!$B$10,Paramètres!$A$1:$I$89,3,0)*VLOOKUP('Données projet'!$B$10,Paramètres!$A$1:$I$89,5,0)</f>
        <v>1.1734846812646382</v>
      </c>
      <c r="AK5" s="13">
        <f t="shared" ref="AK5:AK68" si="35">EXP(-1.0587+0.8836*LN(AJ5)+0.284)</f>
        <v>0.53081393720621173</v>
      </c>
      <c r="AL5" s="20">
        <f t="shared" si="4"/>
        <v>2.9683200938367302</v>
      </c>
      <c r="AM5" s="59">
        <f t="shared" si="5"/>
        <v>262.07943120494787</v>
      </c>
      <c r="AN5" s="59">
        <f ca="1">AVERAGE(OFFSET($AM$3,0,0,'Données projet'!$E$10+1,1))-AVERAGE(OFFSET($H$3,0,0,'Données projet'!$E$10+1,1))</f>
        <v>243.26825841283591</v>
      </c>
      <c r="AO5" s="59">
        <f t="shared" ref="AO5:AO68" si="36">$AO$3</f>
        <v>179.2944312100729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1.6</v>
      </c>
      <c r="BD5" s="12">
        <f>IF('Données projet'!$A$88&gt;35,BD4+BC5-BL4,IF(A5&lt;'Données projet'!$A$88,$BA$205^A5,IF(A5='Données projet'!$A$88,'Données projet'!$B$88,BD4+BC5-BL4)))</f>
        <v>1.3432745893597049</v>
      </c>
      <c r="BE5" s="13">
        <f>BD5*VLOOKUP('Données projet'!$B$11,Paramètres!$A$1:$I$89,3,0)*VLOOKUP('Données projet'!$B$11,Paramètres!$A$1:$I$89,5,0)</f>
        <v>0.98488892891853552</v>
      </c>
      <c r="BF5" s="13">
        <f t="shared" ref="BF5:BF68" si="37">EXP(-1.0587+0.8836*LN(BE5)+0.284)</f>
        <v>0.45468334246252934</v>
      </c>
      <c r="BG5" s="20">
        <f t="shared" si="7"/>
        <v>2.5072550393220214</v>
      </c>
      <c r="BH5" s="59">
        <f t="shared" si="8"/>
        <v>261.61836615043319</v>
      </c>
      <c r="BI5" s="59">
        <f ca="1">AVERAGE(OFFSET($BH$3,0,0,'Données projet'!$E$11+1,1))-AVERAGE(OFFSET($H$3,0,0,'Données projet'!$E$11+1,1))</f>
        <v>146.45728988963538</v>
      </c>
      <c r="BJ5" s="59">
        <f t="shared" ref="BJ5:BJ68" si="38">$BJ$3</f>
        <v>156.91778940341118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1.2876218497801761</v>
      </c>
      <c r="CA5" s="13">
        <f t="shared" ref="CA5:CA68" si="39">EXP(-1.0587+0.8836*LN(BZ5)+0.284)</f>
        <v>0.57618379541883336</v>
      </c>
      <c r="CB5" s="20">
        <f t="shared" si="10"/>
        <v>3.2461281653882743</v>
      </c>
      <c r="CC5" s="59">
        <f t="shared" si="11"/>
        <v>262.3572392764994</v>
      </c>
      <c r="CD5" s="59">
        <f ca="1">AVERAGE(OFFSET($CC$3,0,0,'Données projet'!$E$12+1,1))-AVERAGE(OFFSET($H$3,0,0,'Données projet'!$E$12+1,1))</f>
        <v>238.71022302719206</v>
      </c>
      <c r="CE5" s="59">
        <f t="shared" ref="CE5:CE68" si="40">$CE$3</f>
        <v>294.28794439094878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2.4666666666666668</v>
      </c>
      <c r="CT5" s="12">
        <f>IF('Données projet'!$A$140&gt;35,CT4+CS5-DB4,IF(A5&lt;'Données projet'!$A$140,$CQ$205^A5,IF(A5='Données projet'!$A$140,'Données projet'!$B$140,CT4+CS5-DB4)))</f>
        <v>1.6184286699097237</v>
      </c>
      <c r="CU5" s="17">
        <f>CT5*VLOOKUP('Données projet'!$B$13,Paramètres!$A$1:$I$89,3,0)*VLOOKUP('Données projet'!$B$13,Paramètres!$A$1:$I$89,5,0)</f>
        <v>1.2876218497801761</v>
      </c>
      <c r="CV5" s="13">
        <f t="shared" ref="CV5:CV68" si="41">EXP(-1.0587+0.8836*LN(CU5)+0.284)</f>
        <v>0.57618379541883336</v>
      </c>
      <c r="CW5" s="20">
        <f t="shared" si="13"/>
        <v>3.2461281653882743</v>
      </c>
      <c r="CX5" s="59">
        <f t="shared" si="14"/>
        <v>262.3572392764994</v>
      </c>
      <c r="CY5" s="59">
        <f ca="1">AVERAGE(OFFSET($CX$3,0,0,'Données projet'!$E$13+1,1))-AVERAGE(OFFSET($H$3,0,0,'Données projet'!$E$13+1,1))</f>
        <v>238.71022302719206</v>
      </c>
      <c r="CZ5" s="59">
        <f t="shared" ref="CZ5:CZ68" si="42">$CZ$3</f>
        <v>294.28794439094878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1.6</v>
      </c>
      <c r="DO5" s="12">
        <f>IF('Données projet'!$A$166&gt;35,DO4+DN5-DW4,IF(A5&lt;'Données projet'!$A$166,$DL$205^A5,IF(A5='Données projet'!$A$166,'Données projet'!$B$166,DO4+DN5-DW4)))</f>
        <v>1.3432745893597049</v>
      </c>
      <c r="DP5" s="17">
        <f>DO5*VLOOKUP('Données projet'!$B$14,Paramètres!$A$1:$I$89,3,0)*VLOOKUP('Données projet'!$B$14,Paramètres!$A$1:$I$89,5,0)</f>
        <v>1.1525295976706269</v>
      </c>
      <c r="DQ5" s="13">
        <f t="shared" ref="DQ5:DQ68" si="43">EXP(-1.0587+0.8836*LN(DP5)+0.284)</f>
        <v>0.52242968866386141</v>
      </c>
      <c r="DR5" s="20">
        <f t="shared" si="16"/>
        <v>2.9172207570325672</v>
      </c>
      <c r="DS5" s="59">
        <f t="shared" si="17"/>
        <v>262.02833186814371</v>
      </c>
      <c r="DT5" s="59">
        <f ca="1">AVERAGE(OFFSET($DS$3,0,0,'Données projet'!$E$14+1,1))-AVERAGE(OFFSET($H$3,0,0,'Données projet'!$E$14+1,1))</f>
        <v>203.34232675618244</v>
      </c>
      <c r="DU5" s="59">
        <f t="shared" ref="DU5:DU68" si="44">$DU$3</f>
        <v>176.81257896138806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2.1</v>
      </c>
      <c r="EJ5" s="12">
        <f>IF('Données projet'!$A$192&gt;35,EJ4+EI5-ER4,IF(A5&lt;'Données projet'!$A$192,$EG$205^A5,IF(A5='Données projet'!$A$192,'Données projet'!$B$192,EJ4+EI5-ER4)))</f>
        <v>1.4531984602822681</v>
      </c>
      <c r="EK5" s="17">
        <f>EJ5*VLOOKUP('Données projet'!$B$15,Paramètres!$A$1:$I$89,3,0)*VLOOKUP('Données projet'!$B$15,Paramètres!$A$1:$I$89,5,0)</f>
        <v>1.4055335507850097</v>
      </c>
      <c r="EL5" s="13">
        <f t="shared" ref="EL5:EL68" si="45">EXP(-1.0587+0.8836*LN(EK5)+0.284)</f>
        <v>0.62256480317525631</v>
      </c>
      <c r="EM5" s="20">
        <f t="shared" si="19"/>
        <v>3.5322712998141292</v>
      </c>
      <c r="EN5" s="59">
        <f t="shared" si="20"/>
        <v>262.64338241092526</v>
      </c>
      <c r="EO5" s="59">
        <f ca="1">AVERAGE(OFFSET($EN$3,0,0,'Données projet'!$E$15+1,1))-AVERAGE(OFFSET($H$3,0,0,'Données projet'!$E$15+1,1))</f>
        <v>218.78765033569107</v>
      </c>
      <c r="EP5" s="59">
        <f t="shared" ref="EP5:EP68" si="46">$EP$3</f>
        <v>246.54010105494137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2.4666666666666668</v>
      </c>
      <c r="FE5" s="12">
        <f>IF('Données projet'!$A$218&gt;35,FE4+FD5-FM4,IF(A5&lt;'Données projet'!$A$218,$FB$205^A5,IF(A5='Données projet'!$A$218,'Données projet'!$B$218,FE4+FD5-FM4)))</f>
        <v>1.6184286699097237</v>
      </c>
      <c r="FF5" s="17">
        <f>FE5*VLOOKUP('Données projet'!$B$16,Paramètres!$A$1:$I$89,3,0)*VLOOKUP('Données projet'!$B$16,Paramètres!$A$1:$I$89,5,0)</f>
        <v>1.0603944645248509</v>
      </c>
      <c r="FG5" s="13">
        <f t="shared" ref="FG5:FG68" si="47">EXP(-1.0587+0.8836*LN(FF5)+0.284)</f>
        <v>0.48535007986351425</v>
      </c>
      <c r="FH5" s="20">
        <f t="shared" si="22"/>
        <v>2.6921717481430694</v>
      </c>
      <c r="FI5" s="59">
        <f t="shared" si="23"/>
        <v>261.80328285925424</v>
      </c>
      <c r="FJ5" s="59">
        <f ca="1">AVERAGE(OFFSET($FI$3,0,0,'Données projet'!$E$16+1,1))-AVERAGE(OFFSET($H$3,0,0,'Données projet'!$E$16+1,1))</f>
        <v>170.80796812111521</v>
      </c>
      <c r="FK5" s="59">
        <f t="shared" ref="FK5:FK68" si="48">$FK$3</f>
        <v>249.84047400410321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263.48359426836487</v>
      </c>
      <c r="S6" s="59">
        <f ca="1">AVERAGE(OFFSET($R$3,0,0,'Données projet'!$E$9+1,1))-AVERAGE(OFFSET($H$3,0,0,'Données projet'!$E$9+1,1))</f>
        <v>333.02360594713667</v>
      </c>
      <c r="T6" s="59">
        <f t="shared" si="34"/>
        <v>546.58234447298014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1.6</v>
      </c>
      <c r="AI6" s="13">
        <f>IF('Données projet'!$A$62&gt;35,AI5+AH6-AQ5,IF(A6&lt;'Données projet'!$A$62,$AF$205^A6,IF(A6='Données projet'!$A$62,'Données projet'!$B$62,AI5+AH6-AQ5)))</f>
        <v>1.5568515341151439</v>
      </c>
      <c r="AJ6" s="13">
        <f>AI6*VLOOKUP('Données projet'!$B$10,Paramètres!$A$1:$I$89,3,0)*VLOOKUP('Données projet'!$B$10,Paramètres!$A$1:$I$89,5,0)</f>
        <v>1.3600655002029898</v>
      </c>
      <c r="AK6" s="13">
        <f t="shared" si="35"/>
        <v>0.60473558597471422</v>
      </c>
      <c r="AL6" s="20">
        <f t="shared" si="4"/>
        <v>3.422028558426168</v>
      </c>
      <c r="AM6" s="59">
        <f t="shared" si="5"/>
        <v>263.75536189175949</v>
      </c>
      <c r="AN6" s="59">
        <f ca="1">AVERAGE(OFFSET($AM$3,0,0,'Données projet'!$E$10+1,1))-AVERAGE(OFFSET($H$3,0,0,'Données projet'!$E$10+1,1))</f>
        <v>243.26825841283591</v>
      </c>
      <c r="AO6" s="59">
        <f t="shared" si="36"/>
        <v>179.2944312100729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1.6</v>
      </c>
      <c r="BD6" s="12">
        <f>IF('Données projet'!$A$88&gt;35,BD5+BC6-BL5,IF(A6&lt;'Données projet'!$A$88,$BA$205^A6,IF(A6='Données projet'!$A$88,'Données projet'!$B$88,BD5+BC6-BL5)))</f>
        <v>1.5568515341151439</v>
      </c>
      <c r="BE6" s="13">
        <f>BD6*VLOOKUP('Données projet'!$B$11,Paramètres!$A$1:$I$89,3,0)*VLOOKUP('Données projet'!$B$11,Paramètres!$A$1:$I$89,5,0)</f>
        <v>1.1414835448132234</v>
      </c>
      <c r="BF6" s="13">
        <f t="shared" si="37"/>
        <v>0.51800297291403086</v>
      </c>
      <c r="BG6" s="20">
        <f t="shared" si="7"/>
        <v>2.8902723517083007</v>
      </c>
      <c r="BH6" s="59">
        <f t="shared" si="8"/>
        <v>263.2236056850416</v>
      </c>
      <c r="BI6" s="59">
        <f ca="1">AVERAGE(OFFSET($BH$3,0,0,'Données projet'!$E$11+1,1))-AVERAGE(OFFSET($H$3,0,0,'Données projet'!$E$11+1,1))</f>
        <v>146.45728988963538</v>
      </c>
      <c r="BJ6" s="59">
        <f t="shared" si="38"/>
        <v>156.91778940341118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1.6380800429823084</v>
      </c>
      <c r="CA6" s="13">
        <f t="shared" si="39"/>
        <v>0.71275221602487127</v>
      </c>
      <c r="CB6" s="20">
        <f t="shared" si="10"/>
        <v>4.0943661844375043</v>
      </c>
      <c r="CC6" s="59">
        <f t="shared" si="11"/>
        <v>264.4276995177708</v>
      </c>
      <c r="CD6" s="59">
        <f ca="1">AVERAGE(OFFSET($CC$3,0,0,'Données projet'!$E$12+1,1))-AVERAGE(OFFSET($H$3,0,0,'Données projet'!$E$12+1,1))</f>
        <v>238.71022302719206</v>
      </c>
      <c r="CE6" s="59">
        <f t="shared" si="40"/>
        <v>294.28794439094878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2.4666666666666668</v>
      </c>
      <c r="CT6" s="12">
        <f>IF('Données projet'!$A$140&gt;35,CT5+CS6-DB5,IF(A6&lt;'Données projet'!$A$140,$CQ$205^A6,IF(A6='Données projet'!$A$140,'Données projet'!$B$140,CT5+CS6-DB5)))</f>
        <v>2.0589241364785171</v>
      </c>
      <c r="CU6" s="17">
        <f>CT6*VLOOKUP('Données projet'!$B$13,Paramètres!$A$1:$I$89,3,0)*VLOOKUP('Données projet'!$B$13,Paramètres!$A$1:$I$89,5,0)</f>
        <v>1.6380800429823084</v>
      </c>
      <c r="CV6" s="13">
        <f t="shared" si="41"/>
        <v>0.71275221602487127</v>
      </c>
      <c r="CW6" s="20">
        <f t="shared" si="13"/>
        <v>4.0943661844375043</v>
      </c>
      <c r="CX6" s="59">
        <f t="shared" si="14"/>
        <v>264.4276995177708</v>
      </c>
      <c r="CY6" s="59">
        <f ca="1">AVERAGE(OFFSET($CX$3,0,0,'Données projet'!$E$13+1,1))-AVERAGE(OFFSET($H$3,0,0,'Données projet'!$E$13+1,1))</f>
        <v>238.71022302719206</v>
      </c>
      <c r="CZ6" s="59">
        <f t="shared" si="42"/>
        <v>294.28794439094878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1.6</v>
      </c>
      <c r="DO6" s="12">
        <f>IF('Données projet'!$A$166&gt;35,DO5+DN6-DW5,IF(A6&lt;'Données projet'!$A$166,$DL$205^A6,IF(A6='Données projet'!$A$166,'Données projet'!$B$166,DO5+DN6-DW5)))</f>
        <v>1.5568515341151439</v>
      </c>
      <c r="DP6" s="17">
        <f>DO6*VLOOKUP('Données projet'!$B$14,Paramètres!$A$1:$I$89,3,0)*VLOOKUP('Données projet'!$B$14,Paramètres!$A$1:$I$89,5,0)</f>
        <v>1.3357786162707936</v>
      </c>
      <c r="DQ6" s="13">
        <f t="shared" si="43"/>
        <v>0.5951837390848197</v>
      </c>
      <c r="DR6" s="20">
        <f t="shared" si="16"/>
        <v>3.3630927689110268</v>
      </c>
      <c r="DS6" s="59">
        <f t="shared" si="17"/>
        <v>263.69642610224435</v>
      </c>
      <c r="DT6" s="59">
        <f ca="1">AVERAGE(OFFSET($DS$3,0,0,'Données projet'!$E$14+1,1))-AVERAGE(OFFSET($H$3,0,0,'Données projet'!$E$14+1,1))</f>
        <v>203.34232675618244</v>
      </c>
      <c r="DU6" s="59">
        <f t="shared" si="44"/>
        <v>176.81257896138806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2.1</v>
      </c>
      <c r="EJ6" s="12">
        <f>IF('Données projet'!$A$192&gt;35,EJ5+EI6-ER5,IF(A6&lt;'Données projet'!$A$192,$EG$205^A6,IF(A6='Données projet'!$A$192,'Données projet'!$B$192,EJ5+EI6-ER5)))</f>
        <v>1.7518115829322798</v>
      </c>
      <c r="EK6" s="17">
        <f>EJ6*VLOOKUP('Données projet'!$B$15,Paramètres!$A$1:$I$89,3,0)*VLOOKUP('Données projet'!$B$15,Paramètres!$A$1:$I$89,5,0)</f>
        <v>1.694352163012101</v>
      </c>
      <c r="EL6" s="13">
        <f t="shared" si="45"/>
        <v>0.73434428233124405</v>
      </c>
      <c r="EM6" s="20">
        <f t="shared" si="19"/>
        <v>4.2299796423063247</v>
      </c>
      <c r="EN6" s="59">
        <f t="shared" si="20"/>
        <v>264.56331297563963</v>
      </c>
      <c r="EO6" s="59">
        <f ca="1">AVERAGE(OFFSET($EN$3,0,0,'Données projet'!$E$15+1,1))-AVERAGE(OFFSET($H$3,0,0,'Données projet'!$E$15+1,1))</f>
        <v>218.78765033569107</v>
      </c>
      <c r="EP6" s="59">
        <f t="shared" si="46"/>
        <v>246.54010105494137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2.4666666666666668</v>
      </c>
      <c r="FE6" s="12">
        <f>IF('Données projet'!$A$218&gt;35,FE5+FD6-FM5,IF(A6&lt;'Données projet'!$A$218,$FB$205^A6,IF(A6='Données projet'!$A$218,'Données projet'!$B$218,FE5+FD6-FM5)))</f>
        <v>2.0589241364785171</v>
      </c>
      <c r="FF6" s="17">
        <f>FE6*VLOOKUP('Données projet'!$B$16,Paramètres!$A$1:$I$89,3,0)*VLOOKUP('Données projet'!$B$16,Paramètres!$A$1:$I$89,5,0)</f>
        <v>1.3490070942207244</v>
      </c>
      <c r="FG6" s="13">
        <f t="shared" si="47"/>
        <v>0.60038888236887178</v>
      </c>
      <c r="FH6" s="20">
        <f t="shared" si="22"/>
        <v>3.3951979925602132</v>
      </c>
      <c r="FI6" s="59">
        <f t="shared" si="23"/>
        <v>263.72853132589353</v>
      </c>
      <c r="FJ6" s="59">
        <f ca="1">AVERAGE(OFFSET($FI$3,0,0,'Données projet'!$E$16+1,1))-AVERAGE(OFFSET($H$3,0,0,'Données projet'!$E$16+1,1))</f>
        <v>170.80796812111521</v>
      </c>
      <c r="FK6" s="59">
        <f t="shared" si="48"/>
        <v>249.84047400410321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265.63392560576659</v>
      </c>
      <c r="S7" s="59">
        <f ca="1">AVERAGE(OFFSET($R$3,0,0,'Données projet'!$E$9+1,1))-AVERAGE(OFFSET($H$3,0,0,'Données projet'!$E$9+1,1))</f>
        <v>333.02360594713667</v>
      </c>
      <c r="T7" s="59">
        <f t="shared" si="34"/>
        <v>546.58234447298014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1.6</v>
      </c>
      <c r="AI7" s="13">
        <f>IF('Données projet'!$A$62&gt;35,AI6+AH7-AQ6,IF(A7&lt;'Données projet'!$A$62,$AF$205^A7,IF(A7='Données projet'!$A$62,'Données projet'!$B$62,AI6+AH7-AQ6)))</f>
        <v>1.8043866224194838</v>
      </c>
      <c r="AJ7" s="13">
        <f>AI7*VLOOKUP('Données projet'!$B$10,Paramètres!$A$1:$I$89,3,0)*VLOOKUP('Données projet'!$B$10,Paramètres!$A$1:$I$89,5,0)</f>
        <v>1.5763121533456614</v>
      </c>
      <c r="AK7" s="13">
        <f t="shared" si="35"/>
        <v>0.68895163316352614</v>
      </c>
      <c r="AL7" s="20">
        <f t="shared" si="4"/>
        <v>3.9453344281701681</v>
      </c>
      <c r="AM7" s="59">
        <f t="shared" si="5"/>
        <v>265.5008899837257</v>
      </c>
      <c r="AN7" s="59">
        <f ca="1">AVERAGE(OFFSET($AM$3,0,0,'Données projet'!$E$10+1,1))-AVERAGE(OFFSET($H$3,0,0,'Données projet'!$E$10+1,1))</f>
        <v>243.26825841283591</v>
      </c>
      <c r="AO7" s="59">
        <f t="shared" si="36"/>
        <v>179.2944312100729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1.6</v>
      </c>
      <c r="BD7" s="12">
        <f>IF('Données projet'!$A$88&gt;35,BD6+BC7-BL6,IF(A7&lt;'Données projet'!$A$88,$BA$205^A7,IF(A7='Données projet'!$A$88,'Données projet'!$B$88,BD6+BC7-BL6)))</f>
        <v>1.8043866224194838</v>
      </c>
      <c r="BE7" s="13">
        <f>BD7*VLOOKUP('Données projet'!$B$11,Paramètres!$A$1:$I$89,3,0)*VLOOKUP('Données projet'!$B$11,Paramètres!$A$1:$I$89,5,0)</f>
        <v>1.3229762715579656</v>
      </c>
      <c r="BF7" s="13">
        <f t="shared" si="37"/>
        <v>0.59014055473098215</v>
      </c>
      <c r="BG7" s="20">
        <f t="shared" si="7"/>
        <v>3.3320118057865837</v>
      </c>
      <c r="BH7" s="59">
        <f t="shared" si="8"/>
        <v>264.88756736134212</v>
      </c>
      <c r="BI7" s="59">
        <f ca="1">AVERAGE(OFFSET($BH$3,0,0,'Données projet'!$E$11+1,1))-AVERAGE(OFFSET($H$3,0,0,'Données projet'!$E$11+1,1))</f>
        <v>146.45728988963538</v>
      </c>
      <c r="BJ7" s="59">
        <f t="shared" si="38"/>
        <v>156.91778940341118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2.0839241176864287</v>
      </c>
      <c r="CA7" s="13">
        <f t="shared" si="39"/>
        <v>0.88169040068036508</v>
      </c>
      <c r="CB7" s="20">
        <f t="shared" si="10"/>
        <v>5.1651119528221656</v>
      </c>
      <c r="CC7" s="59">
        <f t="shared" si="11"/>
        <v>266.72066750837769</v>
      </c>
      <c r="CD7" s="59">
        <f ca="1">AVERAGE(OFFSET($CC$3,0,0,'Données projet'!$E$12+1,1))-AVERAGE(OFFSET($H$3,0,0,'Données projet'!$E$12+1,1))</f>
        <v>238.71022302719206</v>
      </c>
      <c r="CE7" s="59">
        <f t="shared" si="40"/>
        <v>294.28794439094878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2.4666666666666668</v>
      </c>
      <c r="CT7" s="12">
        <f>IF('Données projet'!$A$140&gt;35,CT6+CS7-DB6,IF(A7&lt;'Données projet'!$A$140,$CQ$205^A7,IF(A7='Données projet'!$A$140,'Données projet'!$B$140,CT6+CS7-DB6)))</f>
        <v>2.6193113595857573</v>
      </c>
      <c r="CU7" s="17">
        <f>CT7*VLOOKUP('Données projet'!$B$13,Paramètres!$A$1:$I$89,3,0)*VLOOKUP('Données projet'!$B$13,Paramètres!$A$1:$I$89,5,0)</f>
        <v>2.0839241176864287</v>
      </c>
      <c r="CV7" s="13">
        <f t="shared" si="41"/>
        <v>0.88169040068036508</v>
      </c>
      <c r="CW7" s="20">
        <f t="shared" si="13"/>
        <v>5.1651119528221656</v>
      </c>
      <c r="CX7" s="59">
        <f t="shared" si="14"/>
        <v>266.72066750837769</v>
      </c>
      <c r="CY7" s="59">
        <f ca="1">AVERAGE(OFFSET($CX$3,0,0,'Données projet'!$E$13+1,1))-AVERAGE(OFFSET($H$3,0,0,'Données projet'!$E$13+1,1))</f>
        <v>238.71022302719206</v>
      </c>
      <c r="CZ7" s="59">
        <f t="shared" si="42"/>
        <v>294.28794439094878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1.6</v>
      </c>
      <c r="DO7" s="12">
        <f>IF('Données projet'!$A$166&gt;35,DO6+DN7-DW6,IF(A7&lt;'Données projet'!$A$166,$DL$205^A7,IF(A7='Données projet'!$A$166,'Données projet'!$B$166,DO6+DN7-DW6)))</f>
        <v>1.8043866224194838</v>
      </c>
      <c r="DP7" s="17">
        <f>DO7*VLOOKUP('Données projet'!$B$14,Paramètres!$A$1:$I$89,3,0)*VLOOKUP('Données projet'!$B$14,Paramètres!$A$1:$I$89,5,0)</f>
        <v>1.5481637220359172</v>
      </c>
      <c r="DQ7" s="13">
        <f t="shared" si="43"/>
        <v>0.67806958708066833</v>
      </c>
      <c r="DR7" s="20">
        <f t="shared" si="16"/>
        <v>3.8773563467113861</v>
      </c>
      <c r="DS7" s="59">
        <f t="shared" si="17"/>
        <v>265.43291190226694</v>
      </c>
      <c r="DT7" s="59">
        <f ca="1">AVERAGE(OFFSET($DS$3,0,0,'Données projet'!$E$14+1,1))-AVERAGE(OFFSET($H$3,0,0,'Données projet'!$E$14+1,1))</f>
        <v>203.34232675618244</v>
      </c>
      <c r="DU7" s="59">
        <f t="shared" si="44"/>
        <v>176.81257896138806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2.1</v>
      </c>
      <c r="EJ7" s="12">
        <f>IF('Données projet'!$A$192&gt;35,EJ6+EI7-ER6,IF(A7&lt;'Données projet'!$A$192,$EG$205^A7,IF(A7='Données projet'!$A$192,'Données projet'!$B$192,EJ6+EI7-ER6)))</f>
        <v>2.1117857649667546</v>
      </c>
      <c r="EK7" s="17">
        <f>EJ7*VLOOKUP('Données projet'!$B$15,Paramètres!$A$1:$I$89,3,0)*VLOOKUP('Données projet'!$B$15,Paramètres!$A$1:$I$89,5,0)</f>
        <v>2.042519191875845</v>
      </c>
      <c r="EL7" s="13">
        <f t="shared" si="45"/>
        <v>0.86619340226463792</v>
      </c>
      <c r="EM7" s="20">
        <f t="shared" si="19"/>
        <v>5.0660077681280073</v>
      </c>
      <c r="EN7" s="59">
        <f t="shared" si="20"/>
        <v>266.62156332368357</v>
      </c>
      <c r="EO7" s="59">
        <f ca="1">AVERAGE(OFFSET($EN$3,0,0,'Données projet'!$E$15+1,1))-AVERAGE(OFFSET($H$3,0,0,'Données projet'!$E$15+1,1))</f>
        <v>218.78765033569107</v>
      </c>
      <c r="EP7" s="59">
        <f t="shared" si="46"/>
        <v>246.54010105494137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2.4666666666666668</v>
      </c>
      <c r="FE7" s="12">
        <f>IF('Données projet'!$A$218&gt;35,FE6+FD7-FM6,IF(A7&lt;'Données projet'!$A$218,$FB$205^A7,IF(A7='Données projet'!$A$218,'Données projet'!$B$218,FE6+FD7-FM6)))</f>
        <v>2.6193113595857573</v>
      </c>
      <c r="FF7" s="17">
        <f>FE7*VLOOKUP('Données projet'!$B$16,Paramètres!$A$1:$I$89,3,0)*VLOOKUP('Données projet'!$B$16,Paramètres!$A$1:$I$89,5,0)</f>
        <v>1.7161728028005883</v>
      </c>
      <c r="FG7" s="13">
        <f t="shared" si="47"/>
        <v>0.74269444886773317</v>
      </c>
      <c r="FH7" s="20">
        <f t="shared" si="22"/>
        <v>4.2825271299889929</v>
      </c>
      <c r="FI7" s="59">
        <f t="shared" si="23"/>
        <v>265.83808268554452</v>
      </c>
      <c r="FJ7" s="59">
        <f ca="1">AVERAGE(OFFSET($FI$3,0,0,'Données projet'!$E$16+1,1))-AVERAGE(OFFSET($H$3,0,0,'Données projet'!$E$16+1,1))</f>
        <v>170.80796812111521</v>
      </c>
      <c r="FK7" s="59">
        <f t="shared" si="48"/>
        <v>249.84047400410321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268.05877425367106</v>
      </c>
      <c r="S8" s="59">
        <f ca="1">AVERAGE(OFFSET($R$3,0,0,'Données projet'!$E$9+1,1))-AVERAGE(OFFSET($H$3,0,0,'Données projet'!$E$9+1,1))</f>
        <v>333.02360594713667</v>
      </c>
      <c r="T8" s="59">
        <f t="shared" si="34"/>
        <v>546.58234447298014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1.6</v>
      </c>
      <c r="AI8" s="13">
        <f>IF('Données projet'!$A$62&gt;35,AI7+AH8-AQ7,IF(A8&lt;'Données projet'!$A$62,$AF$205^A8,IF(A8='Données projet'!$A$62,'Données projet'!$B$62,AI7+AH8-AQ7)))</f>
        <v>2.0912791051825463</v>
      </c>
      <c r="AJ8" s="13">
        <f>AI8*VLOOKUP('Données projet'!$B$10,Paramètres!$A$1:$I$89,3,0)*VLOOKUP('Données projet'!$B$10,Paramètres!$A$1:$I$89,5,0)</f>
        <v>1.8269414262874728</v>
      </c>
      <c r="AK8" s="13">
        <f t="shared" si="35"/>
        <v>0.78489568639100482</v>
      </c>
      <c r="AL8" s="20">
        <f t="shared" si="4"/>
        <v>4.5489496379150145</v>
      </c>
      <c r="AM8" s="59">
        <f t="shared" si="5"/>
        <v>267.3267274156928</v>
      </c>
      <c r="AN8" s="59">
        <f ca="1">AVERAGE(OFFSET($AM$3,0,0,'Données projet'!$E$10+1,1))-AVERAGE(OFFSET($H$3,0,0,'Données projet'!$E$10+1,1))</f>
        <v>243.26825841283591</v>
      </c>
      <c r="AO8" s="59">
        <f t="shared" si="36"/>
        <v>179.2944312100729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1.6</v>
      </c>
      <c r="BD8" s="12">
        <f>IF('Données projet'!$A$88&gt;35,BD7+BC8-BL7,IF(A8&lt;'Données projet'!$A$88,$BA$205^A8,IF(A8='Données projet'!$A$88,'Données projet'!$B$88,BD7+BC8-BL7)))</f>
        <v>2.0912791051825463</v>
      </c>
      <c r="BE8" s="13">
        <f>BD8*VLOOKUP('Données projet'!$B$11,Paramètres!$A$1:$I$89,3,0)*VLOOKUP('Données projet'!$B$11,Paramètres!$A$1:$I$89,5,0)</f>
        <v>1.5333258399198428</v>
      </c>
      <c r="BF8" s="13">
        <f t="shared" si="37"/>
        <v>0.67232408412449463</v>
      </c>
      <c r="BG8" s="20">
        <f t="shared" si="7"/>
        <v>3.8415069510438875</v>
      </c>
      <c r="BH8" s="59">
        <f t="shared" si="8"/>
        <v>266.61928472882164</v>
      </c>
      <c r="BI8" s="59">
        <f ca="1">AVERAGE(OFFSET($BH$3,0,0,'Données projet'!$E$11+1,1))-AVERAGE(OFFSET($H$3,0,0,'Données projet'!$E$11+1,1))</f>
        <v>146.45728988963538</v>
      </c>
      <c r="BJ8" s="59">
        <f t="shared" si="38"/>
        <v>156.91778940341118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2.6511157051695204</v>
      </c>
      <c r="CA8" s="13">
        <f t="shared" si="39"/>
        <v>1.0906707059957799</v>
      </c>
      <c r="CB8" s="20">
        <f t="shared" si="10"/>
        <v>6.5169446661128978</v>
      </c>
      <c r="CC8" s="59">
        <f t="shared" si="11"/>
        <v>269.29472244389069</v>
      </c>
      <c r="CD8" s="59">
        <f ca="1">AVERAGE(OFFSET($CC$3,0,0,'Données projet'!$E$12+1,1))-AVERAGE(OFFSET($H$3,0,0,'Données projet'!$E$12+1,1))</f>
        <v>238.71022302719206</v>
      </c>
      <c r="CE8" s="59">
        <f t="shared" si="40"/>
        <v>294.28794439094878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2.4666666666666668</v>
      </c>
      <c r="CT8" s="12">
        <f>IF('Données projet'!$A$140&gt;35,CT7+CS8-DB7,IF(A8&lt;'Données projet'!$A$140,$CQ$205^A8,IF(A8='Données projet'!$A$140,'Données projet'!$B$140,CT7+CS8-DB7)))</f>
        <v>3.332221851645953</v>
      </c>
      <c r="CU8" s="17">
        <f>CT8*VLOOKUP('Données projet'!$B$13,Paramètres!$A$1:$I$89,3,0)*VLOOKUP('Données projet'!$B$13,Paramètres!$A$1:$I$89,5,0)</f>
        <v>2.6511157051695204</v>
      </c>
      <c r="CV8" s="13">
        <f t="shared" si="41"/>
        <v>1.0906707059957799</v>
      </c>
      <c r="CW8" s="20">
        <f t="shared" si="13"/>
        <v>6.5169446661128978</v>
      </c>
      <c r="CX8" s="59">
        <f t="shared" si="14"/>
        <v>269.29472244389069</v>
      </c>
      <c r="CY8" s="59">
        <f ca="1">AVERAGE(OFFSET($CX$3,0,0,'Données projet'!$E$13+1,1))-AVERAGE(OFFSET($H$3,0,0,'Données projet'!$E$13+1,1))</f>
        <v>238.71022302719206</v>
      </c>
      <c r="CZ8" s="59">
        <f t="shared" si="42"/>
        <v>294.28794439094878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1.6</v>
      </c>
      <c r="DO8" s="12">
        <f>IF('Données projet'!$A$166&gt;35,DO7+DN8-DW7,IF(A8&lt;'Données projet'!$A$166,$DL$205^A8,IF(A8='Données projet'!$A$166,'Données projet'!$B$166,DO7+DN8-DW7)))</f>
        <v>2.0912791051825463</v>
      </c>
      <c r="DP8" s="17">
        <f>DO8*VLOOKUP('Données projet'!$B$14,Paramètres!$A$1:$I$89,3,0)*VLOOKUP('Données projet'!$B$14,Paramètres!$A$1:$I$89,5,0)</f>
        <v>1.7943174722466249</v>
      </c>
      <c r="DQ8" s="13">
        <f t="shared" si="43"/>
        <v>0.77249819632290906</v>
      </c>
      <c r="DR8" s="20">
        <f t="shared" si="16"/>
        <v>4.4705372894252715</v>
      </c>
      <c r="DS8" s="59">
        <f t="shared" si="17"/>
        <v>267.24831506720307</v>
      </c>
      <c r="DT8" s="59">
        <f ca="1">AVERAGE(OFFSET($DS$3,0,0,'Données projet'!$E$14+1,1))-AVERAGE(OFFSET($H$3,0,0,'Données projet'!$E$14+1,1))</f>
        <v>203.34232675618244</v>
      </c>
      <c r="DU8" s="59">
        <f t="shared" si="44"/>
        <v>176.81257896138806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2.1</v>
      </c>
      <c r="EJ8" s="12">
        <f>IF('Données projet'!$A$192&gt;35,EJ7+EI8-ER7,IF(A8&lt;'Données projet'!$A$192,$EG$205^A8,IF(A8='Données projet'!$A$192,'Données projet'!$B$192,EJ7+EI8-ER7)))</f>
        <v>2.5457298950218314</v>
      </c>
      <c r="EK8" s="17">
        <f>EJ8*VLOOKUP('Données projet'!$B$15,Paramètres!$A$1:$I$89,3,0)*VLOOKUP('Données projet'!$B$15,Paramètres!$A$1:$I$89,5,0)</f>
        <v>2.4622299544651152</v>
      </c>
      <c r="EL8" s="13">
        <f t="shared" si="45"/>
        <v>1.021715601495419</v>
      </c>
      <c r="EM8" s="20">
        <f t="shared" si="19"/>
        <v>6.0678718432979295</v>
      </c>
      <c r="EN8" s="59">
        <f t="shared" si="20"/>
        <v>268.84564962107572</v>
      </c>
      <c r="EO8" s="59">
        <f ca="1">AVERAGE(OFFSET($EN$3,0,0,'Données projet'!$E$15+1,1))-AVERAGE(OFFSET($H$3,0,0,'Données projet'!$E$15+1,1))</f>
        <v>218.78765033569107</v>
      </c>
      <c r="EP8" s="59">
        <f t="shared" si="46"/>
        <v>246.54010105494137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2.4666666666666668</v>
      </c>
      <c r="FE8" s="12">
        <f>IF('Données projet'!$A$218&gt;35,FE7+FD8-FM7,IF(A8&lt;'Données projet'!$A$218,$FB$205^A8,IF(A8='Données projet'!$A$218,'Données projet'!$B$218,FE7+FD8-FM7)))</f>
        <v>3.332221851645953</v>
      </c>
      <c r="FF8" s="17">
        <f>FE8*VLOOKUP('Données projet'!$B$16,Paramètres!$A$1:$I$89,3,0)*VLOOKUP('Données projet'!$B$16,Paramètres!$A$1:$I$89,5,0)</f>
        <v>2.1832717571984284</v>
      </c>
      <c r="FG8" s="13">
        <f t="shared" si="47"/>
        <v>0.91872961105241191</v>
      </c>
      <c r="FH8" s="20">
        <f t="shared" si="22"/>
        <v>5.4026523830368793</v>
      </c>
      <c r="FI8" s="59">
        <f t="shared" si="23"/>
        <v>268.18043016081464</v>
      </c>
      <c r="FJ8" s="59">
        <f ca="1">AVERAGE(OFFSET($FI$3,0,0,'Données projet'!$E$16+1,1))-AVERAGE(OFFSET($H$3,0,0,'Données projet'!$E$16+1,1))</f>
        <v>170.80796812111521</v>
      </c>
      <c r="FK8" s="59">
        <f t="shared" si="48"/>
        <v>249.84047400410321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270.83963883937986</v>
      </c>
      <c r="S9" s="59">
        <f ca="1">AVERAGE(OFFSET($R$3,0,0,'Données projet'!$E$9+1,1))-AVERAGE(OFFSET($H$3,0,0,'Données projet'!$E$9+1,1))</f>
        <v>333.02360594713667</v>
      </c>
      <c r="T9" s="59">
        <f t="shared" si="34"/>
        <v>546.58234447298014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1.6</v>
      </c>
      <c r="AI9" s="13">
        <f>IF('Données projet'!$A$62&gt;35,AI8+AH9-AQ8,IF(A9&lt;'Données projet'!$A$62,$AF$205^A9,IF(A9='Données projet'!$A$62,'Données projet'!$B$62,AI8+AH9-AQ8)))</f>
        <v>2.4237866992766768</v>
      </c>
      <c r="AJ9" s="13">
        <f>AI9*VLOOKUP('Données projet'!$B$10,Paramètres!$A$1:$I$89,3,0)*VLOOKUP('Données projet'!$B$10,Paramètres!$A$1:$I$89,5,0)</f>
        <v>2.1174200604881053</v>
      </c>
      <c r="AK9" s="13">
        <f t="shared" si="35"/>
        <v>0.89420099882248405</v>
      </c>
      <c r="AL9" s="20">
        <f t="shared" si="4"/>
        <v>5.2452400116326094</v>
      </c>
      <c r="AM9" s="59">
        <f t="shared" si="5"/>
        <v>269.24524001163263</v>
      </c>
      <c r="AN9" s="59">
        <f ca="1">AVERAGE(OFFSET($AM$3,0,0,'Données projet'!$E$10+1,1))-AVERAGE(OFFSET($H$3,0,0,'Données projet'!$E$10+1,1))</f>
        <v>243.26825841283591</v>
      </c>
      <c r="AO9" s="59">
        <f t="shared" si="36"/>
        <v>179.2944312100729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1.6</v>
      </c>
      <c r="BD9" s="12">
        <f>IF('Données projet'!$A$88&gt;35,BD8+BC9-BL8,IF(A9&lt;'Données projet'!$A$88,$BA$205^A9,IF(A9='Données projet'!$A$88,'Données projet'!$B$88,BD8+BC9-BL8)))</f>
        <v>2.4237866992766768</v>
      </c>
      <c r="BE9" s="13">
        <f>BD9*VLOOKUP('Données projet'!$B$11,Paramètres!$A$1:$I$89,3,0)*VLOOKUP('Données projet'!$B$11,Paramètres!$A$1:$I$89,5,0)</f>
        <v>1.7771204079096596</v>
      </c>
      <c r="BF9" s="13">
        <f t="shared" si="37"/>
        <v>0.76595256921445709</v>
      </c>
      <c r="BG9" s="20">
        <f t="shared" si="7"/>
        <v>4.4291854351578364</v>
      </c>
      <c r="BH9" s="59">
        <f t="shared" si="8"/>
        <v>268.42918543515782</v>
      </c>
      <c r="BI9" s="59">
        <f ca="1">AVERAGE(OFFSET($BH$3,0,0,'Données projet'!$E$11+1,1))-AVERAGE(OFFSET($H$3,0,0,'Données projet'!$E$11+1,1))</f>
        <v>146.45728988963538</v>
      </c>
      <c r="BJ9" s="59">
        <f t="shared" si="38"/>
        <v>156.91778940341118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3.3726825379800407</v>
      </c>
      <c r="CA9" s="13">
        <f t="shared" si="39"/>
        <v>1.3491840083541735</v>
      </c>
      <c r="CB9" s="20">
        <f t="shared" si="10"/>
        <v>8.2239175681987557</v>
      </c>
      <c r="CC9" s="59">
        <f t="shared" si="11"/>
        <v>272.22391756819877</v>
      </c>
      <c r="CD9" s="59">
        <f ca="1">AVERAGE(OFFSET($CC$3,0,0,'Données projet'!$E$12+1,1))-AVERAGE(OFFSET($H$3,0,0,'Données projet'!$E$12+1,1))</f>
        <v>238.71022302719206</v>
      </c>
      <c r="CE9" s="59">
        <f t="shared" si="40"/>
        <v>294.28794439094878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2.4666666666666668</v>
      </c>
      <c r="CT9" s="12">
        <f>IF('Données projet'!$A$140&gt;35,CT8+CS9-DB8,IF(A9&lt;'Données projet'!$A$140,$CQ$205^A9,IF(A9='Données projet'!$A$140,'Données projet'!$B$140,CT8+CS9-DB8)))</f>
        <v>4.2391685997738069</v>
      </c>
      <c r="CU9" s="17">
        <f>CT9*VLOOKUP('Données projet'!$B$13,Paramètres!$A$1:$I$89,3,0)*VLOOKUP('Données projet'!$B$13,Paramètres!$A$1:$I$89,5,0)</f>
        <v>3.3726825379800407</v>
      </c>
      <c r="CV9" s="13">
        <f t="shared" si="41"/>
        <v>1.3491840083541735</v>
      </c>
      <c r="CW9" s="20">
        <f t="shared" si="13"/>
        <v>8.2239175681987557</v>
      </c>
      <c r="CX9" s="59">
        <f t="shared" si="14"/>
        <v>272.22391756819877</v>
      </c>
      <c r="CY9" s="59">
        <f ca="1">AVERAGE(OFFSET($CX$3,0,0,'Données projet'!$E$13+1,1))-AVERAGE(OFFSET($H$3,0,0,'Données projet'!$E$13+1,1))</f>
        <v>238.71022302719206</v>
      </c>
      <c r="CZ9" s="59">
        <f t="shared" si="42"/>
        <v>294.28794439094878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1.6</v>
      </c>
      <c r="DO9" s="12">
        <f>IF('Données projet'!$A$166&gt;35,DO8+DN9-DW8,IF(A9&lt;'Données projet'!$A$166,$DL$205^A9,IF(A9='Données projet'!$A$166,'Données projet'!$B$166,DO8+DN9-DW8)))</f>
        <v>2.4237866992766768</v>
      </c>
      <c r="DP9" s="17">
        <f>DO9*VLOOKUP('Données projet'!$B$14,Paramètres!$A$1:$I$89,3,0)*VLOOKUP('Données projet'!$B$14,Paramètres!$A$1:$I$89,5,0)</f>
        <v>2.0796089879793889</v>
      </c>
      <c r="DQ9" s="13">
        <f t="shared" si="43"/>
        <v>0.88007702261265608</v>
      </c>
      <c r="DR9" s="20">
        <f t="shared" si="16"/>
        <v>5.1547864684478117</v>
      </c>
      <c r="DS9" s="59">
        <f t="shared" si="17"/>
        <v>269.15478646844781</v>
      </c>
      <c r="DT9" s="59">
        <f ca="1">AVERAGE(OFFSET($DS$3,0,0,'Données projet'!$E$14+1,1))-AVERAGE(OFFSET($H$3,0,0,'Données projet'!$E$14+1,1))</f>
        <v>203.34232675618244</v>
      </c>
      <c r="DU9" s="59">
        <f t="shared" si="44"/>
        <v>176.81257896138806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2.1</v>
      </c>
      <c r="EJ9" s="12">
        <f>IF('Données projet'!$A$192&gt;35,EJ8+EI9-ER8,IF(A9&lt;'Données projet'!$A$192,$EG$205^A9,IF(A9='Données projet'!$A$192,'Données projet'!$B$192,EJ8+EI9-ER8)))</f>
        <v>3.0688438220956993</v>
      </c>
      <c r="EK9" s="17">
        <f>EJ9*VLOOKUP('Données projet'!$B$15,Paramètres!$A$1:$I$89,3,0)*VLOOKUP('Données projet'!$B$15,Paramètres!$A$1:$I$89,5,0)</f>
        <v>2.9681857447309605</v>
      </c>
      <c r="EL9" s="13">
        <f t="shared" si="45"/>
        <v>1.2051613041728233</v>
      </c>
      <c r="EM9" s="20">
        <f t="shared" si="19"/>
        <v>7.2685794435074236</v>
      </c>
      <c r="EN9" s="59">
        <f t="shared" si="20"/>
        <v>271.26857944350741</v>
      </c>
      <c r="EO9" s="59">
        <f ca="1">AVERAGE(OFFSET($EN$3,0,0,'Données projet'!$E$15+1,1))-AVERAGE(OFFSET($H$3,0,0,'Données projet'!$E$15+1,1))</f>
        <v>218.78765033569107</v>
      </c>
      <c r="EP9" s="59">
        <f t="shared" si="46"/>
        <v>246.54010105494137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2.4666666666666668</v>
      </c>
      <c r="FE9" s="12">
        <f>IF('Données projet'!$A$218&gt;35,FE8+FD9-FM8,IF(A9&lt;'Données projet'!$A$218,$FB$205^A9,IF(A9='Données projet'!$A$218,'Données projet'!$B$218,FE8+FD9-FM8)))</f>
        <v>4.2391685997738069</v>
      </c>
      <c r="FF9" s="17">
        <f>FE9*VLOOKUP('Données projet'!$B$16,Paramètres!$A$1:$I$89,3,0)*VLOOKUP('Données projet'!$B$16,Paramètres!$A$1:$I$89,5,0)</f>
        <v>2.7775032665717982</v>
      </c>
      <c r="FG9" s="13">
        <f t="shared" si="47"/>
        <v>1.1364890359842124</v>
      </c>
      <c r="FH9" s="20">
        <f t="shared" si="22"/>
        <v>6.8168699269517186</v>
      </c>
      <c r="FI9" s="59">
        <f t="shared" si="23"/>
        <v>270.81686992695171</v>
      </c>
      <c r="FJ9" s="59">
        <f ca="1">AVERAGE(OFFSET($FI$3,0,0,'Données projet'!$E$16+1,1))-AVERAGE(OFFSET($H$3,0,0,'Données projet'!$E$16+1,1))</f>
        <v>170.80796812111521</v>
      </c>
      <c r="FK9" s="59">
        <f t="shared" si="48"/>
        <v>249.84047400410321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274.08229683859719</v>
      </c>
      <c r="S10" s="59">
        <f ca="1">AVERAGE(OFFSET($R$3,0,0,'Données projet'!$E$9+1,1))-AVERAGE(OFFSET($H$3,0,0,'Données projet'!$E$9+1,1))</f>
        <v>333.02360594713667</v>
      </c>
      <c r="T10" s="59">
        <f t="shared" si="34"/>
        <v>546.58234447298014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1.6</v>
      </c>
      <c r="AI10" s="13">
        <f>IF('Données projet'!$A$62&gt;35,AI9+AH10-AQ9,IF(A10&lt;'Données projet'!$A$62,$AF$205^A10,IF(A10='Données projet'!$A$62,'Données projet'!$B$62,AI9+AH10-AQ9)))</f>
        <v>2.8091620812506162</v>
      </c>
      <c r="AJ10" s="13">
        <f>AI10*VLOOKUP('Données projet'!$B$10,Paramètres!$A$1:$I$89,3,0)*VLOOKUP('Données projet'!$B$10,Paramètres!$A$1:$I$89,5,0)</f>
        <v>2.4540839941805386</v>
      </c>
      <c r="AK10" s="13">
        <f t="shared" si="35"/>
        <v>1.0187282719971535</v>
      </c>
      <c r="AL10" s="20">
        <f t="shared" si="4"/>
        <v>6.0484813635928134</v>
      </c>
      <c r="AM10" s="59">
        <f t="shared" si="5"/>
        <v>271.27070358581506</v>
      </c>
      <c r="AN10" s="59">
        <f ca="1">AVERAGE(OFFSET($AM$3,0,0,'Données projet'!$E$10+1,1))-AVERAGE(OFFSET($H$3,0,0,'Données projet'!$E$10+1,1))</f>
        <v>243.26825841283591</v>
      </c>
      <c r="AO10" s="59">
        <f t="shared" si="36"/>
        <v>179.2944312100729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1.6</v>
      </c>
      <c r="BD10" s="12">
        <f>IF('Données projet'!$A$88&gt;35,BD9+BC10-BL9,IF(A10&lt;'Données projet'!$A$88,$BA$205^A10,IF(A10='Données projet'!$A$88,'Données projet'!$B$88,BD9+BC10-BL9)))</f>
        <v>2.8091620812506162</v>
      </c>
      <c r="BE10" s="13">
        <f>BD10*VLOOKUP('Données projet'!$B$11,Paramètres!$A$1:$I$89,3,0)*VLOOKUP('Données projet'!$B$11,Paramètres!$A$1:$I$89,5,0)</f>
        <v>2.059677637972952</v>
      </c>
      <c r="BF10" s="13">
        <f t="shared" si="37"/>
        <v>0.87261984530899417</v>
      </c>
      <c r="BG10" s="20">
        <f t="shared" si="7"/>
        <v>5.1070847833827226</v>
      </c>
      <c r="BH10" s="59">
        <f t="shared" si="8"/>
        <v>270.32930700560496</v>
      </c>
      <c r="BI10" s="59">
        <f ca="1">AVERAGE(OFFSET($BH$3,0,0,'Données projet'!$E$11+1,1))-AVERAGE(OFFSET($H$3,0,0,'Données projet'!$E$11+1,1))</f>
        <v>146.45728988963538</v>
      </c>
      <c r="BJ10" s="59">
        <f t="shared" si="38"/>
        <v>156.91778940341118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4.2906416644942853</v>
      </c>
      <c r="CA10" s="13">
        <f t="shared" si="39"/>
        <v>1.6689707336887791</v>
      </c>
      <c r="CB10" s="20">
        <f t="shared" si="10"/>
        <v>10.379658260168837</v>
      </c>
      <c r="CC10" s="59">
        <f t="shared" si="11"/>
        <v>275.60188048239104</v>
      </c>
      <c r="CD10" s="59">
        <f ca="1">AVERAGE(OFFSET($CC$3,0,0,'Données projet'!$E$12+1,1))-AVERAGE(OFFSET($H$3,0,0,'Données projet'!$E$12+1,1))</f>
        <v>238.71022302719206</v>
      </c>
      <c r="CE10" s="59">
        <f t="shared" si="40"/>
        <v>294.28794439094878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2.4666666666666668</v>
      </c>
      <c r="CT10" s="12">
        <f>IF('Données projet'!$A$140&gt;35,CT9+CS10-DB9,IF(A10&lt;'Données projet'!$A$140,$CQ$205^A10,IF(A10='Données projet'!$A$140,'Données projet'!$B$140,CT9+CS10-DB9)))</f>
        <v>5.3929633792034757</v>
      </c>
      <c r="CU10" s="17">
        <f>CT10*VLOOKUP('Données projet'!$B$13,Paramètres!$A$1:$I$89,3,0)*VLOOKUP('Données projet'!$B$13,Paramètres!$A$1:$I$89,5,0)</f>
        <v>4.2906416644942853</v>
      </c>
      <c r="CV10" s="13">
        <f t="shared" si="41"/>
        <v>1.6689707336887791</v>
      </c>
      <c r="CW10" s="20">
        <f t="shared" si="13"/>
        <v>10.379658260168837</v>
      </c>
      <c r="CX10" s="59">
        <f t="shared" si="14"/>
        <v>275.60188048239104</v>
      </c>
      <c r="CY10" s="59">
        <f ca="1">AVERAGE(OFFSET($CX$3,0,0,'Données projet'!$E$13+1,1))-AVERAGE(OFFSET($H$3,0,0,'Données projet'!$E$13+1,1))</f>
        <v>238.71022302719206</v>
      </c>
      <c r="CZ10" s="59">
        <f t="shared" si="42"/>
        <v>294.28794439094878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1.6</v>
      </c>
      <c r="DO10" s="12">
        <f>IF('Données projet'!$A$166&gt;35,DO9+DN10-DW9,IF(A10&lt;'Données projet'!$A$166,$DL$205^A10,IF(A10='Données projet'!$A$166,'Données projet'!$B$166,DO9+DN10-DW9)))</f>
        <v>2.8091620812506162</v>
      </c>
      <c r="DP10" s="17">
        <f>DO10*VLOOKUP('Données projet'!$B$14,Paramètres!$A$1:$I$89,3,0)*VLOOKUP('Données projet'!$B$14,Paramètres!$A$1:$I$89,5,0)</f>
        <v>2.410261065713029</v>
      </c>
      <c r="DQ10" s="13">
        <f t="shared" si="43"/>
        <v>1.0026373775596455</v>
      </c>
      <c r="DR10" s="20">
        <f t="shared" si="16"/>
        <v>5.9441314553665761</v>
      </c>
      <c r="DS10" s="59">
        <f t="shared" si="17"/>
        <v>271.1663536775888</v>
      </c>
      <c r="DT10" s="59">
        <f ca="1">AVERAGE(OFFSET($DS$3,0,0,'Données projet'!$E$14+1,1))-AVERAGE(OFFSET($H$3,0,0,'Données projet'!$E$14+1,1))</f>
        <v>203.34232675618244</v>
      </c>
      <c r="DU10" s="59">
        <f t="shared" si="44"/>
        <v>176.81257896138806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2.1</v>
      </c>
      <c r="EJ10" s="12">
        <f>IF('Données projet'!$A$192&gt;35,EJ9+EI10-ER9,IF(A10&lt;'Données projet'!$A$192,$EG$205^A10,IF(A10='Données projet'!$A$192,'Données projet'!$B$192,EJ9+EI10-ER9)))</f>
        <v>3.6994507637402658</v>
      </c>
      <c r="EK10" s="17">
        <f>EJ10*VLOOKUP('Données projet'!$B$15,Paramètres!$A$1:$I$89,3,0)*VLOOKUP('Données projet'!$B$15,Paramètres!$A$1:$I$89,5,0)</f>
        <v>3.5781087786895851</v>
      </c>
      <c r="EL10" s="13">
        <f t="shared" si="45"/>
        <v>1.4215440842341414</v>
      </c>
      <c r="EM10" s="20">
        <f t="shared" si="19"/>
        <v>8.707728736258824</v>
      </c>
      <c r="EN10" s="59">
        <f t="shared" si="20"/>
        <v>273.92995095848107</v>
      </c>
      <c r="EO10" s="59">
        <f ca="1">AVERAGE(OFFSET($EN$3,0,0,'Données projet'!$E$15+1,1))-AVERAGE(OFFSET($H$3,0,0,'Données projet'!$E$15+1,1))</f>
        <v>218.78765033569107</v>
      </c>
      <c r="EP10" s="59">
        <f t="shared" si="46"/>
        <v>246.54010105494137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2.4666666666666668</v>
      </c>
      <c r="FE10" s="12">
        <f>IF('Données projet'!$A$218&gt;35,FE9+FD10-FM9,IF(A10&lt;'Données projet'!$A$218,$FB$205^A10,IF(A10='Données projet'!$A$218,'Données projet'!$B$218,FE9+FD10-FM9)))</f>
        <v>5.3929633792034757</v>
      </c>
      <c r="FF10" s="17">
        <f>FE10*VLOOKUP('Données projet'!$B$16,Paramètres!$A$1:$I$89,3,0)*VLOOKUP('Données projet'!$B$16,Paramètres!$A$1:$I$89,5,0)</f>
        <v>3.5334696060541173</v>
      </c>
      <c r="FG10" s="13">
        <f t="shared" si="47"/>
        <v>1.4058623052682262</v>
      </c>
      <c r="FH10" s="20">
        <f t="shared" si="22"/>
        <v>8.6026697455530794</v>
      </c>
      <c r="FI10" s="59">
        <f t="shared" si="23"/>
        <v>273.82489196777533</v>
      </c>
      <c r="FJ10" s="59">
        <f ca="1">AVERAGE(OFFSET($FI$3,0,0,'Données projet'!$E$16+1,1))-AVERAGE(OFFSET($H$3,0,0,'Données projet'!$E$16+1,1))</f>
        <v>170.80796812111521</v>
      </c>
      <c r="FK10" s="59">
        <f t="shared" si="48"/>
        <v>249.84047400410321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277.9240604336527</v>
      </c>
      <c r="S11" s="59">
        <f ca="1">AVERAGE(OFFSET($R$3,0,0,'Données projet'!$E$9+1,1))-AVERAGE(OFFSET($H$3,0,0,'Données projet'!$E$9+1,1))</f>
        <v>333.02360594713667</v>
      </c>
      <c r="T11" s="59">
        <f t="shared" si="34"/>
        <v>546.58234447298014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1.6</v>
      </c>
      <c r="AI11" s="13">
        <f>IF('Données projet'!$A$62&gt;35,AI10+AH11-AQ10,IF(A11&lt;'Données projet'!$A$62,$AF$205^A11,IF(A11='Données projet'!$A$62,'Données projet'!$B$62,AI10+AH11-AQ10)))</f>
        <v>3.2558110831663929</v>
      </c>
      <c r="AJ11" s="13">
        <f>AI11*VLOOKUP('Données projet'!$B$10,Paramètres!$A$1:$I$89,3,0)*VLOOKUP('Données projet'!$B$10,Paramètres!$A$1:$I$89,5,0)</f>
        <v>2.8442765622541613</v>
      </c>
      <c r="AK11" s="13">
        <f t="shared" si="35"/>
        <v>1.1605973305027932</v>
      </c>
      <c r="AL11" s="20">
        <f t="shared" si="4"/>
        <v>6.975155363218362</v>
      </c>
      <c r="AM11" s="59">
        <f t="shared" si="5"/>
        <v>273.41959980766279</v>
      </c>
      <c r="AN11" s="59">
        <f ca="1">AVERAGE(OFFSET($AM$3,0,0,'Données projet'!$E$10+1,1))-AVERAGE(OFFSET($H$3,0,0,'Données projet'!$E$10+1,1))</f>
        <v>243.26825841283591</v>
      </c>
      <c r="AO11" s="59">
        <f t="shared" si="36"/>
        <v>179.2944312100729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1.6</v>
      </c>
      <c r="BD11" s="12">
        <f>IF('Données projet'!$A$88&gt;35,BD10+BC11-BL10,IF(A11&lt;'Données projet'!$A$88,$BA$205^A11,IF(A11='Données projet'!$A$88,'Données projet'!$B$88,BD10+BC11-BL10)))</f>
        <v>3.2558110831663929</v>
      </c>
      <c r="BE11" s="13">
        <f>BD11*VLOOKUP('Données projet'!$B$11,Paramètres!$A$1:$I$89,3,0)*VLOOKUP('Données projet'!$B$11,Paramètres!$A$1:$I$89,5,0)</f>
        <v>2.3871606861775994</v>
      </c>
      <c r="BF11" s="13">
        <f t="shared" si="37"/>
        <v>0.99414170672217173</v>
      </c>
      <c r="BG11" s="20">
        <f t="shared" si="7"/>
        <v>5.8891016676337671</v>
      </c>
      <c r="BH11" s="59">
        <f t="shared" si="8"/>
        <v>272.33354611207824</v>
      </c>
      <c r="BI11" s="59">
        <f ca="1">AVERAGE(OFFSET($BH$3,0,0,'Données projet'!$E$11+1,1))-AVERAGE(OFFSET($H$3,0,0,'Données projet'!$E$11+1,1))</f>
        <v>146.45728988963538</v>
      </c>
      <c r="BJ11" s="59">
        <f t="shared" si="38"/>
        <v>156.91778940341118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5.4584461139707896</v>
      </c>
      <c r="CA11" s="13">
        <f t="shared" si="39"/>
        <v>2.0645540509389519</v>
      </c>
      <c r="CB11" s="20">
        <f t="shared" si="10"/>
        <v>13.102558620551131</v>
      </c>
      <c r="CC11" s="59">
        <f t="shared" si="11"/>
        <v>279.54700306499558</v>
      </c>
      <c r="CD11" s="59">
        <f ca="1">AVERAGE(OFFSET($CC$3,0,0,'Données projet'!$E$12+1,1))-AVERAGE(OFFSET($H$3,0,0,'Données projet'!$E$12+1,1))</f>
        <v>238.71022302719206</v>
      </c>
      <c r="CE11" s="59">
        <f t="shared" si="40"/>
        <v>294.28794439094878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2.4666666666666668</v>
      </c>
      <c r="CT11" s="12">
        <f>IF('Données projet'!$A$140&gt;35,CT10+CS11-DB10,IF(A11&lt;'Données projet'!$A$140,$CQ$205^A11,IF(A11='Données projet'!$A$140,'Données projet'!$B$140,CT10+CS11-DB10)))</f>
        <v>6.8607919984549888</v>
      </c>
      <c r="CU11" s="17">
        <f>CT11*VLOOKUP('Données projet'!$B$13,Paramètres!$A$1:$I$89,3,0)*VLOOKUP('Données projet'!$B$13,Paramètres!$A$1:$I$89,5,0)</f>
        <v>5.4584461139707896</v>
      </c>
      <c r="CV11" s="13">
        <f t="shared" si="41"/>
        <v>2.0645540509389519</v>
      </c>
      <c r="CW11" s="20">
        <f t="shared" si="13"/>
        <v>13.102558620551131</v>
      </c>
      <c r="CX11" s="59">
        <f t="shared" si="14"/>
        <v>279.54700306499558</v>
      </c>
      <c r="CY11" s="59">
        <f ca="1">AVERAGE(OFFSET($CX$3,0,0,'Données projet'!$E$13+1,1))-AVERAGE(OFFSET($H$3,0,0,'Données projet'!$E$13+1,1))</f>
        <v>238.71022302719206</v>
      </c>
      <c r="CZ11" s="59">
        <f t="shared" si="42"/>
        <v>294.28794439094878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1.6</v>
      </c>
      <c r="DO11" s="12">
        <f>IF('Données projet'!$A$166&gt;35,DO10+DN11-DW10,IF(A11&lt;'Données projet'!$A$166,$DL$205^A11,IF(A11='Données projet'!$A$166,'Données projet'!$B$166,DO10+DN11-DW10)))</f>
        <v>3.2558110831663929</v>
      </c>
      <c r="DP11" s="17">
        <f>DO11*VLOOKUP('Données projet'!$B$14,Paramètres!$A$1:$I$89,3,0)*VLOOKUP('Données projet'!$B$14,Paramètres!$A$1:$I$89,5,0)</f>
        <v>2.7934859093567654</v>
      </c>
      <c r="DQ11" s="13">
        <f t="shared" si="43"/>
        <v>1.1422656029529505</v>
      </c>
      <c r="DR11" s="20">
        <f t="shared" si="16"/>
        <v>6.8547672172727552</v>
      </c>
      <c r="DS11" s="59">
        <f t="shared" si="17"/>
        <v>273.29921166171721</v>
      </c>
      <c r="DT11" s="59">
        <f ca="1">AVERAGE(OFFSET($DS$3,0,0,'Données projet'!$E$14+1,1))-AVERAGE(OFFSET($H$3,0,0,'Données projet'!$E$14+1,1))</f>
        <v>203.34232675618244</v>
      </c>
      <c r="DU11" s="59">
        <f t="shared" si="44"/>
        <v>176.81257896138806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2.1</v>
      </c>
      <c r="EJ11" s="12">
        <f>IF('Données projet'!$A$192&gt;35,EJ10+EI11-ER10,IF(A11&lt;'Données projet'!$A$192,$EG$205^A11,IF(A11='Données projet'!$A$192,'Données projet'!$B$192,EJ10+EI11-ER10)))</f>
        <v>4.4596391171162209</v>
      </c>
      <c r="EK11" s="17">
        <f>EJ11*VLOOKUP('Données projet'!$B$15,Paramètres!$A$1:$I$89,3,0)*VLOOKUP('Données projet'!$B$15,Paramètres!$A$1:$I$89,5,0)</f>
        <v>4.3133629540748091</v>
      </c>
      <c r="EL11" s="13">
        <f t="shared" si="45"/>
        <v>1.6767776864592203</v>
      </c>
      <c r="EM11" s="20">
        <f t="shared" si="19"/>
        <v>10.432828282263435</v>
      </c>
      <c r="EN11" s="59">
        <f t="shared" si="20"/>
        <v>276.87727272670787</v>
      </c>
      <c r="EO11" s="59">
        <f ca="1">AVERAGE(OFFSET($EN$3,0,0,'Données projet'!$E$15+1,1))-AVERAGE(OFFSET($H$3,0,0,'Données projet'!$E$15+1,1))</f>
        <v>218.78765033569107</v>
      </c>
      <c r="EP11" s="59">
        <f t="shared" si="46"/>
        <v>246.54010105494137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2.4666666666666668</v>
      </c>
      <c r="FE11" s="12">
        <f>IF('Données projet'!$A$218&gt;35,FE10+FD11-FM10,IF(A11&lt;'Données projet'!$A$218,$FB$205^A11,IF(A11='Données projet'!$A$218,'Données projet'!$B$218,FE10+FD11-FM10)))</f>
        <v>6.8607919984549888</v>
      </c>
      <c r="FF11" s="17">
        <f>FE11*VLOOKUP('Données projet'!$B$16,Paramètres!$A$1:$I$89,3,0)*VLOOKUP('Données projet'!$B$16,Paramètres!$A$1:$I$89,5,0)</f>
        <v>4.4951909173877089</v>
      </c>
      <c r="FG11" s="13">
        <f t="shared" si="47"/>
        <v>1.7390830520969034</v>
      </c>
      <c r="FH11" s="20">
        <f t="shared" si="22"/>
        <v>10.858027163519033</v>
      </c>
      <c r="FI11" s="59">
        <f t="shared" si="23"/>
        <v>277.30247160796347</v>
      </c>
      <c r="FJ11" s="59">
        <f ca="1">AVERAGE(OFFSET($FI$3,0,0,'Données projet'!$E$16+1,1))-AVERAGE(OFFSET($H$3,0,0,'Données projet'!$E$16+1,1))</f>
        <v>170.80796812111521</v>
      </c>
      <c r="FK11" s="59">
        <f t="shared" si="48"/>
        <v>249.84047400410321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282.54320716865197</v>
      </c>
      <c r="S12" s="59">
        <f ca="1">AVERAGE(OFFSET($R$3,0,0,'Données projet'!$E$9+1,1))-AVERAGE(OFFSET($H$3,0,0,'Données projet'!$E$9+1,1))</f>
        <v>333.02360594713667</v>
      </c>
      <c r="T12" s="59">
        <f t="shared" si="34"/>
        <v>546.58234447298014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1.6</v>
      </c>
      <c r="AI12" s="13">
        <f>IF('Données projet'!$A$62&gt;35,AI11+AH12-AQ11,IF(A12&lt;'Données projet'!$A$62,$AF$205^A12,IF(A12='Données projet'!$A$62,'Données projet'!$B$62,AI11+AH12-AQ11)))</f>
        <v>3.7734760411367758</v>
      </c>
      <c r="AJ12" s="13">
        <f>AI12*VLOOKUP('Données projet'!$B$10,Paramètres!$A$1:$I$89,3,0)*VLOOKUP('Données projet'!$B$10,Paramètres!$A$1:$I$89,5,0)</f>
        <v>3.2965086695370878</v>
      </c>
      <c r="AK12" s="13">
        <f t="shared" si="35"/>
        <v>1.3222232076955396</v>
      </c>
      <c r="AL12" s="20">
        <f t="shared" si="4"/>
        <v>8.0442913528468249</v>
      </c>
      <c r="AM12" s="59">
        <f t="shared" si="5"/>
        <v>275.7109580195135</v>
      </c>
      <c r="AN12" s="59">
        <f ca="1">AVERAGE(OFFSET($AM$3,0,0,'Données projet'!$E$10+1,1))-AVERAGE(OFFSET($H$3,0,0,'Données projet'!$E$10+1,1))</f>
        <v>243.26825841283591</v>
      </c>
      <c r="AO12" s="59">
        <f t="shared" si="36"/>
        <v>179.2944312100729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1.6</v>
      </c>
      <c r="BD12" s="12">
        <f>IF('Données projet'!$A$88&gt;35,BD11+BC12-BL11,IF(A12&lt;'Données projet'!$A$88,$BA$205^A12,IF(A12='Données projet'!$A$88,'Données projet'!$B$88,BD11+BC12-BL11)))</f>
        <v>3.7734760411367758</v>
      </c>
      <c r="BE12" s="13">
        <f>BD12*VLOOKUP('Données projet'!$B$11,Paramètres!$A$1:$I$89,3,0)*VLOOKUP('Données projet'!$B$11,Paramètres!$A$1:$I$89,5,0)</f>
        <v>2.7667126333614838</v>
      </c>
      <c r="BF12" s="13">
        <f t="shared" si="37"/>
        <v>1.1325868169941857</v>
      </c>
      <c r="BG12" s="20">
        <f t="shared" si="7"/>
        <v>6.7912798760361239</v>
      </c>
      <c r="BH12" s="59">
        <f t="shared" si="8"/>
        <v>274.45794654270281</v>
      </c>
      <c r="BI12" s="59">
        <f ca="1">AVERAGE(OFFSET($BH$3,0,0,'Données projet'!$E$11+1,1))-AVERAGE(OFFSET($H$3,0,0,'Données projet'!$E$11+1,1))</f>
        <v>146.45728988963538</v>
      </c>
      <c r="BJ12" s="59">
        <f t="shared" si="38"/>
        <v>156.91778940341118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6.9440974821267289</v>
      </c>
      <c r="CA12" s="13">
        <f t="shared" si="39"/>
        <v>2.5538994442566798</v>
      </c>
      <c r="CB12" s="20">
        <f t="shared" si="10"/>
        <v>16.542344646784436</v>
      </c>
      <c r="CC12" s="59">
        <f t="shared" si="11"/>
        <v>284.20901131345113</v>
      </c>
      <c r="CD12" s="59">
        <f ca="1">AVERAGE(OFFSET($CC$3,0,0,'Données projet'!$E$12+1,1))-AVERAGE(OFFSET($H$3,0,0,'Données projet'!$E$12+1,1))</f>
        <v>238.71022302719206</v>
      </c>
      <c r="CE12" s="59">
        <f t="shared" si="40"/>
        <v>294.28794439094878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2.4666666666666668</v>
      </c>
      <c r="CT12" s="12">
        <f>IF('Données projet'!$A$140&gt;35,CT11+CS12-DB11,IF(A12&lt;'Données projet'!$A$140,$CQ$205^A12,IF(A12='Données projet'!$A$140,'Données projet'!$B$140,CT11+CS12-DB11)))</f>
        <v>8.7281265486761299</v>
      </c>
      <c r="CU12" s="17">
        <f>CT12*VLOOKUP('Données projet'!$B$13,Paramètres!$A$1:$I$89,3,0)*VLOOKUP('Données projet'!$B$13,Paramètres!$A$1:$I$89,5,0)</f>
        <v>6.9440974821267289</v>
      </c>
      <c r="CV12" s="13">
        <f t="shared" si="41"/>
        <v>2.5538994442566798</v>
      </c>
      <c r="CW12" s="20">
        <f t="shared" si="13"/>
        <v>16.542344646784436</v>
      </c>
      <c r="CX12" s="59">
        <f t="shared" si="14"/>
        <v>284.20901131345113</v>
      </c>
      <c r="CY12" s="59">
        <f ca="1">AVERAGE(OFFSET($CX$3,0,0,'Données projet'!$E$13+1,1))-AVERAGE(OFFSET($H$3,0,0,'Données projet'!$E$13+1,1))</f>
        <v>238.71022302719206</v>
      </c>
      <c r="CZ12" s="59">
        <f t="shared" si="42"/>
        <v>294.28794439094878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1.6</v>
      </c>
      <c r="DO12" s="12">
        <f>IF('Données projet'!$A$166&gt;35,DO11+DN12-DW11,IF(A12&lt;'Données projet'!$A$166,$DL$205^A12,IF(A12='Données projet'!$A$166,'Données projet'!$B$166,DO11+DN12-DW11)))</f>
        <v>3.7734760411367758</v>
      </c>
      <c r="DP12" s="17">
        <f>DO12*VLOOKUP('Données projet'!$B$14,Paramètres!$A$1:$I$89,3,0)*VLOOKUP('Données projet'!$B$14,Paramètres!$A$1:$I$89,5,0)</f>
        <v>3.2376424432953543</v>
      </c>
      <c r="DQ12" s="13">
        <f t="shared" si="43"/>
        <v>1.3013385865039213</v>
      </c>
      <c r="DR12" s="20">
        <f t="shared" si="16"/>
        <v>7.9053919602337386</v>
      </c>
      <c r="DS12" s="59">
        <f t="shared" si="17"/>
        <v>275.5720586269004</v>
      </c>
      <c r="DT12" s="59">
        <f ca="1">AVERAGE(OFFSET($DS$3,0,0,'Données projet'!$E$14+1,1))-AVERAGE(OFFSET($H$3,0,0,'Données projet'!$E$14+1,1))</f>
        <v>203.34232675618244</v>
      </c>
      <c r="DU12" s="59">
        <f t="shared" si="44"/>
        <v>176.81257896138806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2.1</v>
      </c>
      <c r="EJ12" s="12">
        <f>IF('Données projet'!$A$192&gt;35,EJ11+EI12-ER11,IF(A12&lt;'Données projet'!$A$192,$EG$205^A12,IF(A12='Données projet'!$A$192,'Données projet'!$B$192,EJ11+EI12-ER11)))</f>
        <v>5.3760361537574148</v>
      </c>
      <c r="EK12" s="17">
        <f>EJ12*VLOOKUP('Données projet'!$B$15,Paramètres!$A$1:$I$89,3,0)*VLOOKUP('Données projet'!$B$15,Paramètres!$A$1:$I$89,5,0)</f>
        <v>5.1997021679141717</v>
      </c>
      <c r="EL12" s="13">
        <f t="shared" si="45"/>
        <v>1.977837649208241</v>
      </c>
      <c r="EM12" s="20">
        <f t="shared" si="19"/>
        <v>12.500881848154869</v>
      </c>
      <c r="EN12" s="59">
        <f t="shared" si="20"/>
        <v>280.16754851482153</v>
      </c>
      <c r="EO12" s="59">
        <f ca="1">AVERAGE(OFFSET($EN$3,0,0,'Données projet'!$E$15+1,1))-AVERAGE(OFFSET($H$3,0,0,'Données projet'!$E$15+1,1))</f>
        <v>218.78765033569107</v>
      </c>
      <c r="EP12" s="59">
        <f t="shared" si="46"/>
        <v>246.54010105494137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2.4666666666666668</v>
      </c>
      <c r="FE12" s="12">
        <f>IF('Données projet'!$A$218&gt;35,FE11+FD12-FM11,IF(A12&lt;'Données projet'!$A$218,$FB$205^A12,IF(A12='Données projet'!$A$218,'Données projet'!$B$218,FE11+FD12-FM11)))</f>
        <v>8.7281265486761299</v>
      </c>
      <c r="FF12" s="17">
        <f>FE12*VLOOKUP('Données projet'!$B$16,Paramètres!$A$1:$I$89,3,0)*VLOOKUP('Données projet'!$B$16,Paramètres!$A$1:$I$89,5,0)</f>
        <v>5.7186685146926006</v>
      </c>
      <c r="FG12" s="13">
        <f t="shared" si="47"/>
        <v>2.1512845537982104</v>
      </c>
      <c r="FH12" s="20">
        <f t="shared" si="22"/>
        <v>13.706834927621495</v>
      </c>
      <c r="FI12" s="59">
        <f t="shared" si="23"/>
        <v>281.3735015942882</v>
      </c>
      <c r="FJ12" s="59">
        <f ca="1">AVERAGE(OFFSET($FI$3,0,0,'Données projet'!$E$16+1,1))-AVERAGE(OFFSET($H$3,0,0,'Données projet'!$E$16+1,1))</f>
        <v>170.80796812111521</v>
      </c>
      <c r="FK12" s="59">
        <f t="shared" si="48"/>
        <v>249.84047400410321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288.17123899352742</v>
      </c>
      <c r="S13" s="59">
        <f ca="1">AVERAGE(OFFSET($R$3,0,0,'Données projet'!$E$9+1,1))-AVERAGE(OFFSET($H$3,0,0,'Données projet'!$E$9+1,1))</f>
        <v>333.02360594713667</v>
      </c>
      <c r="T13" s="59">
        <f t="shared" si="34"/>
        <v>546.58234447298014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1.6</v>
      </c>
      <c r="AI13" s="13">
        <f>IF('Données projet'!$A$62&gt;35,AI12+AH13-AQ12,IF(A13&lt;'Données projet'!$A$62,$AF$205^A13,IF(A13='Données projet'!$A$62,'Données projet'!$B$62,AI12+AH13-AQ12)))</f>
        <v>4.3734482957731124</v>
      </c>
      <c r="AJ13" s="13">
        <f>AI13*VLOOKUP('Données projet'!$B$10,Paramètres!$A$1:$I$89,3,0)*VLOOKUP('Données projet'!$B$10,Paramètres!$A$1:$I$89,5,0)</f>
        <v>3.8206444311873913</v>
      </c>
      <c r="AK13" s="13">
        <f t="shared" si="35"/>
        <v>1.5063572567509651</v>
      </c>
      <c r="AL13" s="20">
        <f t="shared" si="4"/>
        <v>9.2778612731593029</v>
      </c>
      <c r="AM13" s="59">
        <f t="shared" si="5"/>
        <v>278.16675016204817</v>
      </c>
      <c r="AN13" s="59">
        <f ca="1">AVERAGE(OFFSET($AM$3,0,0,'Données projet'!$E$10+1,1))-AVERAGE(OFFSET($H$3,0,0,'Données projet'!$E$10+1,1))</f>
        <v>243.26825841283591</v>
      </c>
      <c r="AO13" s="59">
        <f t="shared" si="36"/>
        <v>179.2944312100729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1.6</v>
      </c>
      <c r="BD13" s="12">
        <f>IF('Données projet'!$A$88&gt;35,BD12+BC13-BL12,IF(A13&lt;'Données projet'!$A$88,$BA$205^A13,IF(A13='Données projet'!$A$88,'Données projet'!$B$88,BD12+BC13-BL12)))</f>
        <v>4.3734482957731124</v>
      </c>
      <c r="BE13" s="13">
        <f>BD13*VLOOKUP('Données projet'!$B$11,Paramètres!$A$1:$I$89,3,0)*VLOOKUP('Données projet'!$B$11,Paramètres!$A$1:$I$89,5,0)</f>
        <v>3.2066122904608458</v>
      </c>
      <c r="BF13" s="13">
        <f t="shared" si="37"/>
        <v>1.2903119236979226</v>
      </c>
      <c r="BG13" s="20">
        <f t="shared" si="7"/>
        <v>7.8321430063265218</v>
      </c>
      <c r="BH13" s="59">
        <f t="shared" si="8"/>
        <v>276.72103189521539</v>
      </c>
      <c r="BI13" s="59">
        <f ca="1">AVERAGE(OFFSET($BH$3,0,0,'Données projet'!$E$11+1,1))-AVERAGE(OFFSET($H$3,0,0,'Données projet'!$E$11+1,1))</f>
        <v>146.45728988963538</v>
      </c>
      <c r="BJ13" s="59">
        <f t="shared" si="38"/>
        <v>156.91778940341118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8.8341056840076444</v>
      </c>
      <c r="CA13" s="13">
        <f t="shared" si="39"/>
        <v>3.1592306185484516</v>
      </c>
      <c r="CB13" s="20">
        <f t="shared" si="10"/>
        <v>20.888394060285197</v>
      </c>
      <c r="CC13" s="59">
        <f t="shared" si="11"/>
        <v>289.77728294917404</v>
      </c>
      <c r="CD13" s="59">
        <f ca="1">AVERAGE(OFFSET($CC$3,0,0,'Données projet'!$E$12+1,1))-AVERAGE(OFFSET($H$3,0,0,'Données projet'!$E$12+1,1))</f>
        <v>238.71022302719206</v>
      </c>
      <c r="CE13" s="59">
        <f t="shared" si="40"/>
        <v>294.28794439094878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2.4666666666666668</v>
      </c>
      <c r="CT13" s="12">
        <f>IF('Données projet'!$A$140&gt;35,CT12+CS13-DB12,IF(A13&lt;'Données projet'!$A$140,$CQ$205^A13,IF(A13='Données projet'!$A$140,'Données projet'!$B$140,CT12+CS13-DB12)))</f>
        <v>11.103702468586782</v>
      </c>
      <c r="CU13" s="17">
        <f>CT13*VLOOKUP('Données projet'!$B$13,Paramètres!$A$1:$I$89,3,0)*VLOOKUP('Données projet'!$B$13,Paramètres!$A$1:$I$89,5,0)</f>
        <v>8.8341056840076444</v>
      </c>
      <c r="CV13" s="13">
        <f t="shared" si="41"/>
        <v>3.1592306185484516</v>
      </c>
      <c r="CW13" s="20">
        <f t="shared" si="13"/>
        <v>20.888394060285197</v>
      </c>
      <c r="CX13" s="59">
        <f t="shared" si="14"/>
        <v>289.77728294917404</v>
      </c>
      <c r="CY13" s="59">
        <f ca="1">AVERAGE(OFFSET($CX$3,0,0,'Données projet'!$E$13+1,1))-AVERAGE(OFFSET($H$3,0,0,'Données projet'!$E$13+1,1))</f>
        <v>238.71022302719206</v>
      </c>
      <c r="CZ13" s="59">
        <f t="shared" si="42"/>
        <v>294.28794439094878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1.6</v>
      </c>
      <c r="DO13" s="12">
        <f>IF('Données projet'!$A$166&gt;35,DO12+DN13-DW12,IF(A13&lt;'Données projet'!$A$166,$DL$205^A13,IF(A13='Données projet'!$A$166,'Données projet'!$B$166,DO12+DN13-DW12)))</f>
        <v>4.3734482957731124</v>
      </c>
      <c r="DP13" s="17">
        <f>DO13*VLOOKUP('Données projet'!$B$14,Paramètres!$A$1:$I$89,3,0)*VLOOKUP('Données projet'!$B$14,Paramètres!$A$1:$I$89,5,0)</f>
        <v>3.7524186377733306</v>
      </c>
      <c r="DQ13" s="13">
        <f t="shared" si="43"/>
        <v>1.482564223544931</v>
      </c>
      <c r="DR13" s="20">
        <f t="shared" si="16"/>
        <v>9.117595150129306</v>
      </c>
      <c r="DS13" s="59">
        <f t="shared" si="17"/>
        <v>278.00648403901818</v>
      </c>
      <c r="DT13" s="59">
        <f ca="1">AVERAGE(OFFSET($DS$3,0,0,'Données projet'!$E$14+1,1))-AVERAGE(OFFSET($H$3,0,0,'Données projet'!$E$14+1,1))</f>
        <v>203.34232675618244</v>
      </c>
      <c r="DU13" s="59">
        <f t="shared" si="44"/>
        <v>176.81257896138806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2.1</v>
      </c>
      <c r="EJ13" s="12">
        <f>IF('Données projet'!$A$192&gt;35,EJ12+EI13-ER12,IF(A13&lt;'Données projet'!$A$192,$EG$205^A13,IF(A13='Données projet'!$A$192,'Données projet'!$B$192,EJ12+EI13-ER12)))</f>
        <v>6.4807406984078657</v>
      </c>
      <c r="EK13" s="17">
        <f>EJ13*VLOOKUP('Données projet'!$B$15,Paramètres!$A$1:$I$89,3,0)*VLOOKUP('Données projet'!$B$15,Paramètres!$A$1:$I$89,5,0)</f>
        <v>6.2681724035000874</v>
      </c>
      <c r="EL13" s="13">
        <f t="shared" si="45"/>
        <v>2.3329519459947301</v>
      </c>
      <c r="EM13" s="20">
        <f t="shared" si="19"/>
        <v>14.98029157537014</v>
      </c>
      <c r="EN13" s="59">
        <f t="shared" si="20"/>
        <v>283.86918046425899</v>
      </c>
      <c r="EO13" s="59">
        <f ca="1">AVERAGE(OFFSET($EN$3,0,0,'Données projet'!$E$15+1,1))-AVERAGE(OFFSET($H$3,0,0,'Données projet'!$E$15+1,1))</f>
        <v>218.78765033569107</v>
      </c>
      <c r="EP13" s="59">
        <f t="shared" si="46"/>
        <v>246.54010105494137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2.4666666666666668</v>
      </c>
      <c r="FE13" s="12">
        <f>IF('Données projet'!$A$218&gt;35,FE12+FD13-FM12,IF(A13&lt;'Données projet'!$A$218,$FB$205^A13,IF(A13='Données projet'!$A$218,'Données projet'!$B$218,FE12+FD13-FM12)))</f>
        <v>11.103702468586782</v>
      </c>
      <c r="FF13" s="17">
        <f>FE13*VLOOKUP('Données projet'!$B$16,Paramètres!$A$1:$I$89,3,0)*VLOOKUP('Données projet'!$B$16,Paramètres!$A$1:$I$89,5,0)</f>
        <v>7.2751458574180594</v>
      </c>
      <c r="FG13" s="13">
        <f t="shared" si="47"/>
        <v>2.6611870122191768</v>
      </c>
      <c r="FH13" s="20">
        <f t="shared" si="22"/>
        <v>17.305779747951522</v>
      </c>
      <c r="FI13" s="59">
        <f t="shared" si="23"/>
        <v>286.19466863684039</v>
      </c>
      <c r="FJ13" s="59">
        <f ca="1">AVERAGE(OFFSET($FI$3,0,0,'Données projet'!$E$16+1,1))-AVERAGE(OFFSET($H$3,0,0,'Données projet'!$E$16+1,1))</f>
        <v>170.80796812111521</v>
      </c>
      <c r="FK13" s="59">
        <f t="shared" si="48"/>
        <v>249.84047400410321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295.10882018897831</v>
      </c>
      <c r="S14" s="59">
        <f ca="1">AVERAGE(OFFSET($R$3,0,0,'Données projet'!$E$9+1,1))-AVERAGE(OFFSET($H$3,0,0,'Données projet'!$E$9+1,1))</f>
        <v>333.02360594713667</v>
      </c>
      <c r="T14" s="59">
        <f t="shared" si="34"/>
        <v>546.58234447298014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1.6</v>
      </c>
      <c r="AI14" s="13">
        <f>IF('Données projet'!$A$62&gt;35,AI13+AH14-AQ13,IF(A14&lt;'Données projet'!$A$62,$AF$205^A14,IF(A14='Données projet'!$A$62,'Données projet'!$B$62,AI13+AH14-AQ13)))</f>
        <v>5.0688144796166874</v>
      </c>
      <c r="AJ14" s="13">
        <f>AI14*VLOOKUP('Données projet'!$B$10,Paramètres!$A$1:$I$89,3,0)*VLOOKUP('Données projet'!$B$10,Paramètres!$A$1:$I$89,5,0)</f>
        <v>4.4281163293931387</v>
      </c>
      <c r="AK14" s="13">
        <f t="shared" si="35"/>
        <v>1.7161339868788548</v>
      </c>
      <c r="AL14" s="20">
        <f t="shared" si="4"/>
        <v>10.701235967507055</v>
      </c>
      <c r="AM14" s="59">
        <f t="shared" si="5"/>
        <v>280.81234707861819</v>
      </c>
      <c r="AN14" s="59">
        <f ca="1">AVERAGE(OFFSET($AM$3,0,0,'Données projet'!$E$10+1,1))-AVERAGE(OFFSET($H$3,0,0,'Données projet'!$E$10+1,1))</f>
        <v>243.26825841283591</v>
      </c>
      <c r="AO14" s="59">
        <f t="shared" si="36"/>
        <v>179.2944312100729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1.6</v>
      </c>
      <c r="BD14" s="12">
        <f>IF('Données projet'!$A$88&gt;35,BD13+BC14-BL13,IF(A14&lt;'Données projet'!$A$88,$BA$205^A14,IF(A14='Données projet'!$A$88,'Données projet'!$B$88,BD13+BC14-BL13)))</f>
        <v>5.0688144796166874</v>
      </c>
      <c r="BE14" s="13">
        <f>BD14*VLOOKUP('Données projet'!$B$11,Paramètres!$A$1:$I$89,3,0)*VLOOKUP('Données projet'!$B$11,Paramètres!$A$1:$I$89,5,0)</f>
        <v>3.7164547764549547</v>
      </c>
      <c r="BF14" s="13">
        <f t="shared" si="37"/>
        <v>1.4700019772926427</v>
      </c>
      <c r="BG14" s="20">
        <f t="shared" si="7"/>
        <v>9.0330788461103992</v>
      </c>
      <c r="BH14" s="59">
        <f t="shared" si="8"/>
        <v>279.14418995722156</v>
      </c>
      <c r="BI14" s="59">
        <f ca="1">AVERAGE(OFFSET($BH$3,0,0,'Données projet'!$E$11+1,1))-AVERAGE(OFFSET($H$3,0,0,'Données projet'!$E$11+1,1))</f>
        <v>146.45728988963538</v>
      </c>
      <c r="BJ14" s="59">
        <f t="shared" si="38"/>
        <v>156.91778940341118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11.238526451721825</v>
      </c>
      <c r="CA14" s="13">
        <f t="shared" si="39"/>
        <v>3.9080387928425129</v>
      </c>
      <c r="CB14" s="20">
        <f t="shared" si="10"/>
        <v>26.380267800949554</v>
      </c>
      <c r="CC14" s="59">
        <f t="shared" si="11"/>
        <v>296.49137891206067</v>
      </c>
      <c r="CD14" s="59">
        <f ca="1">AVERAGE(OFFSET($CC$3,0,0,'Données projet'!$E$12+1,1))-AVERAGE(OFFSET($H$3,0,0,'Données projet'!$E$12+1,1))</f>
        <v>238.71022302719206</v>
      </c>
      <c r="CE14" s="59">
        <f t="shared" si="40"/>
        <v>294.28794439094878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2.4666666666666668</v>
      </c>
      <c r="CT14" s="12">
        <f>IF('Données projet'!$A$140&gt;35,CT13+CS14-DB13,IF(A14&lt;'Données projet'!$A$140,$CQ$205^A14,IF(A14='Données projet'!$A$140,'Données projet'!$B$140,CT13+CS14-DB13)))</f>
        <v>14.125850240977657</v>
      </c>
      <c r="CU14" s="17">
        <f>CT14*VLOOKUP('Données projet'!$B$13,Paramètres!$A$1:$I$89,3,0)*VLOOKUP('Données projet'!$B$13,Paramètres!$A$1:$I$89,5,0)</f>
        <v>11.238526451721825</v>
      </c>
      <c r="CV14" s="13">
        <f t="shared" si="41"/>
        <v>3.9080387928425129</v>
      </c>
      <c r="CW14" s="20">
        <f t="shared" si="13"/>
        <v>26.380267800949554</v>
      </c>
      <c r="CX14" s="59">
        <f t="shared" si="14"/>
        <v>296.49137891206067</v>
      </c>
      <c r="CY14" s="59">
        <f ca="1">AVERAGE(OFFSET($CX$3,0,0,'Données projet'!$E$13+1,1))-AVERAGE(OFFSET($H$3,0,0,'Données projet'!$E$13+1,1))</f>
        <v>238.71022302719206</v>
      </c>
      <c r="CZ14" s="59">
        <f t="shared" si="42"/>
        <v>294.28794439094878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1.6</v>
      </c>
      <c r="DO14" s="12">
        <f>IF('Données projet'!$A$166&gt;35,DO13+DN14-DW13,IF(A14&lt;'Données projet'!$A$166,$DL$205^A14,IF(A14='Données projet'!$A$166,'Données projet'!$B$166,DO13+DN14-DW13)))</f>
        <v>5.0688144796166874</v>
      </c>
      <c r="DP14" s="17">
        <f>DO14*VLOOKUP('Données projet'!$B$14,Paramètres!$A$1:$I$89,3,0)*VLOOKUP('Données projet'!$B$14,Paramètres!$A$1:$I$89,5,0)</f>
        <v>4.3490428235111187</v>
      </c>
      <c r="DQ14" s="13">
        <f t="shared" si="43"/>
        <v>1.6890275134623942</v>
      </c>
      <c r="DR14" s="20">
        <f t="shared" si="16"/>
        <v>10.516305836895535</v>
      </c>
      <c r="DS14" s="59">
        <f t="shared" si="17"/>
        <v>280.62741694800667</v>
      </c>
      <c r="DT14" s="59">
        <f ca="1">AVERAGE(OFFSET($DS$3,0,0,'Données projet'!$E$14+1,1))-AVERAGE(OFFSET($H$3,0,0,'Données projet'!$E$14+1,1))</f>
        <v>203.34232675618244</v>
      </c>
      <c r="DU14" s="59">
        <f t="shared" si="44"/>
        <v>176.81257896138806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2.1</v>
      </c>
      <c r="EJ14" s="12">
        <f>IF('Données projet'!$A$192&gt;35,EJ13+EI14-ER13,IF(A14&lt;'Données projet'!$A$192,$EG$205^A14,IF(A14='Données projet'!$A$192,'Données projet'!$B$192,EJ13+EI14-ER13)))</f>
        <v>7.8124474610620815</v>
      </c>
      <c r="EK14" s="17">
        <f>EJ14*VLOOKUP('Données projet'!$B$15,Paramètres!$A$1:$I$89,3,0)*VLOOKUP('Données projet'!$B$15,Paramètres!$A$1:$I$89,5,0)</f>
        <v>7.5561991843392455</v>
      </c>
      <c r="EL14" s="13">
        <f t="shared" si="45"/>
        <v>2.7518258561310041</v>
      </c>
      <c r="EM14" s="20">
        <f t="shared" si="19"/>
        <v>17.953143612152349</v>
      </c>
      <c r="EN14" s="59">
        <f t="shared" si="20"/>
        <v>288.0642547232635</v>
      </c>
      <c r="EO14" s="59">
        <f ca="1">AVERAGE(OFFSET($EN$3,0,0,'Données projet'!$E$15+1,1))-AVERAGE(OFFSET($H$3,0,0,'Données projet'!$E$15+1,1))</f>
        <v>218.78765033569107</v>
      </c>
      <c r="EP14" s="59">
        <f t="shared" si="46"/>
        <v>246.54010105494137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2.4666666666666668</v>
      </c>
      <c r="FE14" s="12">
        <f>IF('Données projet'!$A$218&gt;35,FE13+FD14-FM13,IF(A14&lt;'Données projet'!$A$218,$FB$205^A14,IF(A14='Données projet'!$A$218,'Données projet'!$B$218,FE13+FD14-FM13)))</f>
        <v>14.125850240977657</v>
      </c>
      <c r="FF14" s="17">
        <f>FE14*VLOOKUP('Données projet'!$B$16,Paramètres!$A$1:$I$89,3,0)*VLOOKUP('Données projet'!$B$16,Paramètres!$A$1:$I$89,5,0)</f>
        <v>9.2552570778885617</v>
      </c>
      <c r="FG14" s="13">
        <f t="shared" si="47"/>
        <v>3.2919477349012349</v>
      </c>
      <c r="FH14" s="20">
        <f t="shared" si="22"/>
        <v>21.853048382275563</v>
      </c>
      <c r="FI14" s="59">
        <f t="shared" si="23"/>
        <v>291.96415949338672</v>
      </c>
      <c r="FJ14" s="59">
        <f ca="1">AVERAGE(OFFSET($FI$3,0,0,'Données projet'!$E$16+1,1))-AVERAGE(OFFSET($H$3,0,0,'Données projet'!$E$16+1,1))</f>
        <v>170.80796812111521</v>
      </c>
      <c r="FK14" s="59">
        <f t="shared" si="48"/>
        <v>249.84047400410321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303.74650101186751</v>
      </c>
      <c r="S15" s="59">
        <f ca="1">AVERAGE(OFFSET($R$3,0,0,'Données projet'!$E$9+1,1))-AVERAGE(OFFSET($H$3,0,0,'Données projet'!$E$9+1,1))</f>
        <v>333.02360594713667</v>
      </c>
      <c r="T15" s="59">
        <f t="shared" si="34"/>
        <v>546.58234447298014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1.6</v>
      </c>
      <c r="AI15" s="13">
        <f>IF('Données projet'!$A$62&gt;35,AI14+AH15-AQ14,IF(A15&lt;'Données projet'!$A$62,$AF$205^A15,IF(A15='Données projet'!$A$62,'Données projet'!$B$62,AI14+AH15-AQ14)))</f>
        <v>5.8747419635905285</v>
      </c>
      <c r="AJ15" s="13">
        <f>AI15*VLOOKUP('Données projet'!$B$10,Paramètres!$A$1:$I$89,3,0)*VLOOKUP('Données projet'!$B$10,Paramètres!$A$1:$I$89,5,0)</f>
        <v>5.1321745793926858</v>
      </c>
      <c r="AK15" s="13">
        <f t="shared" si="35"/>
        <v>1.955124421993345</v>
      </c>
      <c r="AL15" s="20">
        <f t="shared" si="4"/>
        <v>12.343712427414003</v>
      </c>
      <c r="AM15" s="59">
        <f t="shared" si="5"/>
        <v>283.67704576074732</v>
      </c>
      <c r="AN15" s="59">
        <f ca="1">AVERAGE(OFFSET($AM$3,0,0,'Données projet'!$E$10+1,1))-AVERAGE(OFFSET($H$3,0,0,'Données projet'!$E$10+1,1))</f>
        <v>243.26825841283591</v>
      </c>
      <c r="AO15" s="59">
        <f t="shared" si="36"/>
        <v>179.2944312100729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1.6</v>
      </c>
      <c r="BD15" s="12">
        <f>IF('Données projet'!$A$88&gt;35,BD14+BC15-BL14,IF(A15&lt;'Données projet'!$A$88,$BA$205^A15,IF(A15='Données projet'!$A$88,'Données projet'!$B$88,BD14+BC15-BL14)))</f>
        <v>5.8747419635905285</v>
      </c>
      <c r="BE15" s="13">
        <f>BD15*VLOOKUP('Données projet'!$B$11,Paramètres!$A$1:$I$89,3,0)*VLOOKUP('Données projet'!$B$11,Paramètres!$A$1:$I$89,5,0)</f>
        <v>4.3073608077045753</v>
      </c>
      <c r="BF15" s="13">
        <f t="shared" si="37"/>
        <v>1.6747158369670103</v>
      </c>
      <c r="BG15" s="20">
        <f t="shared" si="7"/>
        <v>10.418783489469677</v>
      </c>
      <c r="BH15" s="59">
        <f t="shared" si="8"/>
        <v>281.75211682280298</v>
      </c>
      <c r="BI15" s="59">
        <f ca="1">AVERAGE(OFFSET($BH$3,0,0,'Données projet'!$E$11+1,1))-AVERAGE(OFFSET($H$3,0,0,'Données projet'!$E$11+1,1))</f>
        <v>146.45728988963538</v>
      </c>
      <c r="BJ15" s="59">
        <f t="shared" si="38"/>
        <v>156.91778940341118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14.297369912010421</v>
      </c>
      <c r="CA15" s="13">
        <f t="shared" si="39"/>
        <v>4.8343312187127445</v>
      </c>
      <c r="CB15" s="20">
        <f t="shared" si="10"/>
        <v>33.321046136009507</v>
      </c>
      <c r="CC15" s="59">
        <f t="shared" si="11"/>
        <v>304.65437946934281</v>
      </c>
      <c r="CD15" s="59">
        <f ca="1">AVERAGE(OFFSET($CC$3,0,0,'Données projet'!$E$12+1,1))-AVERAGE(OFFSET($H$3,0,0,'Données projet'!$E$12+1,1))</f>
        <v>238.71022302719206</v>
      </c>
      <c r="CE15" s="59">
        <f t="shared" si="40"/>
        <v>294.28794439094878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2.4666666666666668</v>
      </c>
      <c r="CT15" s="12">
        <f>IF('Données projet'!$A$140&gt;35,CT14+CS15-DB14,IF(A15&lt;'Données projet'!$A$140,$CQ$205^A15,IF(A15='Données projet'!$A$140,'Données projet'!$B$140,CT14+CS15-DB14)))</f>
        <v>17.970550417308221</v>
      </c>
      <c r="CU15" s="17">
        <f>CT15*VLOOKUP('Données projet'!$B$13,Paramètres!$A$1:$I$89,3,0)*VLOOKUP('Données projet'!$B$13,Paramètres!$A$1:$I$89,5,0)</f>
        <v>14.297369912010421</v>
      </c>
      <c r="CV15" s="13">
        <f t="shared" si="41"/>
        <v>4.8343312187127445</v>
      </c>
      <c r="CW15" s="20">
        <f t="shared" si="13"/>
        <v>33.321046136009507</v>
      </c>
      <c r="CX15" s="59">
        <f t="shared" si="14"/>
        <v>304.65437946934281</v>
      </c>
      <c r="CY15" s="59">
        <f ca="1">AVERAGE(OFFSET($CX$3,0,0,'Données projet'!$E$13+1,1))-AVERAGE(OFFSET($H$3,0,0,'Données projet'!$E$13+1,1))</f>
        <v>238.71022302719206</v>
      </c>
      <c r="CZ15" s="59">
        <f t="shared" si="42"/>
        <v>294.28794439094878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1.6</v>
      </c>
      <c r="DO15" s="12">
        <f>IF('Données projet'!$A$166&gt;35,DO14+DN15-DW14,IF(A15&lt;'Données projet'!$A$166,$DL$205^A15,IF(A15='Données projet'!$A$166,'Données projet'!$B$166,DO14+DN15-DW14)))</f>
        <v>5.8747419635905285</v>
      </c>
      <c r="DP15" s="17">
        <f>DO15*VLOOKUP('Données projet'!$B$14,Paramètres!$A$1:$I$89,3,0)*VLOOKUP('Données projet'!$B$14,Paramètres!$A$1:$I$89,5,0)</f>
        <v>5.0405286047606745</v>
      </c>
      <c r="DQ15" s="13">
        <f t="shared" si="43"/>
        <v>1.9242430755624527</v>
      </c>
      <c r="DR15" s="20">
        <f t="shared" si="16"/>
        <v>12.130310676562779</v>
      </c>
      <c r="DS15" s="59">
        <f t="shared" si="17"/>
        <v>283.46364400989609</v>
      </c>
      <c r="DT15" s="59">
        <f ca="1">AVERAGE(OFFSET($DS$3,0,0,'Données projet'!$E$14+1,1))-AVERAGE(OFFSET($H$3,0,0,'Données projet'!$E$14+1,1))</f>
        <v>203.34232675618244</v>
      </c>
      <c r="DU15" s="59">
        <f t="shared" si="44"/>
        <v>176.81257896138806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2.1</v>
      </c>
      <c r="EJ15" s="12">
        <f>IF('Données projet'!$A$192&gt;35,EJ14+EI15-ER14,IF(A15&lt;'Données projet'!$A$192,$EG$205^A15,IF(A15='Données projet'!$A$192,'Données projet'!$B$192,EJ14+EI15-ER14)))</f>
        <v>9.4178024044149407</v>
      </c>
      <c r="EK15" s="17">
        <f>EJ15*VLOOKUP('Données projet'!$B$15,Paramètres!$A$1:$I$89,3,0)*VLOOKUP('Données projet'!$B$15,Paramètres!$A$1:$I$89,5,0)</f>
        <v>9.1088984855501316</v>
      </c>
      <c r="EL15" s="13">
        <f t="shared" si="45"/>
        <v>3.2459072101643005</v>
      </c>
      <c r="EM15" s="20">
        <f t="shared" si="19"/>
        <v>21.517953253369303</v>
      </c>
      <c r="EN15" s="59">
        <f t="shared" si="20"/>
        <v>292.8512865867026</v>
      </c>
      <c r="EO15" s="59">
        <f ca="1">AVERAGE(OFFSET($EN$3,0,0,'Données projet'!$E$15+1,1))-AVERAGE(OFFSET($H$3,0,0,'Données projet'!$E$15+1,1))</f>
        <v>218.78765033569107</v>
      </c>
      <c r="EP15" s="59">
        <f t="shared" si="46"/>
        <v>246.54010105494137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2.4666666666666668</v>
      </c>
      <c r="FE15" s="12">
        <f>IF('Données projet'!$A$218&gt;35,FE14+FD15-FM14,IF(A15&lt;'Données projet'!$A$218,$FB$205^A15,IF(A15='Données projet'!$A$218,'Données projet'!$B$218,FE14+FD15-FM14)))</f>
        <v>17.970550417308221</v>
      </c>
      <c r="FF15" s="17">
        <f>FE15*VLOOKUP('Données projet'!$B$16,Paramètres!$A$1:$I$89,3,0)*VLOOKUP('Données projet'!$B$16,Paramètres!$A$1:$I$89,5,0)</f>
        <v>11.774304633420346</v>
      </c>
      <c r="FG15" s="13">
        <f t="shared" si="47"/>
        <v>4.0722128281711418</v>
      </c>
      <c r="FH15" s="20">
        <f t="shared" si="22"/>
        <v>27.599351245605177</v>
      </c>
      <c r="FI15" s="59">
        <f t="shared" si="23"/>
        <v>298.93268457893851</v>
      </c>
      <c r="FJ15" s="59">
        <f ca="1">AVERAGE(OFFSET($FI$3,0,0,'Données projet'!$E$16+1,1))-AVERAGE(OFFSET($H$3,0,0,'Données projet'!$E$16+1,1))</f>
        <v>170.80796812111521</v>
      </c>
      <c r="FK15" s="59">
        <f t="shared" si="48"/>
        <v>249.84047400410321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314.59166767936932</v>
      </c>
      <c r="S16" s="59">
        <f ca="1">AVERAGE(OFFSET($R$3,0,0,'Données projet'!$E$9+1,1))-AVERAGE(OFFSET($H$3,0,0,'Données projet'!$E$9+1,1))</f>
        <v>333.02360594713667</v>
      </c>
      <c r="T16" s="59">
        <f t="shared" si="34"/>
        <v>546.58234447298014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1.6</v>
      </c>
      <c r="AI16" s="13">
        <f>IF('Données projet'!$A$62&gt;35,AI15+AH16-AQ15,IF(A16&lt;'Données projet'!$A$62,$AF$205^A16,IF(A16='Données projet'!$A$62,'Données projet'!$B$62,AI15+AH16-AQ15)))</f>
        <v>6.8088096886476315</v>
      </c>
      <c r="AJ16" s="13">
        <f>AI16*VLOOKUP('Données projet'!$B$10,Paramètres!$A$1:$I$89,3,0)*VLOOKUP('Données projet'!$B$10,Paramètres!$A$1:$I$89,5,0)</f>
        <v>5.9481761440025718</v>
      </c>
      <c r="AK16" s="13">
        <f t="shared" si="35"/>
        <v>2.2273968901617307</v>
      </c>
      <c r="AL16" s="20">
        <f t="shared" si="4"/>
        <v>14.239123034502825</v>
      </c>
      <c r="AM16" s="59">
        <f t="shared" si="5"/>
        <v>286.79467859005837</v>
      </c>
      <c r="AN16" s="59">
        <f ca="1">AVERAGE(OFFSET($AM$3,0,0,'Données projet'!$E$10+1,1))-AVERAGE(OFFSET($H$3,0,0,'Données projet'!$E$10+1,1))</f>
        <v>243.26825841283591</v>
      </c>
      <c r="AO16" s="59">
        <f t="shared" si="36"/>
        <v>179.2944312100729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1.6</v>
      </c>
      <c r="BD16" s="12">
        <f>IF('Données projet'!$A$88&gt;35,BD15+BC16-BL15,IF(A16&lt;'Données projet'!$A$88,$BA$205^A16,IF(A16='Données projet'!$A$88,'Données projet'!$B$88,BD15+BC16-BL15)))</f>
        <v>6.8088096886476315</v>
      </c>
      <c r="BE16" s="13">
        <f>BD16*VLOOKUP('Données projet'!$B$11,Paramètres!$A$1:$I$89,3,0)*VLOOKUP('Données projet'!$B$11,Paramètres!$A$1:$I$89,5,0)</f>
        <v>4.9922192637164429</v>
      </c>
      <c r="BF16" s="13">
        <f t="shared" si="37"/>
        <v>1.9079383415208626</v>
      </c>
      <c r="BG16" s="20">
        <f t="shared" si="7"/>
        <v>12.017774495788307</v>
      </c>
      <c r="BH16" s="59">
        <f t="shared" si="8"/>
        <v>284.57333005134387</v>
      </c>
      <c r="BI16" s="59">
        <f ca="1">AVERAGE(OFFSET($BH$3,0,0,'Données projet'!$E$11+1,1))-AVERAGE(OFFSET($H$3,0,0,'Données projet'!$E$11+1,1))</f>
        <v>146.45728988963538</v>
      </c>
      <c r="BJ16" s="59">
        <f t="shared" si="38"/>
        <v>156.91778940341118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18.188753417005401</v>
      </c>
      <c r="CA16" s="13">
        <f t="shared" si="39"/>
        <v>5.9801756254374139</v>
      </c>
      <c r="CB16" s="20">
        <f t="shared" si="10"/>
        <v>42.094218082254564</v>
      </c>
      <c r="CC16" s="59">
        <f t="shared" si="11"/>
        <v>314.64977363781009</v>
      </c>
      <c r="CD16" s="59">
        <f ca="1">AVERAGE(OFFSET($CC$3,0,0,'Données projet'!$E$12+1,1))-AVERAGE(OFFSET($H$3,0,0,'Données projet'!$E$12+1,1))</f>
        <v>238.71022302719206</v>
      </c>
      <c r="CE16" s="59">
        <f t="shared" si="40"/>
        <v>294.28794439094878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2.4666666666666668</v>
      </c>
      <c r="CT16" s="12">
        <f>IF('Données projet'!$A$140&gt;35,CT15+CS16-DB15,IF(A16&lt;'Données projet'!$A$140,$CQ$205^A16,IF(A16='Données projet'!$A$140,'Données projet'!$B$140,CT15+CS16-DB15)))</f>
        <v>22.86168101684942</v>
      </c>
      <c r="CU16" s="17">
        <f>CT16*VLOOKUP('Données projet'!$B$13,Paramètres!$A$1:$I$89,3,0)*VLOOKUP('Données projet'!$B$13,Paramètres!$A$1:$I$89,5,0)</f>
        <v>18.188753417005401</v>
      </c>
      <c r="CV16" s="13">
        <f t="shared" si="41"/>
        <v>5.9801756254374139</v>
      </c>
      <c r="CW16" s="20">
        <f t="shared" si="13"/>
        <v>42.094218082254564</v>
      </c>
      <c r="CX16" s="59">
        <f t="shared" si="14"/>
        <v>314.64977363781009</v>
      </c>
      <c r="CY16" s="59">
        <f ca="1">AVERAGE(OFFSET($CX$3,0,0,'Données projet'!$E$13+1,1))-AVERAGE(OFFSET($H$3,0,0,'Données projet'!$E$13+1,1))</f>
        <v>238.71022302719206</v>
      </c>
      <c r="CZ16" s="59">
        <f t="shared" si="42"/>
        <v>294.28794439094878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1.6</v>
      </c>
      <c r="DO16" s="12">
        <f>IF('Données projet'!$A$166&gt;35,DO15+DN16-DW15,IF(A16&lt;'Données projet'!$A$166,$DL$205^A16,IF(A16='Données projet'!$A$166,'Données projet'!$B$166,DO15+DN16-DW15)))</f>
        <v>6.8088096886476315</v>
      </c>
      <c r="DP16" s="17">
        <f>DO16*VLOOKUP('Données projet'!$B$14,Paramètres!$A$1:$I$89,3,0)*VLOOKUP('Données projet'!$B$14,Paramètres!$A$1:$I$89,5,0)</f>
        <v>5.8419587128596682</v>
      </c>
      <c r="DQ16" s="13">
        <f t="shared" si="43"/>
        <v>2.1922149783455773</v>
      </c>
      <c r="DR16" s="20">
        <f t="shared" si="16"/>
        <v>13.992852512182466</v>
      </c>
      <c r="DS16" s="59">
        <f t="shared" si="17"/>
        <v>286.54840806773802</v>
      </c>
      <c r="DT16" s="59">
        <f ca="1">AVERAGE(OFFSET($DS$3,0,0,'Données projet'!$E$14+1,1))-AVERAGE(OFFSET($H$3,0,0,'Données projet'!$E$14+1,1))</f>
        <v>203.34232675618244</v>
      </c>
      <c r="DU16" s="59">
        <f t="shared" si="44"/>
        <v>176.81257896138806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2.1</v>
      </c>
      <c r="EJ16" s="12">
        <f>IF('Données projet'!$A$192&gt;35,EJ15+EI16-ER15,IF(A16&lt;'Données projet'!$A$192,$EG$205^A16,IF(A16='Données projet'!$A$192,'Données projet'!$B$192,EJ15+EI16-ER15)))</f>
        <v>11.35303662145153</v>
      </c>
      <c r="EK16" s="17">
        <f>EJ16*VLOOKUP('Données projet'!$B$15,Paramètres!$A$1:$I$89,3,0)*VLOOKUP('Données projet'!$B$15,Paramètres!$A$1:$I$89,5,0)</f>
        <v>10.98065702026792</v>
      </c>
      <c r="EL16" s="13">
        <f t="shared" si="45"/>
        <v>3.8286992592655618</v>
      </c>
      <c r="EM16" s="20">
        <f t="shared" si="19"/>
        <v>25.792962186854144</v>
      </c>
      <c r="EN16" s="59">
        <f t="shared" si="20"/>
        <v>298.34851774240968</v>
      </c>
      <c r="EO16" s="59">
        <f ca="1">AVERAGE(OFFSET($EN$3,0,0,'Données projet'!$E$15+1,1))-AVERAGE(OFFSET($H$3,0,0,'Données projet'!$E$15+1,1))</f>
        <v>218.78765033569107</v>
      </c>
      <c r="EP16" s="59">
        <f t="shared" si="46"/>
        <v>246.54010105494137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2.4666666666666668</v>
      </c>
      <c r="FE16" s="12">
        <f>IF('Données projet'!$A$218&gt;35,FE15+FD16-FM15,IF(A16&lt;'Données projet'!$A$218,$FB$205^A16,IF(A16='Données projet'!$A$218,'Données projet'!$B$218,FE15+FD16-FM15)))</f>
        <v>22.86168101684942</v>
      </c>
      <c r="FF16" s="17">
        <f>FE16*VLOOKUP('Données projet'!$B$16,Paramètres!$A$1:$I$89,3,0)*VLOOKUP('Données projet'!$B$16,Paramètres!$A$1:$I$89,5,0)</f>
        <v>14.97897340223974</v>
      </c>
      <c r="FG16" s="13">
        <f t="shared" si="47"/>
        <v>5.0374181649694805</v>
      </c>
      <c r="FH16" s="20">
        <f t="shared" si="22"/>
        <v>34.861881979556053</v>
      </c>
      <c r="FI16" s="59">
        <f t="shared" si="23"/>
        <v>307.41743753511162</v>
      </c>
      <c r="FJ16" s="59">
        <f ca="1">AVERAGE(OFFSET($FI$3,0,0,'Données projet'!$E$16+1,1))-AVERAGE(OFFSET($H$3,0,0,'Données projet'!$E$16+1,1))</f>
        <v>170.80796812111521</v>
      </c>
      <c r="FK16" s="59">
        <f t="shared" si="48"/>
        <v>249.84047400410321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328.3035939534235</v>
      </c>
      <c r="S17" s="59">
        <f ca="1">AVERAGE(OFFSET($R$3,0,0,'Données projet'!$E$9+1,1))-AVERAGE(OFFSET($H$3,0,0,'Données projet'!$E$9+1,1))</f>
        <v>333.02360594713667</v>
      </c>
      <c r="T17" s="59">
        <f t="shared" si="34"/>
        <v>546.58234447298014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1.6</v>
      </c>
      <c r="AI17" s="13">
        <f>IF('Données projet'!$A$62&gt;35,AI16+AH17-AQ16,IF(A17&lt;'Données projet'!$A$62,$AF$205^A17,IF(A17='Données projet'!$A$62,'Données projet'!$B$62,AI16+AH17-AQ16)))</f>
        <v>7.891391598736293</v>
      </c>
      <c r="AJ17" s="13">
        <f>AI17*VLOOKUP('Données projet'!$B$10,Paramètres!$A$1:$I$89,3,0)*VLOOKUP('Données projet'!$B$10,Paramètres!$A$1:$I$89,5,0)</f>
        <v>6.8939197006560269</v>
      </c>
      <c r="AK17" s="13">
        <f t="shared" si="35"/>
        <v>2.5375862786491425</v>
      </c>
      <c r="AL17" s="20">
        <f t="shared" si="4"/>
        <v>16.426539580623167</v>
      </c>
      <c r="AM17" s="59">
        <f t="shared" si="5"/>
        <v>290.20431735840094</v>
      </c>
      <c r="AN17" s="59">
        <f ca="1">AVERAGE(OFFSET($AM$3,0,0,'Données projet'!$E$10+1,1))-AVERAGE(OFFSET($H$3,0,0,'Données projet'!$E$10+1,1))</f>
        <v>243.26825841283591</v>
      </c>
      <c r="AO17" s="59">
        <f t="shared" si="36"/>
        <v>179.2944312100729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1.6</v>
      </c>
      <c r="BD17" s="12">
        <f>IF('Données projet'!$A$88&gt;35,BD16+BC17-BL16,IF(A17&lt;'Données projet'!$A$88,$BA$205^A17,IF(A17='Données projet'!$A$88,'Données projet'!$B$88,BD16+BC17-BL16)))</f>
        <v>7.891391598736293</v>
      </c>
      <c r="BE17" s="13">
        <f>BD17*VLOOKUP('Données projet'!$B$11,Paramètres!$A$1:$I$89,3,0)*VLOOKUP('Données projet'!$B$11,Paramètres!$A$1:$I$89,5,0)</f>
        <v>5.78596832019345</v>
      </c>
      <c r="BF17" s="13">
        <f t="shared" si="37"/>
        <v>2.173639631687013</v>
      </c>
      <c r="BG17" s="20">
        <f t="shared" si="7"/>
        <v>13.862983849525138</v>
      </c>
      <c r="BH17" s="59">
        <f t="shared" si="8"/>
        <v>287.64076162730294</v>
      </c>
      <c r="BI17" s="59">
        <f ca="1">AVERAGE(OFFSET($BH$3,0,0,'Données projet'!$E$11+1,1))-AVERAGE(OFFSET($H$3,0,0,'Données projet'!$E$11+1,1))</f>
        <v>146.45728988963538</v>
      </c>
      <c r="BJ17" s="59">
        <f t="shared" si="38"/>
        <v>156.91778940341118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23.13927336990233</v>
      </c>
      <c r="CA17" s="13">
        <f t="shared" si="39"/>
        <v>7.3976107331343286</v>
      </c>
      <c r="CB17" s="20">
        <f t="shared" si="10"/>
        <v>53.185073146122171</v>
      </c>
      <c r="CC17" s="59">
        <f t="shared" si="11"/>
        <v>326.96285092389996</v>
      </c>
      <c r="CD17" s="59">
        <f ca="1">AVERAGE(OFFSET($CC$3,0,0,'Données projet'!$E$12+1,1))-AVERAGE(OFFSET($H$3,0,0,'Données projet'!$E$12+1,1))</f>
        <v>238.71022302719206</v>
      </c>
      <c r="CE17" s="59">
        <f t="shared" si="40"/>
        <v>294.28794439094878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2.4666666666666668</v>
      </c>
      <c r="CT17" s="12">
        <f>IF('Données projet'!$A$140&gt;35,CT16+CS17-DB16,IF(A17&lt;'Données projet'!$A$140,$CQ$205^A17,IF(A17='Données projet'!$A$140,'Données projet'!$B$140,CT16+CS17-DB16)))</f>
        <v>29.084054009429774</v>
      </c>
      <c r="CU17" s="17">
        <f>CT17*VLOOKUP('Données projet'!$B$13,Paramètres!$A$1:$I$89,3,0)*VLOOKUP('Données projet'!$B$13,Paramètres!$A$1:$I$89,5,0)</f>
        <v>23.13927336990233</v>
      </c>
      <c r="CV17" s="13">
        <f t="shared" si="41"/>
        <v>7.3976107331343286</v>
      </c>
      <c r="CW17" s="20">
        <f t="shared" si="13"/>
        <v>53.185073146122171</v>
      </c>
      <c r="CX17" s="59">
        <f t="shared" si="14"/>
        <v>326.96285092389996</v>
      </c>
      <c r="CY17" s="59">
        <f ca="1">AVERAGE(OFFSET($CX$3,0,0,'Données projet'!$E$13+1,1))-AVERAGE(OFFSET($H$3,0,0,'Données projet'!$E$13+1,1))</f>
        <v>238.71022302719206</v>
      </c>
      <c r="CZ17" s="59">
        <f t="shared" si="42"/>
        <v>294.28794439094878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1.6</v>
      </c>
      <c r="DO17" s="12">
        <f>IF('Données projet'!$A$166&gt;35,DO16+DN17-DW16,IF(A17&lt;'Données projet'!$A$166,$DL$205^A17,IF(A17='Données projet'!$A$166,'Données projet'!$B$166,DO16+DN17-DW16)))</f>
        <v>7.891391598736293</v>
      </c>
      <c r="DP17" s="17">
        <f>DO17*VLOOKUP('Données projet'!$B$14,Paramètres!$A$1:$I$89,3,0)*VLOOKUP('Données projet'!$B$14,Paramètres!$A$1:$I$89,5,0)</f>
        <v>6.7708139917157402</v>
      </c>
      <c r="DQ17" s="13">
        <f t="shared" si="43"/>
        <v>2.4975049006622885</v>
      </c>
      <c r="DR17" s="20">
        <f t="shared" si="16"/>
        <v>16.142322070891733</v>
      </c>
      <c r="DS17" s="59">
        <f t="shared" si="17"/>
        <v>289.92009984866951</v>
      </c>
      <c r="DT17" s="59">
        <f ca="1">AVERAGE(OFFSET($DS$3,0,0,'Données projet'!$E$14+1,1))-AVERAGE(OFFSET($H$3,0,0,'Données projet'!$E$14+1,1))</f>
        <v>203.34232675618244</v>
      </c>
      <c r="DU17" s="59">
        <f t="shared" si="44"/>
        <v>176.81257896138806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2.1</v>
      </c>
      <c r="EJ17" s="12">
        <f>IF('Données projet'!$A$192&gt;35,EJ16+EI17-ER16,IF(A17&lt;'Données projet'!$A$192,$EG$205^A17,IF(A17='Données projet'!$A$192,'Données projet'!$B$192,EJ16+EI17-ER16)))</f>
        <v>13.685935953338433</v>
      </c>
      <c r="EK17" s="17">
        <f>EJ17*VLOOKUP('Données projet'!$B$15,Paramètres!$A$1:$I$89,3,0)*VLOOKUP('Données projet'!$B$15,Paramètres!$A$1:$I$89,5,0)</f>
        <v>13.237037254068934</v>
      </c>
      <c r="EL17" s="13">
        <f t="shared" si="45"/>
        <v>4.5161297192961545</v>
      </c>
      <c r="EM17" s="20">
        <f t="shared" si="19"/>
        <v>30.920099145277529</v>
      </c>
      <c r="EN17" s="59">
        <f t="shared" si="20"/>
        <v>304.69787692305528</v>
      </c>
      <c r="EO17" s="59">
        <f ca="1">AVERAGE(OFFSET($EN$3,0,0,'Données projet'!$E$15+1,1))-AVERAGE(OFFSET($H$3,0,0,'Données projet'!$E$15+1,1))</f>
        <v>218.78765033569107</v>
      </c>
      <c r="EP17" s="59">
        <f t="shared" si="46"/>
        <v>246.54010105494137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2.4666666666666668</v>
      </c>
      <c r="FE17" s="12">
        <f>IF('Données projet'!$A$218&gt;35,FE16+FD17-FM16,IF(A17&lt;'Données projet'!$A$218,$FB$205^A17,IF(A17='Données projet'!$A$218,'Données projet'!$B$218,FE16+FD17-FM16)))</f>
        <v>29.084054009429774</v>
      </c>
      <c r="FF17" s="17">
        <f>FE17*VLOOKUP('Données projet'!$B$16,Paramètres!$A$1:$I$89,3,0)*VLOOKUP('Données projet'!$B$16,Paramètres!$A$1:$I$89,5,0)</f>
        <v>19.055872186978391</v>
      </c>
      <c r="FG17" s="13">
        <f t="shared" si="47"/>
        <v>6.231398711093604</v>
      </c>
      <c r="FH17" s="20">
        <f t="shared" si="22"/>
        <v>44.041996814142045</v>
      </c>
      <c r="FI17" s="59">
        <f t="shared" si="23"/>
        <v>317.81977459191984</v>
      </c>
      <c r="FJ17" s="59">
        <f ca="1">AVERAGE(OFFSET($FI$3,0,0,'Données projet'!$E$16+1,1))-AVERAGE(OFFSET($H$3,0,0,'Données projet'!$E$16+1,1))</f>
        <v>170.80796812111521</v>
      </c>
      <c r="FK17" s="59">
        <f t="shared" si="48"/>
        <v>249.84047400410321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345.73903563222814</v>
      </c>
      <c r="S18" s="59">
        <f ca="1">AVERAGE(OFFSET($R$3,0,0,'Données projet'!$E$9+1,1))-AVERAGE(OFFSET($H$3,0,0,'Données projet'!$E$9+1,1))</f>
        <v>333.02360594713667</v>
      </c>
      <c r="T18" s="59">
        <f t="shared" si="34"/>
        <v>546.58234447298014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1.6</v>
      </c>
      <c r="AI18" s="13">
        <f>IF('Données projet'!$A$62&gt;35,AI17+AH18-AQ17,IF(A18&lt;'Données projet'!$A$62,$AF$205^A18,IF(A18='Données projet'!$A$62,'Données projet'!$B$62,AI17+AH18-AQ17)))</f>
        <v>9.1461010385465276</v>
      </c>
      <c r="AJ18" s="13">
        <f>AI18*VLOOKUP('Données projet'!$B$10,Paramètres!$A$1:$I$89,3,0)*VLOOKUP('Données projet'!$B$10,Paramètres!$A$1:$I$89,5,0)</f>
        <v>7.9900338672742475</v>
      </c>
      <c r="AK18" s="13">
        <f t="shared" si="35"/>
        <v>2.8909729334859779</v>
      </c>
      <c r="AL18" s="20">
        <f t="shared" si="4"/>
        <v>18.951086844657393</v>
      </c>
      <c r="AM18" s="59">
        <f t="shared" si="5"/>
        <v>293.95108684465737</v>
      </c>
      <c r="AN18" s="59">
        <f ca="1">AVERAGE(OFFSET($AM$3,0,0,'Données projet'!$E$10+1,1))-AVERAGE(OFFSET($H$3,0,0,'Données projet'!$E$10+1,1))</f>
        <v>243.26825841283591</v>
      </c>
      <c r="AO18" s="59">
        <f t="shared" si="36"/>
        <v>179.2944312100729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1.6</v>
      </c>
      <c r="BD18" s="12">
        <f>IF('Données projet'!$A$88&gt;35,BD17+BC18-BL17,IF(A18&lt;'Données projet'!$A$88,$BA$205^A18,IF(A18='Données projet'!$A$88,'Données projet'!$B$88,BD17+BC18-BL17)))</f>
        <v>9.1461010385465276</v>
      </c>
      <c r="BE18" s="13">
        <f>BD18*VLOOKUP('Données projet'!$B$11,Paramètres!$A$1:$I$89,3,0)*VLOOKUP('Données projet'!$B$11,Paramètres!$A$1:$I$89,5,0)</f>
        <v>6.7059212814623139</v>
      </c>
      <c r="BF18" s="13">
        <f t="shared" si="37"/>
        <v>2.4763427337354504</v>
      </c>
      <c r="BG18" s="20">
        <f t="shared" si="7"/>
        <v>15.992443159802773</v>
      </c>
      <c r="BH18" s="59">
        <f t="shared" si="8"/>
        <v>290.99244315980275</v>
      </c>
      <c r="BI18" s="59">
        <f ca="1">AVERAGE(OFFSET($BH$3,0,0,'Données projet'!$E$11+1,1))-AVERAGE(OFFSET($H$3,0,0,'Données projet'!$E$11+1,1))</f>
        <v>146.45728988963538</v>
      </c>
      <c r="BJ18" s="59">
        <f t="shared" si="38"/>
        <v>156.91778940341118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29.437200000000004</v>
      </c>
      <c r="CA18" s="13">
        <f t="shared" si="39"/>
        <v>9.1510096001539196</v>
      </c>
      <c r="CB18" s="20">
        <f t="shared" si="10"/>
        <v>67.207798386934755</v>
      </c>
      <c r="CC18" s="59">
        <f t="shared" si="11"/>
        <v>342.20779838693477</v>
      </c>
      <c r="CD18" s="59">
        <f ca="1">AVERAGE(OFFSET($CC$3,0,0,'Données projet'!$E$12+1,1))-AVERAGE(OFFSET($H$3,0,0,'Données projet'!$E$12+1,1))</f>
        <v>238.71022302719206</v>
      </c>
      <c r="CE18" s="59">
        <f t="shared" si="40"/>
        <v>294.28794439094878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37</v>
      </c>
      <c r="CR18" s="12">
        <f>VLOOKUP(A18,'Données projet'!$A$139:$I$159,9,0)</f>
        <v>2.4666666666666668</v>
      </c>
      <c r="CS18" s="12">
        <f t="array" ref="CS18">INDEX(CR:CR,MIN(IF(ISNUMBER(CR18:CR214),ROW(CR18:CR214),"")))</f>
        <v>2.4666666666666668</v>
      </c>
      <c r="CT18" s="12">
        <f>IF('Données projet'!$A$140&gt;35,CT17+CS18-DB17,IF(A18&lt;'Données projet'!$A$140,$CQ$205^A18,IF(A18='Données projet'!$A$140,'Données projet'!$B$140,CT17+CS18-DB17)))</f>
        <v>37</v>
      </c>
      <c r="CU18" s="17">
        <f>CT18*VLOOKUP('Données projet'!$B$13,Paramètres!$A$1:$I$89,3,0)*VLOOKUP('Données projet'!$B$13,Paramètres!$A$1:$I$89,5,0)</f>
        <v>29.437200000000004</v>
      </c>
      <c r="CV18" s="13">
        <f t="shared" si="41"/>
        <v>9.1510096001539196</v>
      </c>
      <c r="CW18" s="20">
        <f t="shared" si="13"/>
        <v>67.207798386934755</v>
      </c>
      <c r="CX18" s="59">
        <f t="shared" si="14"/>
        <v>342.20779838693477</v>
      </c>
      <c r="CY18" s="59">
        <f ca="1">AVERAGE(OFFSET($CX$3,0,0,'Données projet'!$E$13+1,1))-AVERAGE(OFFSET($H$3,0,0,'Données projet'!$E$13+1,1))</f>
        <v>238.71022302719206</v>
      </c>
      <c r="CZ18" s="59">
        <f t="shared" si="42"/>
        <v>294.28794439094878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15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1.6</v>
      </c>
      <c r="DO18" s="12">
        <f>IF('Données projet'!$A$166&gt;35,DO17+DN18-DW17,IF(A18&lt;'Données projet'!$A$166,$DL$205^A18,IF(A18='Données projet'!$A$166,'Données projet'!$B$166,DO17+DN18-DW17)))</f>
        <v>9.1461010385465276</v>
      </c>
      <c r="DP18" s="17">
        <f>DO18*VLOOKUP('Données projet'!$B$14,Paramètres!$A$1:$I$89,3,0)*VLOOKUP('Données projet'!$B$14,Paramètres!$A$1:$I$89,5,0)</f>
        <v>7.8473546910729226</v>
      </c>
      <c r="DQ18" s="13">
        <f t="shared" si="43"/>
        <v>2.8453097850556128</v>
      </c>
      <c r="DR18" s="20">
        <f t="shared" si="16"/>
        <v>18.623057295923864</v>
      </c>
      <c r="DS18" s="59">
        <f t="shared" si="17"/>
        <v>293.62305729592384</v>
      </c>
      <c r="DT18" s="59">
        <f ca="1">AVERAGE(OFFSET($DS$3,0,0,'Données projet'!$E$14+1,1))-AVERAGE(OFFSET($H$3,0,0,'Données projet'!$E$14+1,1))</f>
        <v>203.34232675618244</v>
      </c>
      <c r="DU18" s="59">
        <f t="shared" si="44"/>
        <v>176.81257896138806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2.1</v>
      </c>
      <c r="EJ18" s="12">
        <f>IF('Données projet'!$A$192&gt;35,EJ17+EI18-ER17,IF(A18&lt;'Données projet'!$A$192,$EG$205^A18,IF(A18='Données projet'!$A$192,'Données projet'!$B$192,EJ17+EI18-ER17)))</f>
        <v>16.498215337821566</v>
      </c>
      <c r="EK18" s="17">
        <f>EJ18*VLOOKUP('Données projet'!$B$15,Paramètres!$A$1:$I$89,3,0)*VLOOKUP('Données projet'!$B$15,Paramètres!$A$1:$I$89,5,0)</f>
        <v>15.957073874741019</v>
      </c>
      <c r="EL18" s="13">
        <f t="shared" si="45"/>
        <v>5.3269860755326848</v>
      </c>
      <c r="EM18" s="20">
        <f t="shared" si="19"/>
        <v>37.069737746726702</v>
      </c>
      <c r="EN18" s="59">
        <f t="shared" si="20"/>
        <v>312.06973774672667</v>
      </c>
      <c r="EO18" s="59">
        <f ca="1">AVERAGE(OFFSET($EN$3,0,0,'Données projet'!$E$15+1,1))-AVERAGE(OFFSET($H$3,0,0,'Données projet'!$E$15+1,1))</f>
        <v>218.78765033569107</v>
      </c>
      <c r="EP18" s="59">
        <f t="shared" si="46"/>
        <v>246.54010105494137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37</v>
      </c>
      <c r="FC18" s="12">
        <f>VLOOKUP(A18,'Données projet'!$A$217:$I$237,9,0)</f>
        <v>2.4666666666666668</v>
      </c>
      <c r="FD18" s="12">
        <f t="array" ref="FD18">INDEX(FC:FC,MIN(IF(ISNUMBER(FC18:FC214),ROW(FC18:FC214),"")))</f>
        <v>2.4666666666666668</v>
      </c>
      <c r="FE18" s="12">
        <f>IF('Données projet'!$A$218&gt;35,FE17+FD18-FM17,IF(A18&lt;'Données projet'!$A$218,$FB$205^A18,IF(A18='Données projet'!$A$218,'Données projet'!$B$218,FE17+FD18-FM17)))</f>
        <v>37</v>
      </c>
      <c r="FF18" s="17">
        <f>FE18*VLOOKUP('Données projet'!$B$16,Paramètres!$A$1:$I$89,3,0)*VLOOKUP('Données projet'!$B$16,Paramètres!$A$1:$I$89,5,0)</f>
        <v>24.2424</v>
      </c>
      <c r="FG18" s="13">
        <f t="shared" si="47"/>
        <v>7.7083792976822032</v>
      </c>
      <c r="FH18" s="20">
        <f t="shared" si="22"/>
        <v>55.647607276796499</v>
      </c>
      <c r="FI18" s="59">
        <f t="shared" si="23"/>
        <v>330.64760727679652</v>
      </c>
      <c r="FJ18" s="59">
        <f ca="1">AVERAGE(OFFSET($FI$3,0,0,'Données projet'!$E$16+1,1))-AVERAGE(OFFSET($H$3,0,0,'Données projet'!$E$16+1,1))</f>
        <v>170.80796812111521</v>
      </c>
      <c r="FK18" s="59">
        <f t="shared" si="48"/>
        <v>249.84047400410321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15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368.01154650081702</v>
      </c>
      <c r="S19" s="59">
        <f ca="1">AVERAGE(OFFSET($R$3,0,0,'Données projet'!$E$9+1,1))-AVERAGE(OFFSET($H$3,0,0,'Données projet'!$E$9+1,1))</f>
        <v>333.02360594713667</v>
      </c>
      <c r="T19" s="59">
        <f t="shared" si="34"/>
        <v>546.58234447298014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1.6</v>
      </c>
      <c r="AI19" s="13">
        <f>IF('Données projet'!$A$62&gt;35,AI18+AH19-AQ18,IF(A19&lt;'Données projet'!$A$62,$AF$205^A19,IF(A19='Données projet'!$A$62,'Données projet'!$B$62,AI18+AH19-AQ18)))</f>
        <v>10.60030580926912</v>
      </c>
      <c r="AJ19" s="13">
        <f>AI19*VLOOKUP('Données projet'!$B$10,Paramètres!$A$1:$I$89,3,0)*VLOOKUP('Données projet'!$B$10,Paramètres!$A$1:$I$89,5,0)</f>
        <v>9.2604271549775046</v>
      </c>
      <c r="AK19" s="13">
        <f t="shared" si="35"/>
        <v>3.2935725466633858</v>
      </c>
      <c r="AL19" s="20">
        <f t="shared" si="4"/>
        <v>21.864882813691214</v>
      </c>
      <c r="AM19" s="59">
        <f t="shared" si="5"/>
        <v>298.08710503591345</v>
      </c>
      <c r="AN19" s="59">
        <f ca="1">AVERAGE(OFFSET($AM$3,0,0,'Données projet'!$E$10+1,1))-AVERAGE(OFFSET($H$3,0,0,'Données projet'!$E$10+1,1))</f>
        <v>243.26825841283591</v>
      </c>
      <c r="AO19" s="59">
        <f t="shared" si="36"/>
        <v>179.2944312100729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1.6</v>
      </c>
      <c r="BD19" s="12">
        <f>IF('Données projet'!$A$88&gt;35,BD18+BC19-BL18,IF(A19&lt;'Données projet'!$A$88,$BA$205^A19,IF(A19='Données projet'!$A$88,'Données projet'!$B$88,BD18+BC19-BL18)))</f>
        <v>10.60030580926912</v>
      </c>
      <c r="BE19" s="13">
        <f>BD19*VLOOKUP('Données projet'!$B$11,Paramètres!$A$1:$I$89,3,0)*VLOOKUP('Données projet'!$B$11,Paramètres!$A$1:$I$89,5,0)</f>
        <v>7.772144219356119</v>
      </c>
      <c r="BF19" s="13">
        <f t="shared" si="37"/>
        <v>2.8212005548339034</v>
      </c>
      <c r="BG19" s="20">
        <f t="shared" si="7"/>
        <v>18.45007548171429</v>
      </c>
      <c r="BH19" s="59">
        <f t="shared" si="8"/>
        <v>294.67229770393652</v>
      </c>
      <c r="BI19" s="59">
        <f ca="1">AVERAGE(OFFSET($BH$3,0,0,'Données projet'!$E$11+1,1))-AVERAGE(OFFSET($H$3,0,0,'Données projet'!$E$11+1,1))</f>
        <v>146.45728988963538</v>
      </c>
      <c r="BJ19" s="59">
        <f t="shared" si="38"/>
        <v>156.91778940341118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26.732160000000004</v>
      </c>
      <c r="CA19" s="13">
        <f t="shared" si="39"/>
        <v>8.4038705306032053</v>
      </c>
      <c r="CB19" s="20">
        <f t="shared" si="10"/>
        <v>61.195253174133917</v>
      </c>
      <c r="CC19" s="59">
        <f t="shared" si="11"/>
        <v>337.41747539635617</v>
      </c>
      <c r="CD19" s="59">
        <f ca="1">AVERAGE(OFFSET($CC$3,0,0,'Données projet'!$E$12+1,1))-AVERAGE(OFFSET($H$3,0,0,'Données projet'!$E$12+1,1))</f>
        <v>238.71022302719206</v>
      </c>
      <c r="CE19" s="59">
        <f t="shared" si="40"/>
        <v>294.28794439094878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11.6</v>
      </c>
      <c r="CT19" s="12">
        <f>IF('Données projet'!$A$140&gt;35,CT18+CS19-DB18,IF(A19&lt;'Données projet'!$A$140,$CQ$205^A19,IF(A19='Données projet'!$A$140,'Données projet'!$B$140,CT18+CS19-DB18)))</f>
        <v>33.6</v>
      </c>
      <c r="CU19" s="17">
        <f>CT19*VLOOKUP('Données projet'!$B$13,Paramètres!$A$1:$I$89,3,0)*VLOOKUP('Données projet'!$B$13,Paramètres!$A$1:$I$89,5,0)</f>
        <v>26.732160000000004</v>
      </c>
      <c r="CV19" s="13">
        <f t="shared" si="41"/>
        <v>8.4038705306032053</v>
      </c>
      <c r="CW19" s="20">
        <f t="shared" si="13"/>
        <v>61.195253174133917</v>
      </c>
      <c r="CX19" s="59">
        <f t="shared" si="14"/>
        <v>337.41747539635617</v>
      </c>
      <c r="CY19" s="59">
        <f ca="1">AVERAGE(OFFSET($CX$3,0,0,'Données projet'!$E$13+1,1))-AVERAGE(OFFSET($H$3,0,0,'Données projet'!$E$13+1,1))</f>
        <v>238.71022302719206</v>
      </c>
      <c r="CZ19" s="59">
        <f t="shared" si="42"/>
        <v>294.28794439094878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1.6</v>
      </c>
      <c r="DO19" s="12">
        <f>IF('Données projet'!$A$166&gt;35,DO18+DN19-DW18,IF(A19&lt;'Données projet'!$A$166,$DL$205^A19,IF(A19='Données projet'!$A$166,'Données projet'!$B$166,DO18+DN19-DW18)))</f>
        <v>10.60030580926912</v>
      </c>
      <c r="DP19" s="17">
        <f>DO19*VLOOKUP('Données projet'!$B$14,Paramètres!$A$1:$I$89,3,0)*VLOOKUP('Données projet'!$B$14,Paramètres!$A$1:$I$89,5,0)</f>
        <v>9.0950623843529055</v>
      </c>
      <c r="DQ19" s="13">
        <f t="shared" si="43"/>
        <v>3.2415503051811316</v>
      </c>
      <c r="DR19" s="20">
        <f t="shared" si="16"/>
        <v>21.486267100938448</v>
      </c>
      <c r="DS19" s="59">
        <f t="shared" si="17"/>
        <v>297.70848932316068</v>
      </c>
      <c r="DT19" s="59">
        <f ca="1">AVERAGE(OFFSET($DS$3,0,0,'Données projet'!$E$14+1,1))-AVERAGE(OFFSET($H$3,0,0,'Données projet'!$E$14+1,1))</f>
        <v>203.34232675618244</v>
      </c>
      <c r="DU19" s="59">
        <f t="shared" si="44"/>
        <v>176.81257896138806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2.1</v>
      </c>
      <c r="EJ19" s="12">
        <f>IF('Données projet'!$A$192&gt;35,EJ18+EI19-ER18,IF(A19&lt;'Données projet'!$A$192,$EG$205^A19,IF(A19='Données projet'!$A$192,'Données projet'!$B$192,EJ18+EI19-ER18)))</f>
        <v>19.888381054913147</v>
      </c>
      <c r="EK19" s="17">
        <f>EJ19*VLOOKUP('Données projet'!$B$15,Paramètres!$A$1:$I$89,3,0)*VLOOKUP('Données projet'!$B$15,Paramètres!$A$1:$I$89,5,0)</f>
        <v>19.236042156311996</v>
      </c>
      <c r="EL19" s="13">
        <f t="shared" si="45"/>
        <v>6.2834290449348904</v>
      </c>
      <c r="EM19" s="20">
        <f t="shared" si="19"/>
        <v>44.446412342171662</v>
      </c>
      <c r="EN19" s="59">
        <f t="shared" si="20"/>
        <v>320.66863456439387</v>
      </c>
      <c r="EO19" s="59">
        <f ca="1">AVERAGE(OFFSET($EN$3,0,0,'Données projet'!$E$15+1,1))-AVERAGE(OFFSET($H$3,0,0,'Données projet'!$E$15+1,1))</f>
        <v>218.78765033569107</v>
      </c>
      <c r="EP19" s="59">
        <f t="shared" si="46"/>
        <v>246.54010105494137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11.6</v>
      </c>
      <c r="FE19" s="12">
        <f>IF('Données projet'!$A$218&gt;35,FE18+FD19-FM18,IF(A19&lt;'Données projet'!$A$218,$FB$205^A19,IF(A19='Données projet'!$A$218,'Données projet'!$B$218,FE18+FD19-FM18)))</f>
        <v>33.6</v>
      </c>
      <c r="FF19" s="17">
        <f>FE19*VLOOKUP('Données projet'!$B$16,Paramètres!$A$1:$I$89,3,0)*VLOOKUP('Données projet'!$B$16,Paramètres!$A$1:$I$89,5,0)</f>
        <v>22.014720000000001</v>
      </c>
      <c r="FG19" s="13">
        <f t="shared" si="47"/>
        <v>7.0790245501888318</v>
      </c>
      <c r="FH19" s="20">
        <f t="shared" si="22"/>
        <v>50.671605091578876</v>
      </c>
      <c r="FI19" s="59">
        <f t="shared" si="23"/>
        <v>326.89382731380113</v>
      </c>
      <c r="FJ19" s="59">
        <f ca="1">AVERAGE(OFFSET($FI$3,0,0,'Données projet'!$E$16+1,1))-AVERAGE(OFFSET($H$3,0,0,'Données projet'!$E$16+1,1))</f>
        <v>170.80796812111521</v>
      </c>
      <c r="FK19" s="59">
        <f t="shared" si="48"/>
        <v>249.84047400410321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396.56865461000649</v>
      </c>
      <c r="S20" s="59">
        <f ca="1">AVERAGE(OFFSET($R$3,0,0,'Données projet'!$E$9+1,1))-AVERAGE(OFFSET($H$3,0,0,'Données projet'!$E$9+1,1))</f>
        <v>333.02360594713667</v>
      </c>
      <c r="T20" s="59">
        <f t="shared" si="34"/>
        <v>546.58234447298014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1.6</v>
      </c>
      <c r="AI20" s="13">
        <f>IF('Données projet'!$A$62&gt;35,AI19+AH20-AQ19,IF(A20&lt;'Données projet'!$A$62,$AF$205^A20,IF(A20='Données projet'!$A$62,'Données projet'!$B$62,AI19+AH20-AQ19)))</f>
        <v>12.285725116795957</v>
      </c>
      <c r="AJ20" s="13">
        <f>AI20*VLOOKUP('Données projet'!$B$10,Paramètres!$A$1:$I$89,3,0)*VLOOKUP('Données projet'!$B$10,Paramètres!$A$1:$I$89,5,0)</f>
        <v>10.73280946203295</v>
      </c>
      <c r="AK20" s="13">
        <f t="shared" si="35"/>
        <v>3.7522385611042433</v>
      </c>
      <c r="AL20" s="20">
        <f t="shared" si="4"/>
        <v>25.228125306963943</v>
      </c>
      <c r="AM20" s="59">
        <f t="shared" si="5"/>
        <v>302.67256975140839</v>
      </c>
      <c r="AN20" s="59">
        <f ca="1">AVERAGE(OFFSET($AM$3,0,0,'Données projet'!$E$10+1,1))-AVERAGE(OFFSET($H$3,0,0,'Données projet'!$E$10+1,1))</f>
        <v>243.26825841283591</v>
      </c>
      <c r="AO20" s="59">
        <f t="shared" si="36"/>
        <v>179.2944312100729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1.6</v>
      </c>
      <c r="BD20" s="12">
        <f>IF('Données projet'!$A$88&gt;35,BD19+BC20-BL19,IF(A20&lt;'Données projet'!$A$88,$BA$205^A20,IF(A20='Données projet'!$A$88,'Données projet'!$B$88,BD19+BC20-BL19)))</f>
        <v>12.285725116795957</v>
      </c>
      <c r="BE20" s="13">
        <f>BD20*VLOOKUP('Données projet'!$B$11,Paramètres!$A$1:$I$89,3,0)*VLOOKUP('Données projet'!$B$11,Paramètres!$A$1:$I$89,5,0)</f>
        <v>9.0078936556347955</v>
      </c>
      <c r="BF20" s="13">
        <f t="shared" si="37"/>
        <v>3.2140836008548277</v>
      </c>
      <c r="BG20" s="20">
        <f t="shared" si="7"/>
        <v>21.286610388386091</v>
      </c>
      <c r="BH20" s="59">
        <f t="shared" si="8"/>
        <v>298.73105483283052</v>
      </c>
      <c r="BI20" s="59">
        <f ca="1">AVERAGE(OFFSET($BH$3,0,0,'Données projet'!$E$11+1,1))-AVERAGE(OFFSET($H$3,0,0,'Données projet'!$E$11+1,1))</f>
        <v>146.45728988963538</v>
      </c>
      <c r="BJ20" s="59">
        <f t="shared" si="38"/>
        <v>156.91778940341118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35.961120000000008</v>
      </c>
      <c r="CA20" s="13">
        <f t="shared" si="39"/>
        <v>10.921600552662685</v>
      </c>
      <c r="CB20" s="20">
        <f t="shared" si="10"/>
        <v>81.654071629220851</v>
      </c>
      <c r="CC20" s="59">
        <f t="shared" si="11"/>
        <v>359.09851607366534</v>
      </c>
      <c r="CD20" s="59">
        <f ca="1">AVERAGE(OFFSET($CC$3,0,0,'Données projet'!$E$12+1,1))-AVERAGE(OFFSET($H$3,0,0,'Données projet'!$E$12+1,1))</f>
        <v>238.71022302719206</v>
      </c>
      <c r="CE20" s="59">
        <f t="shared" si="40"/>
        <v>294.28794439094878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11.6</v>
      </c>
      <c r="CT20" s="12">
        <f>IF('Données projet'!$A$140&gt;35,CT19+CS20-DB19,IF(A20&lt;'Données projet'!$A$140,$CQ$205^A20,IF(A20='Données projet'!$A$140,'Données projet'!$B$140,CT19+CS20-DB19)))</f>
        <v>45.2</v>
      </c>
      <c r="CU20" s="17">
        <f>CT20*VLOOKUP('Données projet'!$B$13,Paramètres!$A$1:$I$89,3,0)*VLOOKUP('Données projet'!$B$13,Paramètres!$A$1:$I$89,5,0)</f>
        <v>35.961120000000008</v>
      </c>
      <c r="CV20" s="13">
        <f t="shared" si="41"/>
        <v>10.921600552662685</v>
      </c>
      <c r="CW20" s="20">
        <f t="shared" si="13"/>
        <v>81.654071629220851</v>
      </c>
      <c r="CX20" s="59">
        <f t="shared" si="14"/>
        <v>359.09851607366534</v>
      </c>
      <c r="CY20" s="59">
        <f ca="1">AVERAGE(OFFSET($CX$3,0,0,'Données projet'!$E$13+1,1))-AVERAGE(OFFSET($H$3,0,0,'Données projet'!$E$13+1,1))</f>
        <v>238.71022302719206</v>
      </c>
      <c r="CZ20" s="59">
        <f t="shared" si="42"/>
        <v>294.28794439094878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1.6</v>
      </c>
      <c r="DO20" s="12">
        <f>IF('Données projet'!$A$166&gt;35,DO19+DN20-DW19,IF(A20&lt;'Données projet'!$A$166,$DL$205^A20,IF(A20='Données projet'!$A$166,'Données projet'!$B$166,DO19+DN20-DW19)))</f>
        <v>12.285725116795957</v>
      </c>
      <c r="DP20" s="17">
        <f>DO20*VLOOKUP('Données projet'!$B$14,Paramètres!$A$1:$I$89,3,0)*VLOOKUP('Données projet'!$B$14,Paramètres!$A$1:$I$89,5,0)</f>
        <v>10.541152150210932</v>
      </c>
      <c r="DQ20" s="13">
        <f t="shared" si="43"/>
        <v>3.6929716532832697</v>
      </c>
      <c r="DR20" s="20">
        <f t="shared" si="16"/>
        <v>24.7910989577524</v>
      </c>
      <c r="DS20" s="59">
        <f t="shared" si="17"/>
        <v>302.23554340219687</v>
      </c>
      <c r="DT20" s="59">
        <f ca="1">AVERAGE(OFFSET($DS$3,0,0,'Données projet'!$E$14+1,1))-AVERAGE(OFFSET($H$3,0,0,'Données projet'!$E$14+1,1))</f>
        <v>203.34232675618244</v>
      </c>
      <c r="DU20" s="59">
        <f t="shared" si="44"/>
        <v>176.81257896138806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2.1</v>
      </c>
      <c r="EJ20" s="12">
        <f>IF('Données projet'!$A$192&gt;35,EJ19+EI20-ER19,IF(A20&lt;'Données projet'!$A$192,$EG$205^A20,IF(A20='Données projet'!$A$192,'Données projet'!$B$192,EJ19+EI20-ER19)))</f>
        <v>23.975181126327602</v>
      </c>
      <c r="EK20" s="17">
        <f>EJ20*VLOOKUP('Données projet'!$B$15,Paramètres!$A$1:$I$89,3,0)*VLOOKUP('Données projet'!$B$15,Paramètres!$A$1:$I$89,5,0)</f>
        <v>23.188795185384055</v>
      </c>
      <c r="EL20" s="13">
        <f t="shared" si="45"/>
        <v>7.4115982288884323</v>
      </c>
      <c r="EM20" s="20">
        <f t="shared" si="19"/>
        <v>53.29568519652458</v>
      </c>
      <c r="EN20" s="59">
        <f t="shared" si="20"/>
        <v>330.74012964096903</v>
      </c>
      <c r="EO20" s="59">
        <f ca="1">AVERAGE(OFFSET($EN$3,0,0,'Données projet'!$E$15+1,1))-AVERAGE(OFFSET($H$3,0,0,'Données projet'!$E$15+1,1))</f>
        <v>218.78765033569107</v>
      </c>
      <c r="EP20" s="59">
        <f t="shared" si="46"/>
        <v>246.54010105494137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11.6</v>
      </c>
      <c r="FE20" s="12">
        <f>IF('Données projet'!$A$218&gt;35,FE19+FD20-FM19,IF(A20&lt;'Données projet'!$A$218,$FB$205^A20,IF(A20='Données projet'!$A$218,'Données projet'!$B$218,FE19+FD20-FM19)))</f>
        <v>45.2</v>
      </c>
      <c r="FF20" s="17">
        <f>FE20*VLOOKUP('Données projet'!$B$16,Paramètres!$A$1:$I$89,3,0)*VLOOKUP('Données projet'!$B$16,Paramètres!$A$1:$I$89,5,0)</f>
        <v>29.615040000000004</v>
      </c>
      <c r="FG20" s="13">
        <f t="shared" si="47"/>
        <v>9.1998416870072379</v>
      </c>
      <c r="FH20" s="20">
        <f t="shared" si="22"/>
        <v>67.602585604870953</v>
      </c>
      <c r="FI20" s="59">
        <f t="shared" si="23"/>
        <v>345.04703004931542</v>
      </c>
      <c r="FJ20" s="59">
        <f ca="1">AVERAGE(OFFSET($FI$3,0,0,'Données projet'!$E$16+1,1))-AVERAGE(OFFSET($H$3,0,0,'Données projet'!$E$16+1,1))</f>
        <v>170.80796812111521</v>
      </c>
      <c r="FK20" s="59">
        <f t="shared" si="48"/>
        <v>249.84047400410321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433.29228875555856</v>
      </c>
      <c r="S21" s="59">
        <f ca="1">AVERAGE(OFFSET($R$3,0,0,'Données projet'!$E$9+1,1))-AVERAGE(OFFSET($H$3,0,0,'Données projet'!$E$9+1,1))</f>
        <v>333.02360594713667</v>
      </c>
      <c r="T21" s="59">
        <f t="shared" si="34"/>
        <v>546.58234447298014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1.6</v>
      </c>
      <c r="AI21" s="13">
        <f>IF('Données projet'!$A$62&gt;35,AI20+AH21-AQ20,IF(A21&lt;'Données projet'!$A$62,$AF$205^A21,IF(A21='Données projet'!$A$62,'Données projet'!$B$62,AI20+AH21-AQ20)))</f>
        <v>14.23912143303327</v>
      </c>
      <c r="AJ21" s="13">
        <f>AI21*VLOOKUP('Données projet'!$B$10,Paramètres!$A$1:$I$89,3,0)*VLOOKUP('Données projet'!$B$10,Paramètres!$A$1:$I$89,5,0)</f>
        <v>12.439296483897866</v>
      </c>
      <c r="AK21" s="13">
        <f t="shared" si="35"/>
        <v>4.2747788366468296</v>
      </c>
      <c r="AL21" s="20">
        <f t="shared" si="4"/>
        <v>29.110347849948678</v>
      </c>
      <c r="AM21" s="59">
        <f t="shared" si="5"/>
        <v>307.77701451661534</v>
      </c>
      <c r="AN21" s="59">
        <f ca="1">AVERAGE(OFFSET($AM$3,0,0,'Données projet'!$E$10+1,1))-AVERAGE(OFFSET($H$3,0,0,'Données projet'!$E$10+1,1))</f>
        <v>243.26825841283591</v>
      </c>
      <c r="AO21" s="59">
        <f t="shared" si="36"/>
        <v>179.2944312100729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1.6</v>
      </c>
      <c r="BD21" s="12">
        <f>IF('Données projet'!$A$88&gt;35,BD20+BC21-BL20,IF(A21&lt;'Données projet'!$A$88,$BA$205^A21,IF(A21='Données projet'!$A$88,'Données projet'!$B$88,BD20+BC21-BL20)))</f>
        <v>14.23912143303327</v>
      </c>
      <c r="BE21" s="13">
        <f>BD21*VLOOKUP('Données projet'!$B$11,Paramètres!$A$1:$I$89,3,0)*VLOOKUP('Données projet'!$B$11,Paramètres!$A$1:$I$89,5,0)</f>
        <v>10.440123834699992</v>
      </c>
      <c r="BF21" s="13">
        <f t="shared" si="37"/>
        <v>3.6616799098467956</v>
      </c>
      <c r="BG21" s="20">
        <f t="shared" si="7"/>
        <v>24.560641521752327</v>
      </c>
      <c r="BH21" s="59">
        <f t="shared" si="8"/>
        <v>303.22730818841899</v>
      </c>
      <c r="BI21" s="59">
        <f ca="1">AVERAGE(OFFSET($BH$3,0,0,'Données projet'!$E$11+1,1))-AVERAGE(OFFSET($H$3,0,0,'Données projet'!$E$11+1,1))</f>
        <v>146.45728988963538</v>
      </c>
      <c r="BJ21" s="59">
        <f t="shared" si="38"/>
        <v>156.91778940341118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45.190080000000009</v>
      </c>
      <c r="CA21" s="13">
        <f t="shared" si="39"/>
        <v>13.364359727915414</v>
      </c>
      <c r="CB21" s="20">
        <f t="shared" si="10"/>
        <v>101.98231585945268</v>
      </c>
      <c r="CC21" s="59">
        <f t="shared" si="11"/>
        <v>380.64898252611937</v>
      </c>
      <c r="CD21" s="59">
        <f ca="1">AVERAGE(OFFSET($CC$3,0,0,'Données projet'!$E$12+1,1))-AVERAGE(OFFSET($H$3,0,0,'Données projet'!$E$12+1,1))</f>
        <v>238.71022302719206</v>
      </c>
      <c r="CE21" s="59">
        <f t="shared" si="40"/>
        <v>294.28794439094878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11.6</v>
      </c>
      <c r="CT21" s="12">
        <f>IF('Données projet'!$A$140&gt;35,CT20+CS21-DB20,IF(A21&lt;'Données projet'!$A$140,$CQ$205^A21,IF(A21='Données projet'!$A$140,'Données projet'!$B$140,CT20+CS21-DB20)))</f>
        <v>56.800000000000004</v>
      </c>
      <c r="CU21" s="17">
        <f>CT21*VLOOKUP('Données projet'!$B$13,Paramètres!$A$1:$I$89,3,0)*VLOOKUP('Données projet'!$B$13,Paramètres!$A$1:$I$89,5,0)</f>
        <v>45.190080000000009</v>
      </c>
      <c r="CV21" s="13">
        <f t="shared" si="41"/>
        <v>13.364359727915414</v>
      </c>
      <c r="CW21" s="20">
        <f t="shared" si="13"/>
        <v>101.98231585945268</v>
      </c>
      <c r="CX21" s="59">
        <f t="shared" si="14"/>
        <v>380.64898252611937</v>
      </c>
      <c r="CY21" s="59">
        <f ca="1">AVERAGE(OFFSET($CX$3,0,0,'Données projet'!$E$13+1,1))-AVERAGE(OFFSET($H$3,0,0,'Données projet'!$E$13+1,1))</f>
        <v>238.71022302719206</v>
      </c>
      <c r="CZ21" s="59">
        <f t="shared" si="42"/>
        <v>294.28794439094878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1.6</v>
      </c>
      <c r="DO21" s="12">
        <f>IF('Données projet'!$A$166&gt;35,DO20+DN21-DW20,IF(A21&lt;'Données projet'!$A$166,$DL$205^A21,IF(A21='Données projet'!$A$166,'Données projet'!$B$166,DO20+DN21-DW20)))</f>
        <v>14.23912143303327</v>
      </c>
      <c r="DP21" s="17">
        <f>DO21*VLOOKUP('Données projet'!$B$14,Paramètres!$A$1:$I$89,3,0)*VLOOKUP('Données projet'!$B$14,Paramètres!$A$1:$I$89,5,0)</f>
        <v>12.217166189542548</v>
      </c>
      <c r="DQ21" s="13">
        <f t="shared" si="43"/>
        <v>4.2072583634304257</v>
      </c>
      <c r="DR21" s="20">
        <f t="shared" si="16"/>
        <v>28.605872763094592</v>
      </c>
      <c r="DS21" s="59">
        <f t="shared" si="17"/>
        <v>307.27253942976125</v>
      </c>
      <c r="DT21" s="59">
        <f ca="1">AVERAGE(OFFSET($DS$3,0,0,'Données projet'!$E$14+1,1))-AVERAGE(OFFSET($H$3,0,0,'Données projet'!$E$14+1,1))</f>
        <v>203.34232675618244</v>
      </c>
      <c r="DU21" s="59">
        <f t="shared" si="44"/>
        <v>176.81257896138806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2.1</v>
      </c>
      <c r="EJ21" s="12">
        <f>IF('Données projet'!$A$192&gt;35,EJ20+EI21-ER20,IF(A21&lt;'Données projet'!$A$192,$EG$205^A21,IF(A21='Données projet'!$A$192,'Données projet'!$B$192,EJ20+EI21-ER20)))</f>
        <v>28.901764726506816</v>
      </c>
      <c r="EK21" s="17">
        <f>EJ21*VLOOKUP('Données projet'!$B$15,Paramètres!$A$1:$I$89,3,0)*VLOOKUP('Données projet'!$B$15,Paramètres!$A$1:$I$89,5,0)</f>
        <v>27.953786843477392</v>
      </c>
      <c r="EL21" s="13">
        <f t="shared" si="45"/>
        <v>8.7423265089215931</v>
      </c>
      <c r="EM21" s="20">
        <f t="shared" si="19"/>
        <v>63.912397422094891</v>
      </c>
      <c r="EN21" s="59">
        <f t="shared" si="20"/>
        <v>342.57906408876158</v>
      </c>
      <c r="EO21" s="59">
        <f ca="1">AVERAGE(OFFSET($EN$3,0,0,'Données projet'!$E$15+1,1))-AVERAGE(OFFSET($H$3,0,0,'Données projet'!$E$15+1,1))</f>
        <v>218.78765033569107</v>
      </c>
      <c r="EP21" s="59">
        <f t="shared" si="46"/>
        <v>246.54010105494137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11.6</v>
      </c>
      <c r="FE21" s="12">
        <f>IF('Données projet'!$A$218&gt;35,FE20+FD21-FM20,IF(A21&lt;'Données projet'!$A$218,$FB$205^A21,IF(A21='Données projet'!$A$218,'Données projet'!$B$218,FE20+FD21-FM20)))</f>
        <v>56.800000000000004</v>
      </c>
      <c r="FF21" s="17">
        <f>FE21*VLOOKUP('Données projet'!$B$16,Paramètres!$A$1:$I$89,3,0)*VLOOKUP('Données projet'!$B$16,Paramètres!$A$1:$I$89,5,0)</f>
        <v>37.215360000000004</v>
      </c>
      <c r="FG21" s="13">
        <f t="shared" si="47"/>
        <v>11.257506915052097</v>
      </c>
      <c r="FH21" s="20">
        <f t="shared" si="22"/>
        <v>84.42357654371574</v>
      </c>
      <c r="FI21" s="59">
        <f t="shared" si="23"/>
        <v>363.09024321038243</v>
      </c>
      <c r="FJ21" s="59">
        <f ca="1">AVERAGE(OFFSET($FI$3,0,0,'Données projet'!$E$16+1,1))-AVERAGE(OFFSET($H$3,0,0,'Données projet'!$E$16+1,1))</f>
        <v>170.80796812111521</v>
      </c>
      <c r="FK21" s="59">
        <f t="shared" si="48"/>
        <v>249.84047400410321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480.62947485620896</v>
      </c>
      <c r="S22" s="59">
        <f ca="1">AVERAGE(OFFSET($R$3,0,0,'Données projet'!$E$9+1,1))-AVERAGE(OFFSET($H$3,0,0,'Données projet'!$E$9+1,1))</f>
        <v>333.02360594713667</v>
      </c>
      <c r="T22" s="59">
        <f t="shared" si="34"/>
        <v>546.58234447298014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1.6</v>
      </c>
      <c r="AI22" s="13">
        <f>IF('Données projet'!$A$62&gt;35,AI21+AH22-AQ21,IF(A22&lt;'Données projet'!$A$62,$AF$205^A22,IF(A22='Données projet'!$A$62,'Données projet'!$B$62,AI21+AH22-AQ21)))</f>
        <v>16.503102361250299</v>
      </c>
      <c r="AJ22" s="13">
        <f>AI22*VLOOKUP('Données projet'!$B$10,Paramètres!$A$1:$I$89,3,0)*VLOOKUP('Données projet'!$B$10,Paramètres!$A$1:$I$89,5,0)</f>
        <v>14.417110222788262</v>
      </c>
      <c r="AK22" s="13">
        <f t="shared" si="35"/>
        <v>4.8700885630432458</v>
      </c>
      <c r="AL22" s="20">
        <f t="shared" si="4"/>
        <v>33.591871218656543</v>
      </c>
      <c r="AM22" s="59">
        <f t="shared" si="5"/>
        <v>313.48076010754539</v>
      </c>
      <c r="AN22" s="59">
        <f ca="1">AVERAGE(OFFSET($AM$3,0,0,'Données projet'!$E$10+1,1))-AVERAGE(OFFSET($H$3,0,0,'Données projet'!$E$10+1,1))</f>
        <v>243.26825841283591</v>
      </c>
      <c r="AO22" s="59">
        <f t="shared" si="36"/>
        <v>179.2944312100729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1.6</v>
      </c>
      <c r="BD22" s="12">
        <f>IF('Données projet'!$A$88&gt;35,BD21+BC22-BL21,IF(A22&lt;'Données projet'!$A$88,$BA$205^A22,IF(A22='Données projet'!$A$88,'Données projet'!$B$88,BD21+BC22-BL21)))</f>
        <v>16.503102361250299</v>
      </c>
      <c r="BE22" s="13">
        <f>BD22*VLOOKUP('Données projet'!$B$11,Paramètres!$A$1:$I$89,3,0)*VLOOKUP('Données projet'!$B$11,Paramètres!$A$1:$I$89,5,0)</f>
        <v>12.10007465126872</v>
      </c>
      <c r="BF22" s="13">
        <f t="shared" si="37"/>
        <v>4.171608902335219</v>
      </c>
      <c r="BG22" s="20">
        <f t="shared" si="7"/>
        <v>28.339848855860193</v>
      </c>
      <c r="BH22" s="59">
        <f t="shared" si="8"/>
        <v>308.22873774474903</v>
      </c>
      <c r="BI22" s="59">
        <f ca="1">AVERAGE(OFFSET($BH$3,0,0,'Données projet'!$E$11+1,1))-AVERAGE(OFFSET($H$3,0,0,'Données projet'!$E$11+1,1))</f>
        <v>146.45728988963538</v>
      </c>
      <c r="BJ22" s="59">
        <f t="shared" si="38"/>
        <v>156.91778940341118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54.419040000000003</v>
      </c>
      <c r="CA22" s="13">
        <f t="shared" si="39"/>
        <v>15.749310274925152</v>
      </c>
      <c r="CB22" s="20">
        <f t="shared" si="10"/>
        <v>122.20987672882796</v>
      </c>
      <c r="CC22" s="59">
        <f t="shared" si="11"/>
        <v>402.09876561771682</v>
      </c>
      <c r="CD22" s="59">
        <f ca="1">AVERAGE(OFFSET($CC$3,0,0,'Données projet'!$E$12+1,1))-AVERAGE(OFFSET($H$3,0,0,'Données projet'!$E$12+1,1))</f>
        <v>238.71022302719206</v>
      </c>
      <c r="CE22" s="59">
        <f t="shared" si="40"/>
        <v>294.28794439094878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11.6</v>
      </c>
      <c r="CT22" s="12">
        <f>IF('Données projet'!$A$140&gt;35,CT21+CS22-DB21,IF(A22&lt;'Données projet'!$A$140,$CQ$205^A22,IF(A22='Données projet'!$A$140,'Données projet'!$B$140,CT21+CS22-DB21)))</f>
        <v>68.400000000000006</v>
      </c>
      <c r="CU22" s="17">
        <f>CT22*VLOOKUP('Données projet'!$B$13,Paramètres!$A$1:$I$89,3,0)*VLOOKUP('Données projet'!$B$13,Paramètres!$A$1:$I$89,5,0)</f>
        <v>54.419040000000003</v>
      </c>
      <c r="CV22" s="13">
        <f t="shared" si="41"/>
        <v>15.749310274925152</v>
      </c>
      <c r="CW22" s="20">
        <f t="shared" si="13"/>
        <v>122.20987672882796</v>
      </c>
      <c r="CX22" s="59">
        <f t="shared" si="14"/>
        <v>402.09876561771682</v>
      </c>
      <c r="CY22" s="59">
        <f ca="1">AVERAGE(OFFSET($CX$3,0,0,'Données projet'!$E$13+1,1))-AVERAGE(OFFSET($H$3,0,0,'Données projet'!$E$13+1,1))</f>
        <v>238.71022302719206</v>
      </c>
      <c r="CZ22" s="59">
        <f t="shared" si="42"/>
        <v>294.28794439094878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1.6</v>
      </c>
      <c r="DO22" s="12">
        <f>IF('Données projet'!$A$166&gt;35,DO21+DN22-DW21,IF(A22&lt;'Données projet'!$A$166,$DL$205^A22,IF(A22='Données projet'!$A$166,'Données projet'!$B$166,DO21+DN22-DW21)))</f>
        <v>16.503102361250299</v>
      </c>
      <c r="DP22" s="17">
        <f>DO22*VLOOKUP('Données projet'!$B$14,Paramètres!$A$1:$I$89,3,0)*VLOOKUP('Données projet'!$B$14,Paramètres!$A$1:$I$89,5,0)</f>
        <v>14.159661825952757</v>
      </c>
      <c r="DQ22" s="13">
        <f t="shared" si="43"/>
        <v>4.7931651251419742</v>
      </c>
      <c r="DR22" s="20">
        <f t="shared" si="16"/>
        <v>33.009506939823325</v>
      </c>
      <c r="DS22" s="59">
        <f t="shared" si="17"/>
        <v>312.89839582871218</v>
      </c>
      <c r="DT22" s="59">
        <f ca="1">AVERAGE(OFFSET($DS$3,0,0,'Données projet'!$E$14+1,1))-AVERAGE(OFFSET($H$3,0,0,'Données projet'!$E$14+1,1))</f>
        <v>203.34232675618244</v>
      </c>
      <c r="DU22" s="59">
        <f t="shared" si="44"/>
        <v>176.81257896138806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2.1</v>
      </c>
      <c r="EJ22" s="12">
        <f>IF('Données projet'!$A$192&gt;35,EJ21+EI22-ER21,IF(A22&lt;'Données projet'!$A$192,$EG$205^A22,IF(A22='Données projet'!$A$192,'Données projet'!$B$192,EJ21+EI22-ER21)))</f>
        <v>34.840696297767764</v>
      </c>
      <c r="EK22" s="17">
        <f>EJ22*VLOOKUP('Données projet'!$B$15,Paramètres!$A$1:$I$89,3,0)*VLOOKUP('Données projet'!$B$15,Paramètres!$A$1:$I$89,5,0)</f>
        <v>33.697921459200977</v>
      </c>
      <c r="EL22" s="13">
        <f t="shared" si="45"/>
        <v>10.31198270984201</v>
      </c>
      <c r="EM22" s="20">
        <f t="shared" si="19"/>
        <v>76.650583094416518</v>
      </c>
      <c r="EN22" s="59">
        <f t="shared" si="20"/>
        <v>356.53947198330536</v>
      </c>
      <c r="EO22" s="59">
        <f ca="1">AVERAGE(OFFSET($EN$3,0,0,'Données projet'!$E$15+1,1))-AVERAGE(OFFSET($H$3,0,0,'Données projet'!$E$15+1,1))</f>
        <v>218.78765033569107</v>
      </c>
      <c r="EP22" s="59">
        <f t="shared" si="46"/>
        <v>246.54010105494137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11.6</v>
      </c>
      <c r="FE22" s="12">
        <f>IF('Données projet'!$A$218&gt;35,FE21+FD22-FM21,IF(A22&lt;'Données projet'!$A$218,$FB$205^A22,IF(A22='Données projet'!$A$218,'Données projet'!$B$218,FE21+FD22-FM21)))</f>
        <v>68.400000000000006</v>
      </c>
      <c r="FF22" s="17">
        <f>FE22*VLOOKUP('Données projet'!$B$16,Paramètres!$A$1:$I$89,3,0)*VLOOKUP('Données projet'!$B$16,Paramètres!$A$1:$I$89,5,0)</f>
        <v>44.81568</v>
      </c>
      <c r="FG22" s="13">
        <f t="shared" si="47"/>
        <v>13.266476878569183</v>
      </c>
      <c r="FH22" s="20">
        <f t="shared" si="22"/>
        <v>101.15975656350798</v>
      </c>
      <c r="FI22" s="59">
        <f t="shared" si="23"/>
        <v>381.04864545239684</v>
      </c>
      <c r="FJ22" s="59">
        <f ca="1">AVERAGE(OFFSET($FI$3,0,0,'Données projet'!$E$16+1,1))-AVERAGE(OFFSET($H$3,0,0,'Données projet'!$E$16+1,1))</f>
        <v>170.80796812111521</v>
      </c>
      <c r="FK22" s="59">
        <f t="shared" si="48"/>
        <v>249.84047400410321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9">
        <f t="shared" si="0"/>
        <v>516.62315313877355</v>
      </c>
      <c r="S23" s="59">
        <f ca="1">AVERAGE(OFFSET($R$3,0,0,'Données projet'!$E$9+1,1))-AVERAGE(OFFSET($H$3,0,0,'Données projet'!$E$9+1,1))</f>
        <v>333.02360594713667</v>
      </c>
      <c r="T23" s="59">
        <f t="shared" si="34"/>
        <v>546.58234447298014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1.6</v>
      </c>
      <c r="AI23" s="13">
        <f>IF('Données projet'!$A$62&gt;35,AI22+AH23-AQ22,IF(A23&lt;'Données projet'!$A$62,$AF$205^A23,IF(A23='Données projet'!$A$62,'Données projet'!$B$62,AI22+AH23-AQ22)))</f>
        <v>19.127049995800739</v>
      </c>
      <c r="AJ23" s="13">
        <f>AI23*VLOOKUP('Données projet'!$B$10,Paramètres!$A$1:$I$89,3,0)*VLOOKUP('Données projet'!$B$10,Paramètres!$A$1:$I$89,5,0)</f>
        <v>16.709390876331526</v>
      </c>
      <c r="AK23" s="13">
        <f t="shared" si="35"/>
        <v>5.5483016825471676</v>
      </c>
      <c r="AL23" s="20">
        <f t="shared" si="4"/>
        <v>38.76548120671373</v>
      </c>
      <c r="AM23" s="59">
        <f t="shared" si="5"/>
        <v>319.87659231782487</v>
      </c>
      <c r="AN23" s="59">
        <f ca="1">AVERAGE(OFFSET($AM$3,0,0,'Données projet'!$E$10+1,1))-AVERAGE(OFFSET($H$3,0,0,'Données projet'!$E$10+1,1))</f>
        <v>243.26825841283591</v>
      </c>
      <c r="AO23" s="59">
        <f t="shared" si="36"/>
        <v>179.2944312100729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1.6</v>
      </c>
      <c r="BD23" s="12">
        <f>IF('Données projet'!$A$88&gt;35,BD22+BC23-BL22,IF(A23&lt;'Données projet'!$A$88,$BA$205^A23,IF(A23='Données projet'!$A$88,'Données projet'!$B$88,BD22+BC23-BL22)))</f>
        <v>19.127049995800739</v>
      </c>
      <c r="BE23" s="13">
        <f>BD23*VLOOKUP('Données projet'!$B$11,Paramètres!$A$1:$I$89,3,0)*VLOOKUP('Données projet'!$B$11,Paramètres!$A$1:$I$89,5,0)</f>
        <v>14.023953056921103</v>
      </c>
      <c r="BF23" s="13">
        <f t="shared" si="37"/>
        <v>4.7525510865231695</v>
      </c>
      <c r="BG23" s="20">
        <f t="shared" si="7"/>
        <v>32.702411383165433</v>
      </c>
      <c r="BH23" s="59">
        <f t="shared" si="8"/>
        <v>313.81352249427658</v>
      </c>
      <c r="BI23" s="59">
        <f ca="1">AVERAGE(OFFSET($BH$3,0,0,'Données projet'!$E$11+1,1))-AVERAGE(OFFSET($H$3,0,0,'Données projet'!$E$11+1,1))</f>
        <v>146.45728988963538</v>
      </c>
      <c r="BJ23" s="59">
        <f t="shared" si="38"/>
        <v>156.91778940341118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63.647999999999996</v>
      </c>
      <c r="CA23" s="13">
        <f t="shared" si="39"/>
        <v>18.087405707268363</v>
      </c>
      <c r="CB23" s="20">
        <f t="shared" si="10"/>
        <v>142.35583160682572</v>
      </c>
      <c r="CC23" s="59">
        <f t="shared" si="11"/>
        <v>423.46694271793683</v>
      </c>
      <c r="CD23" s="59">
        <f ca="1">AVERAGE(OFFSET($CC$3,0,0,'Données projet'!$E$12+1,1))-AVERAGE(OFFSET($H$3,0,0,'Données projet'!$E$12+1,1))</f>
        <v>238.71022302719206</v>
      </c>
      <c r="CE23" s="59">
        <f t="shared" si="40"/>
        <v>294.28794439094878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80</v>
      </c>
      <c r="CR23" s="12">
        <f>VLOOKUP(A23,'Données projet'!$A$139:$I$159,9,0)</f>
        <v>11.6</v>
      </c>
      <c r="CS23" s="12">
        <f t="array" ref="CS23">INDEX(CR:CR,MIN(IF(ISNUMBER(CR23:CR219),ROW(CR23:CR219),"")))</f>
        <v>11.6</v>
      </c>
      <c r="CT23" s="12">
        <f>IF('Données projet'!$A$140&gt;35,CT22+CS23-DB22,IF(A23&lt;'Données projet'!$A$140,$CQ$205^A23,IF(A23='Données projet'!$A$140,'Données projet'!$B$140,CT22+CS23-DB22)))</f>
        <v>80</v>
      </c>
      <c r="CU23" s="17">
        <f>CT23*VLOOKUP('Données projet'!$B$13,Paramètres!$A$1:$I$89,3,0)*VLOOKUP('Données projet'!$B$13,Paramètres!$A$1:$I$89,5,0)</f>
        <v>63.647999999999996</v>
      </c>
      <c r="CV23" s="13">
        <f t="shared" si="41"/>
        <v>18.087405707268363</v>
      </c>
      <c r="CW23" s="20">
        <f t="shared" si="13"/>
        <v>142.35583160682572</v>
      </c>
      <c r="CX23" s="59">
        <f t="shared" si="14"/>
        <v>423.46694271793683</v>
      </c>
      <c r="CY23" s="59">
        <f ca="1">AVERAGE(OFFSET($CX$3,0,0,'Données projet'!$E$13+1,1))-AVERAGE(OFFSET($H$3,0,0,'Données projet'!$E$13+1,1))</f>
        <v>238.71022302719206</v>
      </c>
      <c r="CZ23" s="59">
        <f t="shared" si="42"/>
        <v>294.28794439094878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28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1.6</v>
      </c>
      <c r="DO23" s="12">
        <f>IF('Données projet'!$A$166&gt;35,DO22+DN23-DW22,IF(A23&lt;'Données projet'!$A$166,$DL$205^A23,IF(A23='Données projet'!$A$166,'Données projet'!$B$166,DO22+DN23-DW22)))</f>
        <v>19.127049995800739</v>
      </c>
      <c r="DP23" s="17">
        <f>DO23*VLOOKUP('Données projet'!$B$14,Paramètres!$A$1:$I$89,3,0)*VLOOKUP('Données projet'!$B$14,Paramètres!$A$1:$I$89,5,0)</f>
        <v>16.411008896397036</v>
      </c>
      <c r="DQ23" s="13">
        <f t="shared" si="43"/>
        <v>5.4606658142441402</v>
      </c>
      <c r="DR23" s="20">
        <f t="shared" si="16"/>
        <v>38.093166787700049</v>
      </c>
      <c r="DS23" s="59">
        <f t="shared" si="17"/>
        <v>319.2042778988112</v>
      </c>
      <c r="DT23" s="59">
        <f ca="1">AVERAGE(OFFSET($DS$3,0,0,'Données projet'!$E$14+1,1))-AVERAGE(OFFSET($H$3,0,0,'Données projet'!$E$14+1,1))</f>
        <v>203.34232675618244</v>
      </c>
      <c r="DU23" s="59">
        <f t="shared" si="44"/>
        <v>176.81257896138806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42</v>
      </c>
      <c r="EH23" s="12">
        <f>VLOOKUP(A23,'Données projet'!$A$191:$I$211,9,0)</f>
        <v>2.1</v>
      </c>
      <c r="EI23" s="12">
        <f t="array" ref="EI23">INDEX(EH:EH,MIN(IF(ISNUMBER(EH23:EH219),ROW(EH23:EH219),"")))</f>
        <v>2.1</v>
      </c>
      <c r="EJ23" s="12">
        <f>IF('Données projet'!$A$192&gt;35,EJ22+EI23-ER22,IF(A23&lt;'Données projet'!$A$192,$EG$205^A23,IF(A23='Données projet'!$A$192,'Données projet'!$B$192,EJ22+EI23-ER22)))</f>
        <v>42</v>
      </c>
      <c r="EK23" s="17">
        <f>EJ23*VLOOKUP('Données projet'!$B$15,Paramètres!$A$1:$I$89,3,0)*VLOOKUP('Données projet'!$B$15,Paramètres!$A$1:$I$89,5,0)</f>
        <v>40.622399999999999</v>
      </c>
      <c r="EL23" s="13">
        <f t="shared" si="45"/>
        <v>12.163465560290264</v>
      </c>
      <c r="EM23" s="20">
        <f t="shared" si="19"/>
        <v>91.935382517505545</v>
      </c>
      <c r="EN23" s="59">
        <f t="shared" si="20"/>
        <v>373.0464936286167</v>
      </c>
      <c r="EO23" s="59">
        <f ca="1">AVERAGE(OFFSET($EN$3,0,0,'Données projet'!$E$15+1,1))-AVERAGE(OFFSET($H$3,0,0,'Données projet'!$E$15+1,1))</f>
        <v>218.78765033569107</v>
      </c>
      <c r="EP23" s="59">
        <f t="shared" si="46"/>
        <v>246.54010105494137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80</v>
      </c>
      <c r="FC23" s="12">
        <f>VLOOKUP(A23,'Données projet'!$A$217:$I$237,9,0)</f>
        <v>11.6</v>
      </c>
      <c r="FD23" s="12">
        <f t="array" ref="FD23">INDEX(FC:FC,MIN(IF(ISNUMBER(FC23:FC219),ROW(FC23:FC219),"")))</f>
        <v>11.6</v>
      </c>
      <c r="FE23" s="12">
        <f>IF('Données projet'!$A$218&gt;35,FE22+FD23-FM22,IF(A23&lt;'Données projet'!$A$218,$FB$205^A23,IF(A23='Données projet'!$A$218,'Données projet'!$B$218,FE22+FD23-FM22)))</f>
        <v>80</v>
      </c>
      <c r="FF23" s="17">
        <f>FE23*VLOOKUP('Données projet'!$B$16,Paramètres!$A$1:$I$89,3,0)*VLOOKUP('Données projet'!$B$16,Paramètres!$A$1:$I$89,5,0)</f>
        <v>52.416000000000004</v>
      </c>
      <c r="FG23" s="13">
        <f t="shared" si="47"/>
        <v>15.235978301273029</v>
      </c>
      <c r="FH23" s="20">
        <f t="shared" si="22"/>
        <v>117.82719554138386</v>
      </c>
      <c r="FI23" s="59">
        <f t="shared" si="23"/>
        <v>398.93830665249499</v>
      </c>
      <c r="FJ23" s="59">
        <f ca="1">AVERAGE(OFFSET($FI$3,0,0,'Données projet'!$E$16+1,1))-AVERAGE(OFFSET($H$3,0,0,'Données projet'!$E$16+1,1))</f>
        <v>170.80796812111521</v>
      </c>
      <c r="FK23" s="59">
        <f t="shared" si="48"/>
        <v>249.84047400410321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28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9">
        <f t="shared" si="0"/>
        <v>552.4995651481911</v>
      </c>
      <c r="S24" s="59">
        <f ca="1">AVERAGE(OFFSET($R$3,0,0,'Données projet'!$E$9+1,1))-AVERAGE(OFFSET($H$3,0,0,'Données projet'!$E$9+1,1))</f>
        <v>333.02360594713667</v>
      </c>
      <c r="T24" s="59">
        <f t="shared" si="34"/>
        <v>546.58234447298014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1.6</v>
      </c>
      <c r="AI24" s="13">
        <f>IF('Données projet'!$A$62&gt;35,AI23+AH24-AQ23,IF(A24&lt;'Données projet'!$A$62,$AF$205^A24,IF(A24='Données projet'!$A$62,'Données projet'!$B$62,AI23+AH24-AQ23)))</f>
        <v>22.168198047469673</v>
      </c>
      <c r="AJ24" s="13">
        <f>AI24*VLOOKUP('Données projet'!$B$10,Paramètres!$A$1:$I$89,3,0)*VLOOKUP('Données projet'!$B$10,Paramètres!$A$1:$I$89,5,0)</f>
        <v>19.366137814269507</v>
      </c>
      <c r="AK24" s="13">
        <f t="shared" si="35"/>
        <v>6.3209633997537589</v>
      </c>
      <c r="AL24" s="20">
        <f t="shared" si="4"/>
        <v>44.738367947757183</v>
      </c>
      <c r="AM24" s="59">
        <f t="shared" si="5"/>
        <v>327.0717012810905</v>
      </c>
      <c r="AN24" s="59">
        <f ca="1">AVERAGE(OFFSET($AM$3,0,0,'Données projet'!$E$10+1,1))-AVERAGE(OFFSET($H$3,0,0,'Données projet'!$E$10+1,1))</f>
        <v>243.26825841283591</v>
      </c>
      <c r="AO24" s="59">
        <f t="shared" si="36"/>
        <v>179.2944312100729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1.6</v>
      </c>
      <c r="BD24" s="12">
        <f>IF('Données projet'!$A$88&gt;35,BD23+BC24-BL23,IF(A24&lt;'Données projet'!$A$88,$BA$205^A24,IF(A24='Données projet'!$A$88,'Données projet'!$B$88,BD23+BC24-BL23)))</f>
        <v>22.168198047469673</v>
      </c>
      <c r="BE24" s="13">
        <f>BD24*VLOOKUP('Données projet'!$B$11,Paramètres!$A$1:$I$89,3,0)*VLOOKUP('Données projet'!$B$11,Paramètres!$A$1:$I$89,5,0)</f>
        <v>16.253722808404767</v>
      </c>
      <c r="BF24" s="13">
        <f t="shared" si="37"/>
        <v>5.4143958263606056</v>
      </c>
      <c r="BG24" s="20">
        <f t="shared" si="7"/>
        <v>37.738639955549687</v>
      </c>
      <c r="BH24" s="59">
        <f t="shared" si="8"/>
        <v>320.07197328888299</v>
      </c>
      <c r="BI24" s="59">
        <f ca="1">AVERAGE(OFFSET($BH$3,0,0,'Données projet'!$E$11+1,1))-AVERAGE(OFFSET($H$3,0,0,'Données projet'!$E$11+1,1))</f>
        <v>146.45728988963538</v>
      </c>
      <c r="BJ24" s="59">
        <f t="shared" si="38"/>
        <v>156.91778940341118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51.395759999999996</v>
      </c>
      <c r="CA24" s="13">
        <f t="shared" si="39"/>
        <v>14.973641136922506</v>
      </c>
      <c r="CB24" s="20">
        <f t="shared" si="10"/>
        <v>115.59337364680668</v>
      </c>
      <c r="CC24" s="59">
        <f t="shared" si="11"/>
        <v>397.92670698014001</v>
      </c>
      <c r="CD24" s="59">
        <f ca="1">AVERAGE(OFFSET($CC$3,0,0,'Données projet'!$E$12+1,1))-AVERAGE(OFFSET($H$3,0,0,'Données projet'!$E$12+1,1))</f>
        <v>238.71022302719206</v>
      </c>
      <c r="CE24" s="59">
        <f t="shared" si="40"/>
        <v>294.28794439094878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12.6</v>
      </c>
      <c r="CT24" s="12">
        <f>IF('Données projet'!$A$140&gt;35,CT23+CS24-DB23,IF(A24&lt;'Données projet'!$A$140,$CQ$205^A24,IF(A24='Données projet'!$A$140,'Données projet'!$B$140,CT23+CS24-DB23)))</f>
        <v>64.599999999999994</v>
      </c>
      <c r="CU24" s="17">
        <f>CT24*VLOOKUP('Données projet'!$B$13,Paramètres!$A$1:$I$89,3,0)*VLOOKUP('Données projet'!$B$13,Paramètres!$A$1:$I$89,5,0)</f>
        <v>51.395759999999996</v>
      </c>
      <c r="CV24" s="13">
        <f t="shared" si="41"/>
        <v>14.973641136922506</v>
      </c>
      <c r="CW24" s="20">
        <f t="shared" si="13"/>
        <v>115.59337364680668</v>
      </c>
      <c r="CX24" s="59">
        <f t="shared" si="14"/>
        <v>397.92670698014001</v>
      </c>
      <c r="CY24" s="59">
        <f ca="1">AVERAGE(OFFSET($CX$3,0,0,'Données projet'!$E$13+1,1))-AVERAGE(OFFSET($H$3,0,0,'Données projet'!$E$13+1,1))</f>
        <v>238.71022302719206</v>
      </c>
      <c r="CZ24" s="59">
        <f t="shared" si="42"/>
        <v>294.28794439094878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1.6</v>
      </c>
      <c r="DO24" s="12">
        <f>IF('Données projet'!$A$166&gt;35,DO23+DN24-DW23,IF(A24&lt;'Données projet'!$A$166,$DL$205^A24,IF(A24='Données projet'!$A$166,'Données projet'!$B$166,DO23+DN24-DW23)))</f>
        <v>22.168198047469673</v>
      </c>
      <c r="DP24" s="17">
        <f>DO24*VLOOKUP('Données projet'!$B$14,Paramètres!$A$1:$I$89,3,0)*VLOOKUP('Données projet'!$B$14,Paramètres!$A$1:$I$89,5,0)</f>
        <v>19.020313924728981</v>
      </c>
      <c r="DQ24" s="13">
        <f t="shared" si="43"/>
        <v>6.2211232779032164</v>
      </c>
      <c r="DR24" s="20">
        <f t="shared" si="16"/>
        <v>43.962169794584405</v>
      </c>
      <c r="DS24" s="59">
        <f t="shared" si="17"/>
        <v>326.2955031279177</v>
      </c>
      <c r="DT24" s="59">
        <f ca="1">AVERAGE(OFFSET($DS$3,0,0,'Données projet'!$E$14+1,1))-AVERAGE(OFFSET($H$3,0,0,'Données projet'!$E$14+1,1))</f>
        <v>203.34232675618244</v>
      </c>
      <c r="DU24" s="59">
        <f t="shared" si="44"/>
        <v>176.81257896138806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5.8</v>
      </c>
      <c r="EJ24" s="12">
        <f>IF('Données projet'!$A$192&gt;35,EJ23+EI24-ER23,IF(A24&lt;'Données projet'!$A$192,$EG$205^A24,IF(A24='Données projet'!$A$192,'Données projet'!$B$192,EJ23+EI24-ER23)))</f>
        <v>47.8</v>
      </c>
      <c r="EK24" s="17">
        <f>EJ24*VLOOKUP('Données projet'!$B$15,Paramètres!$A$1:$I$89,3,0)*VLOOKUP('Données projet'!$B$15,Paramètres!$A$1:$I$89,5,0)</f>
        <v>46.23216</v>
      </c>
      <c r="EL24" s="13">
        <f t="shared" si="45"/>
        <v>13.636306250785369</v>
      </c>
      <c r="EM24" s="20">
        <f t="shared" si="19"/>
        <v>104.27091205345118</v>
      </c>
      <c r="EN24" s="59">
        <f t="shared" si="20"/>
        <v>386.6042453867845</v>
      </c>
      <c r="EO24" s="59">
        <f ca="1">AVERAGE(OFFSET($EN$3,0,0,'Données projet'!$E$15+1,1))-AVERAGE(OFFSET($H$3,0,0,'Données projet'!$E$15+1,1))</f>
        <v>218.78765033569107</v>
      </c>
      <c r="EP24" s="59">
        <f t="shared" si="46"/>
        <v>246.54010105494137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12.6</v>
      </c>
      <c r="FE24" s="12">
        <f>IF('Données projet'!$A$218&gt;35,FE23+FD24-FM23,IF(A24&lt;'Données projet'!$A$218,$FB$205^A24,IF(A24='Données projet'!$A$218,'Données projet'!$B$218,FE23+FD24-FM23)))</f>
        <v>64.599999999999994</v>
      </c>
      <c r="FF24" s="17">
        <f>FE24*VLOOKUP('Données projet'!$B$16,Paramètres!$A$1:$I$89,3,0)*VLOOKUP('Données projet'!$B$16,Paramètres!$A$1:$I$89,5,0)</f>
        <v>42.325919999999996</v>
      </c>
      <c r="FG24" s="13">
        <f t="shared" si="47"/>
        <v>12.613089745729766</v>
      </c>
      <c r="FH24" s="20">
        <f t="shared" si="22"/>
        <v>95.685441973812658</v>
      </c>
      <c r="FI24" s="59">
        <f t="shared" si="23"/>
        <v>378.01877530714597</v>
      </c>
      <c r="FJ24" s="59">
        <f ca="1">AVERAGE(OFFSET($FI$3,0,0,'Données projet'!$E$16+1,1))-AVERAGE(OFFSET($H$3,0,0,'Données projet'!$E$16+1,1))</f>
        <v>170.80796812111521</v>
      </c>
      <c r="FK24" s="59">
        <f t="shared" si="48"/>
        <v>249.84047400410321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9">
        <f t="shared" si="0"/>
        <v>588.27587008503042</v>
      </c>
      <c r="S25" s="59">
        <f ca="1">AVERAGE(OFFSET($R$3,0,0,'Données projet'!$E$9+1,1))-AVERAGE(OFFSET($H$3,0,0,'Données projet'!$E$9+1,1))</f>
        <v>333.02360594713667</v>
      </c>
      <c r="T25" s="59">
        <f t="shared" si="34"/>
        <v>546.58234447298014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1.6</v>
      </c>
      <c r="AI25" s="13">
        <f>IF('Données projet'!$A$62&gt;35,AI24+AH25-AQ24,IF(A25&lt;'Données projet'!$A$62,$AF$205^A25,IF(A25='Données projet'!$A$62,'Données projet'!$B$62,AI24+AH25-AQ24)))</f>
        <v>25.692880228771781</v>
      </c>
      <c r="AJ25" s="13">
        <f>AI25*VLOOKUP('Données projet'!$B$10,Paramètres!$A$1:$I$89,3,0)*VLOOKUP('Données projet'!$B$10,Paramètres!$A$1:$I$89,5,0)</f>
        <v>22.445300167855031</v>
      </c>
      <c r="AK25" s="13">
        <f t="shared" si="35"/>
        <v>7.2012267153223508</v>
      </c>
      <c r="AL25" s="20">
        <f t="shared" si="4"/>
        <v>51.634367654867269</v>
      </c>
      <c r="AM25" s="59">
        <f t="shared" si="5"/>
        <v>335.18992321042282</v>
      </c>
      <c r="AN25" s="59">
        <f ca="1">AVERAGE(OFFSET($AM$3,0,0,'Données projet'!$E$10+1,1))-AVERAGE(OFFSET($H$3,0,0,'Données projet'!$E$10+1,1))</f>
        <v>243.26825841283591</v>
      </c>
      <c r="AO25" s="59">
        <f t="shared" si="36"/>
        <v>179.2944312100729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1.6</v>
      </c>
      <c r="BD25" s="12">
        <f>IF('Données projet'!$A$88&gt;35,BD24+BC25-BL24,IF(A25&lt;'Données projet'!$A$88,$BA$205^A25,IF(A25='Données projet'!$A$88,'Données projet'!$B$88,BD24+BC25-BL24)))</f>
        <v>25.692880228771781</v>
      </c>
      <c r="BE25" s="13">
        <f>BD25*VLOOKUP('Données projet'!$B$11,Paramètres!$A$1:$I$89,3,0)*VLOOKUP('Données projet'!$B$11,Paramètres!$A$1:$I$89,5,0)</f>
        <v>18.838019783735469</v>
      </c>
      <c r="BF25" s="13">
        <f t="shared" si="37"/>
        <v>6.1684096879340782</v>
      </c>
      <c r="BG25" s="20">
        <f t="shared" si="7"/>
        <v>43.552864663157798</v>
      </c>
      <c r="BH25" s="59">
        <f t="shared" si="8"/>
        <v>327.10842021871332</v>
      </c>
      <c r="BI25" s="59">
        <f ca="1">AVERAGE(OFFSET($BH$3,0,0,'Données projet'!$E$11+1,1))-AVERAGE(OFFSET($H$3,0,0,'Données projet'!$E$11+1,1))</f>
        <v>146.45728988963538</v>
      </c>
      <c r="BJ25" s="59">
        <f t="shared" si="38"/>
        <v>156.91778940341118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61.42031999999999</v>
      </c>
      <c r="CA25" s="13">
        <f t="shared" si="39"/>
        <v>17.526880037631354</v>
      </c>
      <c r="CB25" s="20">
        <f t="shared" si="10"/>
        <v>137.4997067322079</v>
      </c>
      <c r="CC25" s="59">
        <f t="shared" si="11"/>
        <v>421.05526228776341</v>
      </c>
      <c r="CD25" s="59">
        <f ca="1">AVERAGE(OFFSET($CC$3,0,0,'Données projet'!$E$12+1,1))-AVERAGE(OFFSET($H$3,0,0,'Données projet'!$E$12+1,1))</f>
        <v>238.71022302719206</v>
      </c>
      <c r="CE25" s="59">
        <f t="shared" si="40"/>
        <v>294.28794439094878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12.6</v>
      </c>
      <c r="CT25" s="12">
        <f>IF('Données projet'!$A$140&gt;35,CT24+CS25-DB24,IF(A25&lt;'Données projet'!$A$140,$CQ$205^A25,IF(A25='Données projet'!$A$140,'Données projet'!$B$140,CT24+CS25-DB24)))</f>
        <v>77.199999999999989</v>
      </c>
      <c r="CU25" s="17">
        <f>CT25*VLOOKUP('Données projet'!$B$13,Paramètres!$A$1:$I$89,3,0)*VLOOKUP('Données projet'!$B$13,Paramètres!$A$1:$I$89,5,0)</f>
        <v>61.42031999999999</v>
      </c>
      <c r="CV25" s="13">
        <f t="shared" si="41"/>
        <v>17.526880037631354</v>
      </c>
      <c r="CW25" s="20">
        <f t="shared" si="13"/>
        <v>137.4997067322079</v>
      </c>
      <c r="CX25" s="59">
        <f t="shared" si="14"/>
        <v>421.05526228776341</v>
      </c>
      <c r="CY25" s="59">
        <f ca="1">AVERAGE(OFFSET($CX$3,0,0,'Données projet'!$E$13+1,1))-AVERAGE(OFFSET($H$3,0,0,'Données projet'!$E$13+1,1))</f>
        <v>238.71022302719206</v>
      </c>
      <c r="CZ25" s="59">
        <f t="shared" si="42"/>
        <v>294.28794439094878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1.6</v>
      </c>
      <c r="DO25" s="12">
        <f>IF('Données projet'!$A$166&gt;35,DO24+DN25-DW24,IF(A25&lt;'Données projet'!$A$166,$DL$205^A25,IF(A25='Données projet'!$A$166,'Données projet'!$B$166,DO24+DN25-DW24)))</f>
        <v>25.692880228771781</v>
      </c>
      <c r="DP25" s="17">
        <f>DO25*VLOOKUP('Données projet'!$B$14,Paramètres!$A$1:$I$89,3,0)*VLOOKUP('Données projet'!$B$14,Paramètres!$A$1:$I$89,5,0)</f>
        <v>22.044491236286191</v>
      </c>
      <c r="DQ25" s="13">
        <f t="shared" si="43"/>
        <v>7.0874827640823872</v>
      </c>
      <c r="DR25" s="20">
        <f t="shared" si="16"/>
        <v>50.738188050641945</v>
      </c>
      <c r="DS25" s="59">
        <f t="shared" si="17"/>
        <v>334.29374360619749</v>
      </c>
      <c r="DT25" s="59">
        <f ca="1">AVERAGE(OFFSET($DS$3,0,0,'Données projet'!$E$14+1,1))-AVERAGE(OFFSET($H$3,0,0,'Données projet'!$E$14+1,1))</f>
        <v>203.34232675618244</v>
      </c>
      <c r="DU25" s="59">
        <f t="shared" si="44"/>
        <v>176.81257896138806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5.8</v>
      </c>
      <c r="EJ25" s="12">
        <f>IF('Données projet'!$A$192&gt;35,EJ24+EI25-ER24,IF(A25&lt;'Données projet'!$A$192,$EG$205^A25,IF(A25='Données projet'!$A$192,'Données projet'!$B$192,EJ24+EI25-ER24)))</f>
        <v>53.599999999999994</v>
      </c>
      <c r="EK25" s="17">
        <f>EJ25*VLOOKUP('Données projet'!$B$15,Paramètres!$A$1:$I$89,3,0)*VLOOKUP('Données projet'!$B$15,Paramètres!$A$1:$I$89,5,0)</f>
        <v>51.841920000000002</v>
      </c>
      <c r="EL25" s="13">
        <f t="shared" si="45"/>
        <v>15.08843738656118</v>
      </c>
      <c r="EM25" s="20">
        <f t="shared" si="19"/>
        <v>116.57037244826073</v>
      </c>
      <c r="EN25" s="59">
        <f t="shared" si="20"/>
        <v>400.12592800381628</v>
      </c>
      <c r="EO25" s="59">
        <f ca="1">AVERAGE(OFFSET($EN$3,0,0,'Données projet'!$E$15+1,1))-AVERAGE(OFFSET($H$3,0,0,'Données projet'!$E$15+1,1))</f>
        <v>218.78765033569107</v>
      </c>
      <c r="EP25" s="59">
        <f t="shared" si="46"/>
        <v>246.54010105494137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12.6</v>
      </c>
      <c r="FE25" s="12">
        <f>IF('Données projet'!$A$218&gt;35,FE24+FD25-FM24,IF(A25&lt;'Données projet'!$A$218,$FB$205^A25,IF(A25='Données projet'!$A$218,'Données projet'!$B$218,FE24+FD25-FM24)))</f>
        <v>77.199999999999989</v>
      </c>
      <c r="FF25" s="17">
        <f>FE25*VLOOKUP('Données projet'!$B$16,Paramètres!$A$1:$I$89,3,0)*VLOOKUP('Données projet'!$B$16,Paramètres!$A$1:$I$89,5,0)</f>
        <v>50.581439999999986</v>
      </c>
      <c r="FG25" s="13">
        <f t="shared" si="47"/>
        <v>14.763817888767656</v>
      </c>
      <c r="FH25" s="20">
        <f t="shared" si="22"/>
        <v>113.80965748960364</v>
      </c>
      <c r="FI25" s="59">
        <f t="shared" si="23"/>
        <v>397.36521304515918</v>
      </c>
      <c r="FJ25" s="59">
        <f ca="1">AVERAGE(OFFSET($FI$3,0,0,'Données projet'!$E$16+1,1))-AVERAGE(OFFSET($H$3,0,0,'Données projet'!$E$16+1,1))</f>
        <v>170.80796812111521</v>
      </c>
      <c r="FK25" s="59">
        <f t="shared" si="48"/>
        <v>249.84047400410321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9">
        <f t="shared" si="0"/>
        <v>623.96500994027633</v>
      </c>
      <c r="S26" s="59">
        <f ca="1">AVERAGE(OFFSET($R$3,0,0,'Données projet'!$E$9+1,1))-AVERAGE(OFFSET($H$3,0,0,'Données projet'!$E$9+1,1))</f>
        <v>333.02360594713667</v>
      </c>
      <c r="T26" s="59">
        <f t="shared" si="34"/>
        <v>546.58234447298014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1.6</v>
      </c>
      <c r="AI26" s="13">
        <f>IF('Données projet'!$A$62&gt;35,AI25+AH26-AQ25,IF(A26&lt;'Données projet'!$A$62,$AF$205^A26,IF(A26='Données projet'!$A$62,'Données projet'!$B$62,AI25+AH26-AQ25)))</f>
        <v>29.777977129059437</v>
      </c>
      <c r="AJ26" s="13">
        <f>AI26*VLOOKUP('Données projet'!$B$10,Paramètres!$A$1:$I$89,3,0)*VLOOKUP('Données projet'!$B$10,Paramètres!$A$1:$I$89,5,0)</f>
        <v>26.014040819946331</v>
      </c>
      <c r="AK26" s="13">
        <f t="shared" si="35"/>
        <v>8.2040763291704053</v>
      </c>
      <c r="AL26" s="20">
        <f t="shared" si="4"/>
        <v>59.596554034711637</v>
      </c>
      <c r="AM26" s="59">
        <f t="shared" si="5"/>
        <v>344.3743318124894</v>
      </c>
      <c r="AN26" s="59">
        <f ca="1">AVERAGE(OFFSET($AM$3,0,0,'Données projet'!$E$10+1,1))-AVERAGE(OFFSET($H$3,0,0,'Données projet'!$E$10+1,1))</f>
        <v>243.26825841283591</v>
      </c>
      <c r="AO26" s="59">
        <f t="shared" si="36"/>
        <v>179.2944312100729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1.6</v>
      </c>
      <c r="BD26" s="12">
        <f>IF('Données projet'!$A$88&gt;35,BD25+BC26-BL25,IF(A26&lt;'Données projet'!$A$88,$BA$205^A26,IF(A26='Données projet'!$A$88,'Données projet'!$B$88,BD25+BC26-BL25)))</f>
        <v>29.777977129059437</v>
      </c>
      <c r="BE26" s="13">
        <f>BD26*VLOOKUP('Données projet'!$B$11,Paramètres!$A$1:$I$89,3,0)*VLOOKUP('Données projet'!$B$11,Paramètres!$A$1:$I$89,5,0)</f>
        <v>21.833212831026376</v>
      </c>
      <c r="BF26" s="13">
        <f t="shared" si="37"/>
        <v>7.0274282299331956</v>
      </c>
      <c r="BG26" s="20">
        <f t="shared" si="7"/>
        <v>50.265616514504586</v>
      </c>
      <c r="BH26" s="59">
        <f t="shared" si="8"/>
        <v>335.04339429228236</v>
      </c>
      <c r="BI26" s="59">
        <f ca="1">AVERAGE(OFFSET($BH$3,0,0,'Données projet'!$E$11+1,1))-AVERAGE(OFFSET($H$3,0,0,'Données projet'!$E$11+1,1))</f>
        <v>146.45728988963538</v>
      </c>
      <c r="BJ26" s="59">
        <f t="shared" si="38"/>
        <v>156.91778940341118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71.444879999999998</v>
      </c>
      <c r="CA26" s="13">
        <f t="shared" si="39"/>
        <v>20.03184442542841</v>
      </c>
      <c r="CB26" s="20">
        <f t="shared" si="10"/>
        <v>159.32196170762117</v>
      </c>
      <c r="CC26" s="59">
        <f t="shared" si="11"/>
        <v>444.09973948539891</v>
      </c>
      <c r="CD26" s="59">
        <f ca="1">AVERAGE(OFFSET($CC$3,0,0,'Données projet'!$E$12+1,1))-AVERAGE(OFFSET($H$3,0,0,'Données projet'!$E$12+1,1))</f>
        <v>238.71022302719206</v>
      </c>
      <c r="CE26" s="59">
        <f t="shared" si="40"/>
        <v>294.28794439094878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12.6</v>
      </c>
      <c r="CT26" s="12">
        <f>IF('Données projet'!$A$140&gt;35,CT25+CS26-DB25,IF(A26&lt;'Données projet'!$A$140,$CQ$205^A26,IF(A26='Données projet'!$A$140,'Données projet'!$B$140,CT25+CS26-DB25)))</f>
        <v>89.799999999999983</v>
      </c>
      <c r="CU26" s="17">
        <f>CT26*VLOOKUP('Données projet'!$B$13,Paramètres!$A$1:$I$89,3,0)*VLOOKUP('Données projet'!$B$13,Paramètres!$A$1:$I$89,5,0)</f>
        <v>71.444879999999998</v>
      </c>
      <c r="CV26" s="13">
        <f t="shared" si="41"/>
        <v>20.03184442542841</v>
      </c>
      <c r="CW26" s="20">
        <f t="shared" si="13"/>
        <v>159.32196170762117</v>
      </c>
      <c r="CX26" s="59">
        <f t="shared" si="14"/>
        <v>444.09973948539891</v>
      </c>
      <c r="CY26" s="59">
        <f ca="1">AVERAGE(OFFSET($CX$3,0,0,'Données projet'!$E$13+1,1))-AVERAGE(OFFSET($H$3,0,0,'Données projet'!$E$13+1,1))</f>
        <v>238.71022302719206</v>
      </c>
      <c r="CZ26" s="59">
        <f t="shared" si="42"/>
        <v>294.28794439094878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1.6</v>
      </c>
      <c r="DO26" s="12">
        <f>IF('Données projet'!$A$166&gt;35,DO25+DN26-DW25,IF(A26&lt;'Données projet'!$A$166,$DL$205^A26,IF(A26='Données projet'!$A$166,'Données projet'!$B$166,DO25+DN26-DW25)))</f>
        <v>29.777977129059437</v>
      </c>
      <c r="DP26" s="17">
        <f>DO26*VLOOKUP('Données projet'!$B$14,Paramètres!$A$1:$I$89,3,0)*VLOOKUP('Données projet'!$B$14,Paramètres!$A$1:$I$89,5,0)</f>
        <v>25.549504376733001</v>
      </c>
      <c r="DQ26" s="13">
        <f t="shared" si="43"/>
        <v>8.074492288166871</v>
      </c>
      <c r="DR26" s="20">
        <f t="shared" si="16"/>
        <v>58.561794191367277</v>
      </c>
      <c r="DS26" s="59">
        <f t="shared" si="17"/>
        <v>343.33957196914503</v>
      </c>
      <c r="DT26" s="59">
        <f ca="1">AVERAGE(OFFSET($DS$3,0,0,'Données projet'!$E$14+1,1))-AVERAGE(OFFSET($H$3,0,0,'Données projet'!$E$14+1,1))</f>
        <v>203.34232675618244</v>
      </c>
      <c r="DU26" s="59">
        <f t="shared" si="44"/>
        <v>176.81257896138806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5.8</v>
      </c>
      <c r="EJ26" s="12">
        <f>IF('Données projet'!$A$192&gt;35,EJ25+EI26-ER25,IF(A26&lt;'Données projet'!$A$192,$EG$205^A26,IF(A26='Données projet'!$A$192,'Données projet'!$B$192,EJ25+EI26-ER25)))</f>
        <v>59.399999999999991</v>
      </c>
      <c r="EK26" s="17">
        <f>EJ26*VLOOKUP('Données projet'!$B$15,Paramètres!$A$1:$I$89,3,0)*VLOOKUP('Données projet'!$B$15,Paramètres!$A$1:$I$89,5,0)</f>
        <v>57.451679999999996</v>
      </c>
      <c r="EL26" s="13">
        <f t="shared" si="45"/>
        <v>16.522355395881359</v>
      </c>
      <c r="EM26" s="20">
        <f t="shared" si="19"/>
        <v>128.83811164782671</v>
      </c>
      <c r="EN26" s="59">
        <f t="shared" si="20"/>
        <v>413.61588942560445</v>
      </c>
      <c r="EO26" s="59">
        <f ca="1">AVERAGE(OFFSET($EN$3,0,0,'Données projet'!$E$15+1,1))-AVERAGE(OFFSET($H$3,0,0,'Données projet'!$E$15+1,1))</f>
        <v>218.78765033569107</v>
      </c>
      <c r="EP26" s="59">
        <f t="shared" si="46"/>
        <v>246.54010105494137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12.6</v>
      </c>
      <c r="FE26" s="12">
        <f>IF('Données projet'!$A$218&gt;35,FE25+FD26-FM25,IF(A26&lt;'Données projet'!$A$218,$FB$205^A26,IF(A26='Données projet'!$A$218,'Données projet'!$B$218,FE25+FD26-FM25)))</f>
        <v>89.799999999999983</v>
      </c>
      <c r="FF26" s="17">
        <f>FE26*VLOOKUP('Données projet'!$B$16,Paramètres!$A$1:$I$89,3,0)*VLOOKUP('Données projet'!$B$16,Paramètres!$A$1:$I$89,5,0)</f>
        <v>58.836959999999991</v>
      </c>
      <c r="FG26" s="13">
        <f t="shared" si="47"/>
        <v>16.873881856791602</v>
      </c>
      <c r="FH26" s="20">
        <f t="shared" si="22"/>
        <v>131.86304956724535</v>
      </c>
      <c r="FI26" s="59">
        <f t="shared" si="23"/>
        <v>416.64082734502313</v>
      </c>
      <c r="FJ26" s="59">
        <f ca="1">AVERAGE(OFFSET($FI$3,0,0,'Données projet'!$E$16+1,1))-AVERAGE(OFFSET($H$3,0,0,'Données projet'!$E$16+1,1))</f>
        <v>170.80796812111521</v>
      </c>
      <c r="FK26" s="59">
        <f t="shared" si="48"/>
        <v>249.84047400410321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9">
        <f t="shared" si="0"/>
        <v>659.57707921130032</v>
      </c>
      <c r="S27" s="59">
        <f ca="1">AVERAGE(OFFSET($R$3,0,0,'Données projet'!$E$9+1,1))-AVERAGE(OFFSET($H$3,0,0,'Données projet'!$E$9+1,1))</f>
        <v>333.02360594713667</v>
      </c>
      <c r="T27" s="59">
        <f t="shared" si="34"/>
        <v>546.58234447298014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1.6</v>
      </c>
      <c r="AI27" s="13">
        <f>IF('Données projet'!$A$62&gt;35,AI26+AH27-AQ26,IF(A27&lt;'Données projet'!$A$62,$AF$205^A27,IF(A27='Données projet'!$A$62,'Données projet'!$B$62,AI26+AH27-AQ26)))</f>
        <v>34.5125931387715</v>
      </c>
      <c r="AJ27" s="13">
        <f>AI27*VLOOKUP('Données projet'!$B$10,Paramètres!$A$1:$I$89,3,0)*VLOOKUP('Données projet'!$B$10,Paramètres!$A$1:$I$89,5,0)</f>
        <v>30.150201366030789</v>
      </c>
      <c r="AK27" s="13">
        <f t="shared" si="35"/>
        <v>9.3465837246371546</v>
      </c>
      <c r="AL27" s="20">
        <f t="shared" si="4"/>
        <v>68.790234032913318</v>
      </c>
      <c r="AM27" s="59">
        <f t="shared" si="5"/>
        <v>354.7902340329133</v>
      </c>
      <c r="AN27" s="59">
        <f ca="1">AVERAGE(OFFSET($AM$3,0,0,'Données projet'!$E$10+1,1))-AVERAGE(OFFSET($H$3,0,0,'Données projet'!$E$10+1,1))</f>
        <v>243.26825841283591</v>
      </c>
      <c r="AO27" s="59">
        <f t="shared" si="36"/>
        <v>179.2944312100729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1.6</v>
      </c>
      <c r="BD27" s="12">
        <f>IF('Données projet'!$A$88&gt;35,BD26+BC27-BL26,IF(A27&lt;'Données projet'!$A$88,$BA$205^A27,IF(A27='Données projet'!$A$88,'Données projet'!$B$88,BD26+BC27-BL26)))</f>
        <v>34.5125931387715</v>
      </c>
      <c r="BE27" s="13">
        <f>BD27*VLOOKUP('Données projet'!$B$11,Paramètres!$A$1:$I$89,3,0)*VLOOKUP('Données projet'!$B$11,Paramètres!$A$1:$I$89,5,0)</f>
        <v>25.304633289347262</v>
      </c>
      <c r="BF27" s="13">
        <f t="shared" si="37"/>
        <v>8.0060745030380627</v>
      </c>
      <c r="BG27" s="20">
        <f t="shared" si="7"/>
        <v>58.016149405071097</v>
      </c>
      <c r="BH27" s="59">
        <f t="shared" si="8"/>
        <v>344.01614940507108</v>
      </c>
      <c r="BI27" s="59">
        <f ca="1">AVERAGE(OFFSET($BH$3,0,0,'Données projet'!$E$11+1,1))-AVERAGE(OFFSET($H$3,0,0,'Données projet'!$E$11+1,1))</f>
        <v>146.45728988963538</v>
      </c>
      <c r="BJ27" s="59">
        <f t="shared" si="38"/>
        <v>156.91778940341118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81.469439999999992</v>
      </c>
      <c r="CA27" s="13">
        <f t="shared" si="39"/>
        <v>22.496088365195678</v>
      </c>
      <c r="CB27" s="20">
        <f t="shared" si="10"/>
        <v>181.07329523604912</v>
      </c>
      <c r="CC27" s="59">
        <f t="shared" si="11"/>
        <v>467.07329523604915</v>
      </c>
      <c r="CD27" s="59">
        <f ca="1">AVERAGE(OFFSET($CC$3,0,0,'Données projet'!$E$12+1,1))-AVERAGE(OFFSET($H$3,0,0,'Données projet'!$E$12+1,1))</f>
        <v>238.71022302719206</v>
      </c>
      <c r="CE27" s="59">
        <f t="shared" si="40"/>
        <v>294.28794439094878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12.6</v>
      </c>
      <c r="CT27" s="12">
        <f>IF('Données projet'!$A$140&gt;35,CT26+CS27-DB26,IF(A27&lt;'Données projet'!$A$140,$CQ$205^A27,IF(A27='Données projet'!$A$140,'Données projet'!$B$140,CT26+CS27-DB26)))</f>
        <v>102.39999999999998</v>
      </c>
      <c r="CU27" s="17">
        <f>CT27*VLOOKUP('Données projet'!$B$13,Paramètres!$A$1:$I$89,3,0)*VLOOKUP('Données projet'!$B$13,Paramètres!$A$1:$I$89,5,0)</f>
        <v>81.469439999999992</v>
      </c>
      <c r="CV27" s="13">
        <f t="shared" si="41"/>
        <v>22.496088365195678</v>
      </c>
      <c r="CW27" s="20">
        <f t="shared" si="13"/>
        <v>181.07329523604912</v>
      </c>
      <c r="CX27" s="59">
        <f t="shared" si="14"/>
        <v>467.07329523604915</v>
      </c>
      <c r="CY27" s="59">
        <f ca="1">AVERAGE(OFFSET($CX$3,0,0,'Données projet'!$E$13+1,1))-AVERAGE(OFFSET($H$3,0,0,'Données projet'!$E$13+1,1))</f>
        <v>238.71022302719206</v>
      </c>
      <c r="CZ27" s="59">
        <f t="shared" si="42"/>
        <v>294.28794439094878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1.6</v>
      </c>
      <c r="DO27" s="12">
        <f>IF('Données projet'!$A$166&gt;35,DO26+DN27-DW26,IF(A27&lt;'Données projet'!$A$166,$DL$205^A27,IF(A27='Données projet'!$A$166,'Données projet'!$B$166,DO26+DN27-DW26)))</f>
        <v>34.5125931387715</v>
      </c>
      <c r="DP27" s="17">
        <f>DO27*VLOOKUP('Données projet'!$B$14,Paramètres!$A$1:$I$89,3,0)*VLOOKUP('Données projet'!$B$14,Paramètres!$A$1:$I$89,5,0)</f>
        <v>29.611804913065949</v>
      </c>
      <c r="DQ27" s="13">
        <f t="shared" si="43"/>
        <v>9.1989536880527911</v>
      </c>
      <c r="DR27" s="20">
        <f t="shared" si="16"/>
        <v>67.595404563615133</v>
      </c>
      <c r="DS27" s="59">
        <f t="shared" si="17"/>
        <v>353.59540456361515</v>
      </c>
      <c r="DT27" s="59">
        <f ca="1">AVERAGE(OFFSET($DS$3,0,0,'Données projet'!$E$14+1,1))-AVERAGE(OFFSET($H$3,0,0,'Données projet'!$E$14+1,1))</f>
        <v>203.34232675618244</v>
      </c>
      <c r="DU27" s="59">
        <f t="shared" si="44"/>
        <v>176.81257896138806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5.8</v>
      </c>
      <c r="EJ27" s="12">
        <f>IF('Données projet'!$A$192&gt;35,EJ26+EI27-ER26,IF(A27&lt;'Données projet'!$A$192,$EG$205^A27,IF(A27='Données projet'!$A$192,'Données projet'!$B$192,EJ26+EI27-ER26)))</f>
        <v>65.199999999999989</v>
      </c>
      <c r="EK27" s="17">
        <f>EJ27*VLOOKUP('Données projet'!$B$15,Paramètres!$A$1:$I$89,3,0)*VLOOKUP('Données projet'!$B$15,Paramètres!$A$1:$I$89,5,0)</f>
        <v>63.06143999999999</v>
      </c>
      <c r="EL27" s="13">
        <f t="shared" si="45"/>
        <v>17.940041048051118</v>
      </c>
      <c r="EM27" s="20">
        <f t="shared" si="19"/>
        <v>141.07757949202232</v>
      </c>
      <c r="EN27" s="59">
        <f t="shared" si="20"/>
        <v>427.07757949202232</v>
      </c>
      <c r="EO27" s="59">
        <f ca="1">AVERAGE(OFFSET($EN$3,0,0,'Données projet'!$E$15+1,1))-AVERAGE(OFFSET($H$3,0,0,'Données projet'!$E$15+1,1))</f>
        <v>218.78765033569107</v>
      </c>
      <c r="EP27" s="59">
        <f t="shared" si="46"/>
        <v>246.54010105494137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12.6</v>
      </c>
      <c r="FE27" s="12">
        <f>IF('Données projet'!$A$218&gt;35,FE26+FD27-FM26,IF(A27&lt;'Données projet'!$A$218,$FB$205^A27,IF(A27='Données projet'!$A$218,'Données projet'!$B$218,FE26+FD27-FM26)))</f>
        <v>102.39999999999998</v>
      </c>
      <c r="FF27" s="17">
        <f>FE27*VLOOKUP('Données projet'!$B$16,Paramètres!$A$1:$I$89,3,0)*VLOOKUP('Données projet'!$B$16,Paramètres!$A$1:$I$89,5,0)</f>
        <v>67.092479999999981</v>
      </c>
      <c r="FG27" s="13">
        <f t="shared" si="47"/>
        <v>18.949644838115674</v>
      </c>
      <c r="FH27" s="20">
        <f t="shared" si="22"/>
        <v>149.85670075971808</v>
      </c>
      <c r="FI27" s="59">
        <f t="shared" si="23"/>
        <v>435.85670075971808</v>
      </c>
      <c r="FJ27" s="59">
        <f ca="1">AVERAGE(OFFSET($FI$3,0,0,'Données projet'!$E$16+1,1))-AVERAGE(OFFSET($H$3,0,0,'Données projet'!$E$16+1,1))</f>
        <v>170.80796812111521</v>
      </c>
      <c r="FK27" s="59">
        <f t="shared" si="48"/>
        <v>249.84047400410321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9">
        <f t="shared" si="0"/>
        <v>695.12016171690379</v>
      </c>
      <c r="S28" s="59">
        <f ca="1">AVERAGE(OFFSET($R$3,0,0,'Données projet'!$E$9+1,1))-AVERAGE(OFFSET($H$3,0,0,'Données projet'!$E$9+1,1))</f>
        <v>333.02360594713667</v>
      </c>
      <c r="T28" s="59">
        <f t="shared" si="34"/>
        <v>546.58234447298014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0.27500000000000002</v>
      </c>
      <c r="Y28" s="16">
        <f>IF(ISNA(VLOOKUP(A28,'Données projet'!$A$35:$I$55,7,0)),0%,VLOOKUP(A28,'Données projet'!$A$35:$I$55,7,0))</f>
        <v>0.5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10.968652047913231</v>
      </c>
      <c r="AB28" s="21">
        <f>EXP(-LN(2)/2)*AB27+(1-EXP(-LN(2)/2))/(LN(2)/2)*V28*Y28*VLOOKUP('Données projet'!$B$9,Paramètres!$A$1:$I$89,3,0)*0.475*44/12</f>
        <v>17.088782066566949</v>
      </c>
      <c r="AC28" s="22">
        <f t="shared" si="3"/>
        <v>28.057434114480181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40</v>
      </c>
      <c r="AG28" s="12">
        <f>VLOOKUP(A28,'Données projet'!$A$61:$I$81,9,0)</f>
        <v>1.6</v>
      </c>
      <c r="AH28" s="12">
        <f t="array" ref="AH28">INDEX(AG:AG,MIN(IF(ISNUMBER(AG28:AG224),ROW(AG28:AG224),"")))</f>
        <v>1.6</v>
      </c>
      <c r="AI28" s="13">
        <f>IF('Données projet'!$A$62&gt;35,AI27+AH28-AQ27,IF(A28&lt;'Données projet'!$A$62,$AF$205^A28,IF(A28='Données projet'!$A$62,'Données projet'!$B$62,AI27+AH28-AQ27)))</f>
        <v>40</v>
      </c>
      <c r="AJ28" s="13">
        <f>AI28*VLOOKUP('Données projet'!$B$10,Paramètres!$A$1:$I$89,3,0)*VLOOKUP('Données projet'!$B$10,Paramètres!$A$1:$I$89,5,0)</f>
        <v>34.944000000000003</v>
      </c>
      <c r="AK28" s="13">
        <f t="shared" si="35"/>
        <v>10.648197775908045</v>
      </c>
      <c r="AL28" s="20">
        <f t="shared" si="4"/>
        <v>79.406411126373186</v>
      </c>
      <c r="AM28" s="59">
        <f t="shared" si="5"/>
        <v>366.62863334859543</v>
      </c>
      <c r="AN28" s="59">
        <f ca="1">AVERAGE(OFFSET($AM$3,0,0,'Données projet'!$E$10+1,1))-AVERAGE(OFFSET($H$3,0,0,'Données projet'!$E$10+1,1))</f>
        <v>243.26825841283591</v>
      </c>
      <c r="AO28" s="59">
        <f t="shared" si="36"/>
        <v>179.2944312100729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40</v>
      </c>
      <c r="BB28" s="12">
        <f>VLOOKUP(A28,'Données projet'!$A$87:$I$107,9,0)</f>
        <v>1.6</v>
      </c>
      <c r="BC28" s="12">
        <f t="array" ref="BC28">INDEX(BB:BB,MIN(IF(ISNUMBER(BB28:BB224),ROW(BB28:BB224),"")))</f>
        <v>1.6</v>
      </c>
      <c r="BD28" s="12">
        <f>IF('Données projet'!$A$88&gt;35,BD27+BC28-BL27,IF(A28&lt;'Données projet'!$A$88,$BA$205^A28,IF(A28='Données projet'!$A$88,'Données projet'!$B$88,BD27+BC28-BL27)))</f>
        <v>40</v>
      </c>
      <c r="BE28" s="13">
        <f>BD28*VLOOKUP('Données projet'!$B$11,Paramètres!$A$1:$I$89,3,0)*VLOOKUP('Données projet'!$B$11,Paramètres!$A$1:$I$89,5,0)</f>
        <v>29.327999999999996</v>
      </c>
      <c r="BF28" s="13">
        <f t="shared" si="37"/>
        <v>9.1210079777371842</v>
      </c>
      <c r="BG28" s="20">
        <f t="shared" si="7"/>
        <v>66.965355561225593</v>
      </c>
      <c r="BH28" s="59">
        <f t="shared" si="8"/>
        <v>354.18757778344781</v>
      </c>
      <c r="BI28" s="59">
        <f ca="1">AVERAGE(OFFSET($BH$3,0,0,'Données projet'!$E$11+1,1))-AVERAGE(OFFSET($H$3,0,0,'Données projet'!$E$11+1,1))</f>
        <v>146.45728988963538</v>
      </c>
      <c r="BJ28" s="59">
        <f t="shared" si="38"/>
        <v>156.91778940341118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91.493999999999986</v>
      </c>
      <c r="CA28" s="13">
        <f t="shared" si="39"/>
        <v>24.925195840896517</v>
      </c>
      <c r="CB28" s="20">
        <f t="shared" si="10"/>
        <v>202.76343275622807</v>
      </c>
      <c r="CC28" s="59">
        <f t="shared" si="11"/>
        <v>489.98565497845027</v>
      </c>
      <c r="CD28" s="59">
        <f ca="1">AVERAGE(OFFSET($CC$3,0,0,'Données projet'!$E$12+1,1))-AVERAGE(OFFSET($H$3,0,0,'Données projet'!$E$12+1,1))</f>
        <v>238.71022302719206</v>
      </c>
      <c r="CE28" s="59">
        <f t="shared" si="40"/>
        <v>294.28794439094878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115</v>
      </c>
      <c r="CR28" s="12">
        <f>VLOOKUP(A28,'Données projet'!$A$139:$I$159,9,0)</f>
        <v>12.6</v>
      </c>
      <c r="CS28" s="12">
        <f t="array" ref="CS28">INDEX(CR:CR,MIN(IF(ISNUMBER(CR28:CR224),ROW(CR28:CR224),"")))</f>
        <v>12.6</v>
      </c>
      <c r="CT28" s="12">
        <f>IF('Données projet'!$A$140&gt;35,CT27+CS28-DB27,IF(A28&lt;'Données projet'!$A$140,$CQ$205^A28,IF(A28='Données projet'!$A$140,'Données projet'!$B$140,CT27+CS28-DB27)))</f>
        <v>114.99999999999997</v>
      </c>
      <c r="CU28" s="17">
        <f>CT28*VLOOKUP('Données projet'!$B$13,Paramètres!$A$1:$I$89,3,0)*VLOOKUP('Données projet'!$B$13,Paramètres!$A$1:$I$89,5,0)</f>
        <v>91.493999999999986</v>
      </c>
      <c r="CV28" s="13">
        <f t="shared" si="41"/>
        <v>24.925195840896517</v>
      </c>
      <c r="CW28" s="20">
        <f t="shared" si="13"/>
        <v>202.76343275622807</v>
      </c>
      <c r="CX28" s="59">
        <f t="shared" si="14"/>
        <v>489.98565497845027</v>
      </c>
      <c r="CY28" s="59">
        <f ca="1">AVERAGE(OFFSET($CX$3,0,0,'Données projet'!$E$13+1,1))-AVERAGE(OFFSET($H$3,0,0,'Données projet'!$E$13+1,1))</f>
        <v>238.71022302719206</v>
      </c>
      <c r="CZ28" s="59">
        <f t="shared" si="42"/>
        <v>294.28794439094878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40</v>
      </c>
      <c r="DM28" s="12">
        <f>VLOOKUP(A28,'Données projet'!$A$165:$I$185,9,0)</f>
        <v>1.6</v>
      </c>
      <c r="DN28" s="12">
        <f t="array" ref="DN28">INDEX(DM:DM,MIN(IF(ISNUMBER(DM28:DM224),ROW(DM28:DM224),"")))</f>
        <v>1.6</v>
      </c>
      <c r="DO28" s="12">
        <f>IF('Données projet'!$A$166&gt;35,DO27+DN28-DW27,IF(A28&lt;'Données projet'!$A$166,$DL$205^A28,IF(A28='Données projet'!$A$166,'Données projet'!$B$166,DO27+DN28-DW27)))</f>
        <v>40</v>
      </c>
      <c r="DP28" s="17">
        <f>DO28*VLOOKUP('Données projet'!$B$14,Paramètres!$A$1:$I$89,3,0)*VLOOKUP('Données projet'!$B$14,Paramètres!$A$1:$I$89,5,0)</f>
        <v>34.32</v>
      </c>
      <c r="DQ28" s="13">
        <f t="shared" si="43"/>
        <v>10.480008641404153</v>
      </c>
      <c r="DR28" s="20">
        <f t="shared" si="16"/>
        <v>78.026681717112226</v>
      </c>
      <c r="DS28" s="59">
        <f t="shared" si="17"/>
        <v>365.24890393933447</v>
      </c>
      <c r="DT28" s="59">
        <f ca="1">AVERAGE(OFFSET($DS$3,0,0,'Données projet'!$E$14+1,1))-AVERAGE(OFFSET($H$3,0,0,'Données projet'!$E$14+1,1))</f>
        <v>203.34232675618244</v>
      </c>
      <c r="DU28" s="59">
        <f t="shared" si="44"/>
        <v>176.81257896138806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71</v>
      </c>
      <c r="EH28" s="12">
        <f>VLOOKUP(A28,'Données projet'!$A$191:$I$211,9,0)</f>
        <v>5.8</v>
      </c>
      <c r="EI28" s="12">
        <f t="array" ref="EI28">INDEX(EH:EH,MIN(IF(ISNUMBER(EH28:EH224),ROW(EH28:EH224),"")))</f>
        <v>5.8</v>
      </c>
      <c r="EJ28" s="12">
        <f>IF('Données projet'!$A$192&gt;35,EJ27+EI28-ER27,IF(A28&lt;'Données projet'!$A$192,$EG$205^A28,IF(A28='Données projet'!$A$192,'Données projet'!$B$192,EJ27+EI28-ER27)))</f>
        <v>70.999999999999986</v>
      </c>
      <c r="EK28" s="17">
        <f>EJ28*VLOOKUP('Données projet'!$B$15,Paramètres!$A$1:$I$89,3,0)*VLOOKUP('Données projet'!$B$15,Paramètres!$A$1:$I$89,5,0)</f>
        <v>68.671199999999985</v>
      </c>
      <c r="EL28" s="13">
        <f t="shared" si="45"/>
        <v>19.343102525659866</v>
      </c>
      <c r="EM28" s="20">
        <f t="shared" si="19"/>
        <v>153.29157689885756</v>
      </c>
      <c r="EN28" s="59">
        <f t="shared" si="20"/>
        <v>440.51379912107978</v>
      </c>
      <c r="EO28" s="59">
        <f ca="1">AVERAGE(OFFSET($EN$3,0,0,'Données projet'!$E$15+1,1))-AVERAGE(OFFSET($H$3,0,0,'Données projet'!$E$15+1,1))</f>
        <v>218.78765033569107</v>
      </c>
      <c r="EP28" s="59">
        <f t="shared" si="46"/>
        <v>246.54010105494137</v>
      </c>
      <c r="EQ28" s="15">
        <f>IF(ISNA(VLOOKUP(A28,'Données projet'!$A$191:$I$211,3,0)),0,VLOOKUP(A28,'Données projet'!$A$191:$I$211,3,0))</f>
        <v>1</v>
      </c>
      <c r="ER28" s="15">
        <f>IF(ISNA(VLOOKUP(A28,'Données projet'!$A$191:$I$211,4,0)),0,VLOOKUP(A28,'Données projet'!$A$191:$I$211,4,0))</f>
        <v>8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115</v>
      </c>
      <c r="FC28" s="12">
        <f>VLOOKUP(A28,'Données projet'!$A$217:$I$237,9,0)</f>
        <v>12.6</v>
      </c>
      <c r="FD28" s="12">
        <f t="array" ref="FD28">INDEX(FC:FC,MIN(IF(ISNUMBER(FC28:FC224),ROW(FC28:FC224),"")))</f>
        <v>12.6</v>
      </c>
      <c r="FE28" s="12">
        <f>IF('Données projet'!$A$218&gt;35,FE27+FD28-FM27,IF(A28&lt;'Données projet'!$A$218,$FB$205^A28,IF(A28='Données projet'!$A$218,'Données projet'!$B$218,FE27+FD28-FM27)))</f>
        <v>114.99999999999997</v>
      </c>
      <c r="FF28" s="17">
        <f>FE28*VLOOKUP('Données projet'!$B$16,Paramètres!$A$1:$I$89,3,0)*VLOOKUP('Données projet'!$B$16,Paramètres!$A$1:$I$89,5,0)</f>
        <v>75.347999999999971</v>
      </c>
      <c r="FG28" s="13">
        <f t="shared" si="47"/>
        <v>20.99581051771704</v>
      </c>
      <c r="FH28" s="20">
        <f t="shared" si="22"/>
        <v>167.79880331835713</v>
      </c>
      <c r="FI28" s="59">
        <f t="shared" si="23"/>
        <v>455.02102554057933</v>
      </c>
      <c r="FJ28" s="59">
        <f ca="1">AVERAGE(OFFSET($FI$3,0,0,'Données projet'!$E$16+1,1))-AVERAGE(OFFSET($H$3,0,0,'Données projet'!$E$16+1,1))</f>
        <v>170.80796812111521</v>
      </c>
      <c r="FK28" s="59">
        <f t="shared" si="48"/>
        <v>249.84047400410321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28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9">
        <f t="shared" si="0"/>
        <v>665.39703298337781</v>
      </c>
      <c r="S29" s="59">
        <f ca="1">AVERAGE(OFFSET($R$3,0,0,'Données projet'!$E$9+1,1))-AVERAGE(OFFSET($H$3,0,0,'Données projet'!$E$9+1,1))</f>
        <v>333.02360594713667</v>
      </c>
      <c r="T29" s="59">
        <f t="shared" si="34"/>
        <v>546.58234447298014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10.668713680846702</v>
      </c>
      <c r="AB29" s="21">
        <f>EXP(-LN(2)/2)*AB28+(1-EXP(-LN(2)/2))/(LN(2)/2)*V29*Y29*VLOOKUP('Données projet'!$B$9,Paramètres!$A$1:$I$89,3,0)*0.475*44/12</f>
        <v>12.083593681488555</v>
      </c>
      <c r="AC29" s="22">
        <f t="shared" si="3"/>
        <v>22.752307362335259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6.6</v>
      </c>
      <c r="AI29" s="13">
        <f>IF('Données projet'!$A$62&gt;35,AI28+AH29-AQ28,IF(A29&lt;'Données projet'!$A$62,$AF$205^A29,IF(A29='Données projet'!$A$62,'Données projet'!$B$62,AI28+AH29-AQ28)))</f>
        <v>46.6</v>
      </c>
      <c r="AJ29" s="13">
        <f>AI29*VLOOKUP('Données projet'!$B$10,Paramètres!$A$1:$I$89,3,0)*VLOOKUP('Données projet'!$B$10,Paramètres!$A$1:$I$89,5,0)</f>
        <v>40.70976000000001</v>
      </c>
      <c r="AK29" s="13">
        <f t="shared" si="35"/>
        <v>12.186575870088387</v>
      </c>
      <c r="AL29" s="20">
        <f t="shared" si="4"/>
        <v>92.127784973737278</v>
      </c>
      <c r="AM29" s="59">
        <f t="shared" si="5"/>
        <v>380.57222941818173</v>
      </c>
      <c r="AN29" s="59">
        <f ca="1">AVERAGE(OFFSET($AM$3,0,0,'Données projet'!$E$10+1,1))-AVERAGE(OFFSET($H$3,0,0,'Données projet'!$E$10+1,1))</f>
        <v>243.26825841283591</v>
      </c>
      <c r="AO29" s="59">
        <f t="shared" si="36"/>
        <v>179.2944312100729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6.6</v>
      </c>
      <c r="BD29" s="12">
        <f>IF('Données projet'!$A$88&gt;35,BD28+BC29-BL28,IF(A29&lt;'Données projet'!$A$88,$BA$205^A29,IF(A29='Données projet'!$A$88,'Données projet'!$B$88,BD28+BC29-BL28)))</f>
        <v>46.6</v>
      </c>
      <c r="BE29" s="13">
        <f>BD29*VLOOKUP('Données projet'!$B$11,Paramètres!$A$1:$I$89,3,0)*VLOOKUP('Données projet'!$B$11,Paramètres!$A$1:$I$89,5,0)</f>
        <v>34.167120000000004</v>
      </c>
      <c r="BF29" s="13">
        <f t="shared" si="37"/>
        <v>10.438748234359947</v>
      </c>
      <c r="BG29" s="20">
        <f t="shared" si="7"/>
        <v>77.688553841510242</v>
      </c>
      <c r="BH29" s="59">
        <f t="shared" si="8"/>
        <v>366.13299828595473</v>
      </c>
      <c r="BI29" s="59">
        <f ca="1">AVERAGE(OFFSET($BH$3,0,0,'Données projet'!$E$11+1,1))-AVERAGE(OFFSET($H$3,0,0,'Données projet'!$E$11+1,1))</f>
        <v>146.45728988963538</v>
      </c>
      <c r="BJ29" s="59">
        <f t="shared" si="38"/>
        <v>156.91778940341118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12</v>
      </c>
      <c r="BY29" s="12">
        <f>IF('Données projet'!$A$114&gt;35,BY28+BX29-CG28,IF(A29&lt;'Données projet'!$A$114,$BV$205^A29,IF(A29='Données projet'!$A$114,'Données projet'!$B$114,BY28+BX29-CG28)))</f>
        <v>98.999999999999972</v>
      </c>
      <c r="BZ29" s="13">
        <f>BY29*VLOOKUP('Données projet'!$B$12,Paramètres!$A$1:$I$89,3,0)*VLOOKUP('Données projet'!$B$12,Paramètres!$A$1:$I$89,5,0)</f>
        <v>78.764399999999981</v>
      </c>
      <c r="CA29" s="13">
        <f t="shared" si="39"/>
        <v>21.834800364471622</v>
      </c>
      <c r="CB29" s="20">
        <f t="shared" si="10"/>
        <v>175.21027396812136</v>
      </c>
      <c r="CC29" s="59">
        <f t="shared" si="11"/>
        <v>463.65471841256579</v>
      </c>
      <c r="CD29" s="59">
        <f ca="1">AVERAGE(OFFSET($CC$3,0,0,'Données projet'!$E$12+1,1))-AVERAGE(OFFSET($H$3,0,0,'Données projet'!$E$12+1,1))</f>
        <v>238.71022302719206</v>
      </c>
      <c r="CE29" s="59">
        <f t="shared" si="40"/>
        <v>294.28794439094878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12</v>
      </c>
      <c r="CT29" s="12">
        <f>IF('Données projet'!$A$140&gt;35,CT28+CS29-DB28,IF(A29&lt;'Données projet'!$A$140,$CQ$205^A29,IF(A29='Données projet'!$A$140,'Données projet'!$B$140,CT28+CS29-DB28)))</f>
        <v>98.999999999999972</v>
      </c>
      <c r="CU29" s="17">
        <f>CT29*VLOOKUP('Données projet'!$B$13,Paramètres!$A$1:$I$89,3,0)*VLOOKUP('Données projet'!$B$13,Paramètres!$A$1:$I$89,5,0)</f>
        <v>78.764399999999981</v>
      </c>
      <c r="CV29" s="13">
        <f t="shared" si="41"/>
        <v>21.834800364471622</v>
      </c>
      <c r="CW29" s="20">
        <f t="shared" si="13"/>
        <v>175.21027396812136</v>
      </c>
      <c r="CX29" s="59">
        <f t="shared" si="14"/>
        <v>463.65471841256579</v>
      </c>
      <c r="CY29" s="59">
        <f ca="1">AVERAGE(OFFSET($CX$3,0,0,'Données projet'!$E$13+1,1))-AVERAGE(OFFSET($H$3,0,0,'Données projet'!$E$13+1,1))</f>
        <v>238.71022302719206</v>
      </c>
      <c r="CZ29" s="59">
        <f t="shared" si="42"/>
        <v>294.28794439094878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6.6</v>
      </c>
      <c r="DO29" s="12">
        <f>IF('Données projet'!$A$166&gt;35,DO28+DN29-DW28,IF(A29&lt;'Données projet'!$A$166,$DL$205^A29,IF(A29='Données projet'!$A$166,'Données projet'!$B$166,DO28+DN29-DW28)))</f>
        <v>46.6</v>
      </c>
      <c r="DP29" s="17">
        <f>DO29*VLOOKUP('Données projet'!$B$14,Paramètres!$A$1:$I$89,3,0)*VLOOKUP('Données projet'!$B$14,Paramètres!$A$1:$I$89,5,0)</f>
        <v>39.982800000000005</v>
      </c>
      <c r="DQ29" s="13">
        <f t="shared" si="43"/>
        <v>11.994087930693277</v>
      </c>
      <c r="DR29" s="20">
        <f t="shared" si="16"/>
        <v>90.526413145957463</v>
      </c>
      <c r="DS29" s="59">
        <f t="shared" si="17"/>
        <v>378.97085759040192</v>
      </c>
      <c r="DT29" s="59">
        <f ca="1">AVERAGE(OFFSET($DS$3,0,0,'Données projet'!$E$14+1,1))-AVERAGE(OFFSET($H$3,0,0,'Données projet'!$E$14+1,1))</f>
        <v>203.34232675618244</v>
      </c>
      <c r="DU29" s="59">
        <f t="shared" si="44"/>
        <v>176.81257896138806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7</v>
      </c>
      <c r="EJ29" s="12">
        <f>IF('Données projet'!$A$192&gt;35,EJ28+EI29-ER28,IF(A29&lt;'Données projet'!$A$192,$EG$205^A29,IF(A29='Données projet'!$A$192,'Données projet'!$B$192,EJ28+EI29-ER28)))</f>
        <v>69.999999999999986</v>
      </c>
      <c r="EK29" s="17">
        <f>EJ29*VLOOKUP('Données projet'!$B$15,Paramètres!$A$1:$I$89,3,0)*VLOOKUP('Données projet'!$B$15,Paramètres!$A$1:$I$89,5,0)</f>
        <v>67.703999999999994</v>
      </c>
      <c r="EL29" s="13">
        <f t="shared" si="45"/>
        <v>19.102177882771514</v>
      </c>
      <c r="EM29" s="20">
        <f t="shared" si="19"/>
        <v>151.18742647916039</v>
      </c>
      <c r="EN29" s="59">
        <f t="shared" si="20"/>
        <v>439.63187092360488</v>
      </c>
      <c r="EO29" s="59">
        <f ca="1">AVERAGE(OFFSET($EN$3,0,0,'Données projet'!$E$15+1,1))-AVERAGE(OFFSET($H$3,0,0,'Données projet'!$E$15+1,1))</f>
        <v>218.78765033569107</v>
      </c>
      <c r="EP29" s="59">
        <f t="shared" si="46"/>
        <v>246.54010105494137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12</v>
      </c>
      <c r="FE29" s="12">
        <f>IF('Données projet'!$A$218&gt;35,FE28+FD29-FM28,IF(A29&lt;'Données projet'!$A$218,$FB$205^A29,IF(A29='Données projet'!$A$218,'Données projet'!$B$218,FE28+FD29-FM28)))</f>
        <v>98.999999999999972</v>
      </c>
      <c r="FF29" s="17">
        <f>FE29*VLOOKUP('Données projet'!$B$16,Paramètres!$A$1:$I$89,3,0)*VLOOKUP('Données projet'!$B$16,Paramètres!$A$1:$I$89,5,0)</f>
        <v>64.864799999999974</v>
      </c>
      <c r="FG29" s="13">
        <f t="shared" si="47"/>
        <v>18.392606985756618</v>
      </c>
      <c r="FH29" s="20">
        <f t="shared" si="22"/>
        <v>145.00665050019273</v>
      </c>
      <c r="FI29" s="59">
        <f t="shared" si="23"/>
        <v>433.45109494463719</v>
      </c>
      <c r="FJ29" s="59">
        <f ca="1">AVERAGE(OFFSET($FI$3,0,0,'Données projet'!$E$16+1,1))-AVERAGE(OFFSET($H$3,0,0,'Données projet'!$E$16+1,1))</f>
        <v>170.80796812111521</v>
      </c>
      <c r="FK29" s="59">
        <f t="shared" si="48"/>
        <v>249.84047400410321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9">
        <f t="shared" si="0"/>
        <v>699.94286175098273</v>
      </c>
      <c r="S30" s="59">
        <f ca="1">AVERAGE(OFFSET($R$3,0,0,'Données projet'!$E$9+1,1))-AVERAGE(OFFSET($H$3,0,0,'Données projet'!$E$9+1,1))</f>
        <v>333.02360594713667</v>
      </c>
      <c r="T30" s="59">
        <f t="shared" si="34"/>
        <v>546.58234447298014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10.37697714420068</v>
      </c>
      <c r="AB30" s="21">
        <f>EXP(-LN(2)/2)*AB29+(1-EXP(-LN(2)/2))/(LN(2)/2)*V30*Y30*VLOOKUP('Données projet'!$B$9,Paramètres!$A$1:$I$89,3,0)*0.475*44/12</f>
        <v>8.5443910332834765</v>
      </c>
      <c r="AC30" s="22">
        <f t="shared" si="3"/>
        <v>18.921368177484155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6.6</v>
      </c>
      <c r="AI30" s="13">
        <f>IF('Données projet'!$A$62&gt;35,AI29+AH30-AQ29,IF(A30&lt;'Données projet'!$A$62,$AF$205^A30,IF(A30='Données projet'!$A$62,'Données projet'!$B$62,AI29+AH30-AQ29)))</f>
        <v>53.2</v>
      </c>
      <c r="AJ30" s="13">
        <f>AI30*VLOOKUP('Données projet'!$B$10,Paramètres!$A$1:$I$89,3,0)*VLOOKUP('Données projet'!$B$10,Paramètres!$A$1:$I$89,5,0)</f>
        <v>46.47552000000001</v>
      </c>
      <c r="AK30" s="13">
        <f t="shared" si="35"/>
        <v>13.699711418564323</v>
      </c>
      <c r="AL30" s="20">
        <f t="shared" si="4"/>
        <v>104.80519472066622</v>
      </c>
      <c r="AM30" s="59">
        <f t="shared" si="5"/>
        <v>394.47186138733292</v>
      </c>
      <c r="AN30" s="59">
        <f ca="1">AVERAGE(OFFSET($AM$3,0,0,'Données projet'!$E$10+1,1))-AVERAGE(OFFSET($H$3,0,0,'Données projet'!$E$10+1,1))</f>
        <v>243.26825841283591</v>
      </c>
      <c r="AO30" s="59">
        <f t="shared" si="36"/>
        <v>179.2944312100729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6.6</v>
      </c>
      <c r="BD30" s="12">
        <f>IF('Données projet'!$A$88&gt;35,BD29+BC30-BL29,IF(A30&lt;'Données projet'!$A$88,$BA$205^A30,IF(A30='Données projet'!$A$88,'Données projet'!$B$88,BD29+BC30-BL29)))</f>
        <v>53.2</v>
      </c>
      <c r="BE30" s="13">
        <f>BD30*VLOOKUP('Données projet'!$B$11,Paramètres!$A$1:$I$89,3,0)*VLOOKUP('Données projet'!$B$11,Paramètres!$A$1:$I$89,5,0)</f>
        <v>39.006240000000005</v>
      </c>
      <c r="BF30" s="13">
        <f t="shared" si="37"/>
        <v>11.734866291095592</v>
      </c>
      <c r="BG30" s="20">
        <f t="shared" si="7"/>
        <v>88.374093456991488</v>
      </c>
      <c r="BH30" s="59">
        <f t="shared" si="8"/>
        <v>378.04076012365817</v>
      </c>
      <c r="BI30" s="59">
        <f ca="1">AVERAGE(OFFSET($BH$3,0,0,'Données projet'!$E$11+1,1))-AVERAGE(OFFSET($H$3,0,0,'Données projet'!$E$11+1,1))</f>
        <v>146.45728988963538</v>
      </c>
      <c r="BJ30" s="59">
        <f t="shared" si="38"/>
        <v>156.91778940341118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12</v>
      </c>
      <c r="BY30" s="12">
        <f>IF('Données projet'!$A$114&gt;35,BY29+BX30-CG29,IF(A30&lt;'Données projet'!$A$114,$BV$205^A30,IF(A30='Données projet'!$A$114,'Données projet'!$B$114,BY29+BX30-CG29)))</f>
        <v>110.99999999999997</v>
      </c>
      <c r="BZ30" s="13">
        <f>BY30*VLOOKUP('Données projet'!$B$12,Paramètres!$A$1:$I$89,3,0)*VLOOKUP('Données projet'!$B$12,Paramètres!$A$1:$I$89,5,0)</f>
        <v>88.311599999999984</v>
      </c>
      <c r="CA30" s="13">
        <f t="shared" si="39"/>
        <v>24.157575839957186</v>
      </c>
      <c r="CB30" s="20">
        <f t="shared" si="10"/>
        <v>195.8838145879254</v>
      </c>
      <c r="CC30" s="59">
        <f t="shared" si="11"/>
        <v>485.55048125459211</v>
      </c>
      <c r="CD30" s="59">
        <f ca="1">AVERAGE(OFFSET($CC$3,0,0,'Données projet'!$E$12+1,1))-AVERAGE(OFFSET($H$3,0,0,'Données projet'!$E$12+1,1))</f>
        <v>238.71022302719206</v>
      </c>
      <c r="CE30" s="59">
        <f t="shared" si="40"/>
        <v>294.28794439094878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12</v>
      </c>
      <c r="CT30" s="12">
        <f>IF('Données projet'!$A$140&gt;35,CT29+CS30-DB29,IF(A30&lt;'Données projet'!$A$140,$CQ$205^A30,IF(A30='Données projet'!$A$140,'Données projet'!$B$140,CT29+CS30-DB29)))</f>
        <v>110.99999999999997</v>
      </c>
      <c r="CU30" s="17">
        <f>CT30*VLOOKUP('Données projet'!$B$13,Paramètres!$A$1:$I$89,3,0)*VLOOKUP('Données projet'!$B$13,Paramètres!$A$1:$I$89,5,0)</f>
        <v>88.311599999999984</v>
      </c>
      <c r="CV30" s="13">
        <f t="shared" si="41"/>
        <v>24.157575839957186</v>
      </c>
      <c r="CW30" s="20">
        <f t="shared" si="13"/>
        <v>195.8838145879254</v>
      </c>
      <c r="CX30" s="59">
        <f t="shared" si="14"/>
        <v>485.55048125459211</v>
      </c>
      <c r="CY30" s="59">
        <f ca="1">AVERAGE(OFFSET($CX$3,0,0,'Données projet'!$E$13+1,1))-AVERAGE(OFFSET($H$3,0,0,'Données projet'!$E$13+1,1))</f>
        <v>238.71022302719206</v>
      </c>
      <c r="CZ30" s="59">
        <f t="shared" si="42"/>
        <v>294.28794439094878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6.6</v>
      </c>
      <c r="DO30" s="12">
        <f>IF('Données projet'!$A$166&gt;35,DO29+DN30-DW29,IF(A30&lt;'Données projet'!$A$166,$DL$205^A30,IF(A30='Données projet'!$A$166,'Données projet'!$B$166,DO29+DN30-DW29)))</f>
        <v>53.2</v>
      </c>
      <c r="DP30" s="17">
        <f>DO30*VLOOKUP('Données projet'!$B$14,Paramètres!$A$1:$I$89,3,0)*VLOOKUP('Données projet'!$B$14,Paramètres!$A$1:$I$89,5,0)</f>
        <v>45.645600000000009</v>
      </c>
      <c r="DQ30" s="13">
        <f t="shared" si="43"/>
        <v>13.483323382303894</v>
      </c>
      <c r="DR30" s="20">
        <f t="shared" si="16"/>
        <v>102.98287489084596</v>
      </c>
      <c r="DS30" s="59">
        <f t="shared" si="17"/>
        <v>392.64954155751263</v>
      </c>
      <c r="DT30" s="59">
        <f ca="1">AVERAGE(OFFSET($DS$3,0,0,'Données projet'!$E$14+1,1))-AVERAGE(OFFSET($H$3,0,0,'Données projet'!$E$14+1,1))</f>
        <v>203.34232675618244</v>
      </c>
      <c r="DU30" s="59">
        <f t="shared" si="44"/>
        <v>176.81257896138806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7</v>
      </c>
      <c r="EJ30" s="12">
        <f>IF('Données projet'!$A$192&gt;35,EJ29+EI30-ER29,IF(A30&lt;'Données projet'!$A$192,$EG$205^A30,IF(A30='Données projet'!$A$192,'Données projet'!$B$192,EJ29+EI30-ER29)))</f>
        <v>76.999999999999986</v>
      </c>
      <c r="EK30" s="17">
        <f>EJ30*VLOOKUP('Données projet'!$B$15,Paramètres!$A$1:$I$89,3,0)*VLOOKUP('Données projet'!$B$15,Paramètres!$A$1:$I$89,5,0)</f>
        <v>74.474399999999989</v>
      </c>
      <c r="EL30" s="13">
        <f t="shared" si="45"/>
        <v>20.780570274034357</v>
      </c>
      <c r="EM30" s="20">
        <f t="shared" si="19"/>
        <v>165.90240656060982</v>
      </c>
      <c r="EN30" s="59">
        <f t="shared" si="20"/>
        <v>455.56907322727648</v>
      </c>
      <c r="EO30" s="59">
        <f ca="1">AVERAGE(OFFSET($EN$3,0,0,'Données projet'!$E$15+1,1))-AVERAGE(OFFSET($H$3,0,0,'Données projet'!$E$15+1,1))</f>
        <v>218.78765033569107</v>
      </c>
      <c r="EP30" s="59">
        <f t="shared" si="46"/>
        <v>246.54010105494137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12</v>
      </c>
      <c r="FE30" s="12">
        <f>IF('Données projet'!$A$218&gt;35,FE29+FD30-FM29,IF(A30&lt;'Données projet'!$A$218,$FB$205^A30,IF(A30='Données projet'!$A$218,'Données projet'!$B$218,FE29+FD30-FM29)))</f>
        <v>110.99999999999997</v>
      </c>
      <c r="FF30" s="17">
        <f>FE30*VLOOKUP('Données projet'!$B$16,Paramètres!$A$1:$I$89,3,0)*VLOOKUP('Données projet'!$B$16,Paramètres!$A$1:$I$89,5,0)</f>
        <v>72.727199999999982</v>
      </c>
      <c r="FG30" s="13">
        <f t="shared" si="47"/>
        <v>20.349203598669749</v>
      </c>
      <c r="FH30" s="20">
        <f t="shared" si="22"/>
        <v>162.10806960101644</v>
      </c>
      <c r="FI30" s="59">
        <f t="shared" si="23"/>
        <v>451.77473626768312</v>
      </c>
      <c r="FJ30" s="59">
        <f ca="1">AVERAGE(OFFSET($FI$3,0,0,'Données projet'!$E$16+1,1))-AVERAGE(OFFSET($H$3,0,0,'Données projet'!$E$16+1,1))</f>
        <v>170.80796812111521</v>
      </c>
      <c r="FK30" s="59">
        <f t="shared" si="48"/>
        <v>249.84047400410321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9">
        <f t="shared" si="0"/>
        <v>734.43026527133907</v>
      </c>
      <c r="S31" s="59">
        <f ca="1">AVERAGE(OFFSET($R$3,0,0,'Données projet'!$E$9+1,1))-AVERAGE(OFFSET($H$3,0,0,'Données projet'!$E$9+1,1))</f>
        <v>333.02360594713667</v>
      </c>
      <c r="T31" s="59">
        <f t="shared" si="34"/>
        <v>546.58234447298014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10.093218158491002</v>
      </c>
      <c r="AB31" s="21">
        <f>EXP(-LN(2)/2)*AB30+(1-EXP(-LN(2)/2))/(LN(2)/2)*V31*Y31*VLOOKUP('Données projet'!$B$9,Paramètres!$A$1:$I$89,3,0)*0.475*44/12</f>
        <v>6.0417968407442784</v>
      </c>
      <c r="AC31" s="22">
        <f t="shared" si="3"/>
        <v>16.135014999235281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6.6</v>
      </c>
      <c r="AI31" s="13">
        <f>IF('Données projet'!$A$62&gt;35,AI30+AH31-AQ30,IF(A31&lt;'Données projet'!$A$62,$AF$205^A31,IF(A31='Données projet'!$A$62,'Données projet'!$B$62,AI30+AH31-AQ30)))</f>
        <v>59.800000000000004</v>
      </c>
      <c r="AJ31" s="13">
        <f>AI31*VLOOKUP('Données projet'!$B$10,Paramètres!$A$1:$I$89,3,0)*VLOOKUP('Données projet'!$B$10,Paramètres!$A$1:$I$89,5,0)</f>
        <v>52.24128000000001</v>
      </c>
      <c r="AK31" s="13">
        <f t="shared" si="35"/>
        <v>15.191094549941516</v>
      </c>
      <c r="AL31" s="20">
        <f t="shared" si="4"/>
        <v>117.44471900781481</v>
      </c>
      <c r="AM31" s="59">
        <f t="shared" si="5"/>
        <v>408.33360789670365</v>
      </c>
      <c r="AN31" s="59">
        <f ca="1">AVERAGE(OFFSET($AM$3,0,0,'Données projet'!$E$10+1,1))-AVERAGE(OFFSET($H$3,0,0,'Données projet'!$E$10+1,1))</f>
        <v>243.26825841283591</v>
      </c>
      <c r="AO31" s="59">
        <f t="shared" si="36"/>
        <v>179.2944312100729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6.6</v>
      </c>
      <c r="BD31" s="12">
        <f>IF('Données projet'!$A$88&gt;35,BD30+BC31-BL30,IF(A31&lt;'Données projet'!$A$88,$BA$205^A31,IF(A31='Données projet'!$A$88,'Données projet'!$B$88,BD30+BC31-BL30)))</f>
        <v>59.800000000000004</v>
      </c>
      <c r="BE31" s="13">
        <f>BD31*VLOOKUP('Données projet'!$B$11,Paramètres!$A$1:$I$89,3,0)*VLOOKUP('Données projet'!$B$11,Paramètres!$A$1:$I$89,5,0)</f>
        <v>43.845360000000007</v>
      </c>
      <c r="BF31" s="13">
        <f t="shared" si="37"/>
        <v>13.012351714021445</v>
      </c>
      <c r="BG31" s="20">
        <f t="shared" si="7"/>
        <v>99.027181235254019</v>
      </c>
      <c r="BH31" s="59">
        <f t="shared" si="8"/>
        <v>389.91607012414289</v>
      </c>
      <c r="BI31" s="59">
        <f ca="1">AVERAGE(OFFSET($BH$3,0,0,'Données projet'!$E$11+1,1))-AVERAGE(OFFSET($H$3,0,0,'Données projet'!$E$11+1,1))</f>
        <v>146.45728988963538</v>
      </c>
      <c r="BJ31" s="59">
        <f t="shared" si="38"/>
        <v>156.91778940341118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12</v>
      </c>
      <c r="BY31" s="12">
        <f>IF('Données projet'!$A$114&gt;35,BY30+BX31-CG30,IF(A31&lt;'Données projet'!$A$114,$BV$205^A31,IF(A31='Données projet'!$A$114,'Données projet'!$B$114,BY30+BX31-CG30)))</f>
        <v>122.99999999999997</v>
      </c>
      <c r="BZ31" s="13">
        <f>BY31*VLOOKUP('Données projet'!$B$12,Paramètres!$A$1:$I$89,3,0)*VLOOKUP('Données projet'!$B$12,Paramètres!$A$1:$I$89,5,0)</f>
        <v>97.858799999999988</v>
      </c>
      <c r="CA31" s="13">
        <f t="shared" si="39"/>
        <v>26.45124536158788</v>
      </c>
      <c r="CB31" s="20">
        <f t="shared" si="10"/>
        <v>216.50666233809886</v>
      </c>
      <c r="CC31" s="59">
        <f t="shared" si="11"/>
        <v>507.39555122698772</v>
      </c>
      <c r="CD31" s="59">
        <f ca="1">AVERAGE(OFFSET($CC$3,0,0,'Données projet'!$E$12+1,1))-AVERAGE(OFFSET($H$3,0,0,'Données projet'!$E$12+1,1))</f>
        <v>238.71022302719206</v>
      </c>
      <c r="CE31" s="59">
        <f t="shared" si="40"/>
        <v>294.28794439094878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12</v>
      </c>
      <c r="CT31" s="12">
        <f>IF('Données projet'!$A$140&gt;35,CT30+CS31-DB30,IF(A31&lt;'Données projet'!$A$140,$CQ$205^A31,IF(A31='Données projet'!$A$140,'Données projet'!$B$140,CT30+CS31-DB30)))</f>
        <v>122.99999999999997</v>
      </c>
      <c r="CU31" s="17">
        <f>CT31*VLOOKUP('Données projet'!$B$13,Paramètres!$A$1:$I$89,3,0)*VLOOKUP('Données projet'!$B$13,Paramètres!$A$1:$I$89,5,0)</f>
        <v>97.858799999999988</v>
      </c>
      <c r="CV31" s="13">
        <f t="shared" si="41"/>
        <v>26.45124536158788</v>
      </c>
      <c r="CW31" s="20">
        <f t="shared" si="13"/>
        <v>216.50666233809886</v>
      </c>
      <c r="CX31" s="59">
        <f t="shared" si="14"/>
        <v>507.39555122698772</v>
      </c>
      <c r="CY31" s="59">
        <f ca="1">AVERAGE(OFFSET($CX$3,0,0,'Données projet'!$E$13+1,1))-AVERAGE(OFFSET($H$3,0,0,'Données projet'!$E$13+1,1))</f>
        <v>238.71022302719206</v>
      </c>
      <c r="CZ31" s="59">
        <f t="shared" si="42"/>
        <v>294.28794439094878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6.6</v>
      </c>
      <c r="DO31" s="12">
        <f>IF('Données projet'!$A$166&gt;35,DO30+DN31-DW30,IF(A31&lt;'Données projet'!$A$166,$DL$205^A31,IF(A31='Données projet'!$A$166,'Données projet'!$B$166,DO30+DN31-DW30)))</f>
        <v>59.800000000000004</v>
      </c>
      <c r="DP31" s="17">
        <f>DO31*VLOOKUP('Données projet'!$B$14,Paramètres!$A$1:$I$89,3,0)*VLOOKUP('Données projet'!$B$14,Paramètres!$A$1:$I$89,5,0)</f>
        <v>51.308400000000013</v>
      </c>
      <c r="DQ31" s="13">
        <f t="shared" si="43"/>
        <v>14.95114999798154</v>
      </c>
      <c r="DR31" s="20">
        <f t="shared" si="16"/>
        <v>115.40204957981786</v>
      </c>
      <c r="DS31" s="59">
        <f t="shared" si="17"/>
        <v>406.29093846870671</v>
      </c>
      <c r="DT31" s="59">
        <f ca="1">AVERAGE(OFFSET($DS$3,0,0,'Données projet'!$E$14+1,1))-AVERAGE(OFFSET($H$3,0,0,'Données projet'!$E$14+1,1))</f>
        <v>203.34232675618244</v>
      </c>
      <c r="DU31" s="59">
        <f t="shared" si="44"/>
        <v>176.81257896138806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7</v>
      </c>
      <c r="EJ31" s="12">
        <f>IF('Données projet'!$A$192&gt;35,EJ30+EI31-ER30,IF(A31&lt;'Données projet'!$A$192,$EG$205^A31,IF(A31='Données projet'!$A$192,'Données projet'!$B$192,EJ30+EI31-ER30)))</f>
        <v>83.999999999999986</v>
      </c>
      <c r="EK31" s="17">
        <f>EJ31*VLOOKUP('Données projet'!$B$15,Paramètres!$A$1:$I$89,3,0)*VLOOKUP('Données projet'!$B$15,Paramètres!$A$1:$I$89,5,0)</f>
        <v>81.244799999999984</v>
      </c>
      <c r="EL31" s="13">
        <f t="shared" si="45"/>
        <v>22.441270156928962</v>
      </c>
      <c r="EM31" s="20">
        <f t="shared" si="19"/>
        <v>180.58657218998459</v>
      </c>
      <c r="EN31" s="59">
        <f t="shared" si="20"/>
        <v>471.47546107887342</v>
      </c>
      <c r="EO31" s="59">
        <f ca="1">AVERAGE(OFFSET($EN$3,0,0,'Données projet'!$E$15+1,1))-AVERAGE(OFFSET($H$3,0,0,'Données projet'!$E$15+1,1))</f>
        <v>218.78765033569107</v>
      </c>
      <c r="EP31" s="59">
        <f t="shared" si="46"/>
        <v>246.54010105494137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12</v>
      </c>
      <c r="FE31" s="12">
        <f>IF('Données projet'!$A$218&gt;35,FE30+FD31-FM30,IF(A31&lt;'Données projet'!$A$218,$FB$205^A31,IF(A31='Données projet'!$A$218,'Données projet'!$B$218,FE30+FD31-FM30)))</f>
        <v>122.99999999999997</v>
      </c>
      <c r="FF31" s="17">
        <f>FE31*VLOOKUP('Données projet'!$B$16,Paramètres!$A$1:$I$89,3,0)*VLOOKUP('Données projet'!$B$16,Paramètres!$A$1:$I$89,5,0)</f>
        <v>80.58959999999999</v>
      </c>
      <c r="FG31" s="13">
        <f t="shared" si="47"/>
        <v>22.281282727508763</v>
      </c>
      <c r="FH31" s="20">
        <f t="shared" si="22"/>
        <v>179.16678741707776</v>
      </c>
      <c r="FI31" s="59">
        <f t="shared" si="23"/>
        <v>470.05567630596659</v>
      </c>
      <c r="FJ31" s="59">
        <f ca="1">AVERAGE(OFFSET($FI$3,0,0,'Données projet'!$E$16+1,1))-AVERAGE(OFFSET($H$3,0,0,'Données projet'!$E$16+1,1))</f>
        <v>170.80796812111521</v>
      </c>
      <c r="FK31" s="59">
        <f t="shared" si="48"/>
        <v>249.84047400410321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9">
        <f t="shared" si="0"/>
        <v>768.86423507735435</v>
      </c>
      <c r="S32" s="59">
        <f ca="1">AVERAGE(OFFSET($R$3,0,0,'Données projet'!$E$9+1,1))-AVERAGE(OFFSET($H$3,0,0,'Données projet'!$E$9+1,1))</f>
        <v>333.02360594713667</v>
      </c>
      <c r="T32" s="59">
        <f t="shared" si="34"/>
        <v>546.58234447298014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9.8172185771677913</v>
      </c>
      <c r="AB32" s="21">
        <f>EXP(-LN(2)/2)*AB31+(1-EXP(-LN(2)/2))/(LN(2)/2)*V32*Y32*VLOOKUP('Données projet'!$B$9,Paramètres!$A$1:$I$89,3,0)*0.475*44/12</f>
        <v>4.2721955166417391</v>
      </c>
      <c r="AC32" s="22">
        <f t="shared" si="3"/>
        <v>14.08941409380953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6.6</v>
      </c>
      <c r="AI32" s="13">
        <f>IF('Données projet'!$A$62&gt;35,AI31+AH32-AQ31,IF(A32&lt;'Données projet'!$A$62,$AF$205^A32,IF(A32='Données projet'!$A$62,'Données projet'!$B$62,AI31+AH32-AQ31)))</f>
        <v>66.400000000000006</v>
      </c>
      <c r="AJ32" s="13">
        <f>AI32*VLOOKUP('Données projet'!$B$10,Paramètres!$A$1:$I$89,3,0)*VLOOKUP('Données projet'!$B$10,Paramètres!$A$1:$I$89,5,0)</f>
        <v>58.007040000000011</v>
      </c>
      <c r="AK32" s="13">
        <f t="shared" si="35"/>
        <v>16.663399847020422</v>
      </c>
      <c r="AL32" s="20">
        <f t="shared" si="4"/>
        <v>130.05101606689391</v>
      </c>
      <c r="AM32" s="59">
        <f t="shared" si="5"/>
        <v>422.16212717800505</v>
      </c>
      <c r="AN32" s="59">
        <f ca="1">AVERAGE(OFFSET($AM$3,0,0,'Données projet'!$E$10+1,1))-AVERAGE(OFFSET($H$3,0,0,'Données projet'!$E$10+1,1))</f>
        <v>243.26825841283591</v>
      </c>
      <c r="AO32" s="59">
        <f t="shared" si="36"/>
        <v>179.2944312100729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6.6</v>
      </c>
      <c r="BD32" s="12">
        <f>IF('Données projet'!$A$88&gt;35,BD31+BC32-BL31,IF(A32&lt;'Données projet'!$A$88,$BA$205^A32,IF(A32='Données projet'!$A$88,'Données projet'!$B$88,BD31+BC32-BL31)))</f>
        <v>66.400000000000006</v>
      </c>
      <c r="BE32" s="13">
        <f>BD32*VLOOKUP('Données projet'!$B$11,Paramètres!$A$1:$I$89,3,0)*VLOOKUP('Données projet'!$B$11,Paramètres!$A$1:$I$89,5,0)</f>
        <v>48.684480000000008</v>
      </c>
      <c r="BF32" s="13">
        <f t="shared" si="37"/>
        <v>14.273495490924697</v>
      </c>
      <c r="BG32" s="20">
        <f t="shared" si="7"/>
        <v>109.65180731336052</v>
      </c>
      <c r="BH32" s="59">
        <f t="shared" si="8"/>
        <v>401.76291842447165</v>
      </c>
      <c r="BI32" s="59">
        <f ca="1">AVERAGE(OFFSET($BH$3,0,0,'Données projet'!$E$11+1,1))-AVERAGE(OFFSET($H$3,0,0,'Données projet'!$E$11+1,1))</f>
        <v>146.45728988963538</v>
      </c>
      <c r="BJ32" s="59">
        <f t="shared" si="38"/>
        <v>156.91778940341118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12</v>
      </c>
      <c r="BY32" s="12">
        <f>IF('Données projet'!$A$114&gt;35,BY31+BX32-CG31,IF(A32&lt;'Données projet'!$A$114,$BV$205^A32,IF(A32='Données projet'!$A$114,'Données projet'!$B$114,BY31+BX32-CG31)))</f>
        <v>134.99999999999997</v>
      </c>
      <c r="BZ32" s="13">
        <f>BY32*VLOOKUP('Données projet'!$B$12,Paramètres!$A$1:$I$89,3,0)*VLOOKUP('Données projet'!$B$12,Paramètres!$A$1:$I$89,5,0)</f>
        <v>107.40599999999998</v>
      </c>
      <c r="CA32" s="13">
        <f t="shared" si="39"/>
        <v>28.718971683040337</v>
      </c>
      <c r="CB32" s="20">
        <f t="shared" si="10"/>
        <v>237.08432568129521</v>
      </c>
      <c r="CC32" s="59">
        <f t="shared" si="11"/>
        <v>529.19543679240633</v>
      </c>
      <c r="CD32" s="59">
        <f ca="1">AVERAGE(OFFSET($CC$3,0,0,'Données projet'!$E$12+1,1))-AVERAGE(OFFSET($H$3,0,0,'Données projet'!$E$12+1,1))</f>
        <v>238.71022302719206</v>
      </c>
      <c r="CE32" s="59">
        <f t="shared" si="40"/>
        <v>294.28794439094878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12</v>
      </c>
      <c r="CT32" s="12">
        <f>IF('Données projet'!$A$140&gt;35,CT31+CS32-DB31,IF(A32&lt;'Données projet'!$A$140,$CQ$205^A32,IF(A32='Données projet'!$A$140,'Données projet'!$B$140,CT31+CS32-DB31)))</f>
        <v>134.99999999999997</v>
      </c>
      <c r="CU32" s="17">
        <f>CT32*VLOOKUP('Données projet'!$B$13,Paramètres!$A$1:$I$89,3,0)*VLOOKUP('Données projet'!$B$13,Paramètres!$A$1:$I$89,5,0)</f>
        <v>107.40599999999998</v>
      </c>
      <c r="CV32" s="13">
        <f t="shared" si="41"/>
        <v>28.718971683040337</v>
      </c>
      <c r="CW32" s="20">
        <f t="shared" si="13"/>
        <v>237.08432568129521</v>
      </c>
      <c r="CX32" s="59">
        <f t="shared" si="14"/>
        <v>529.19543679240633</v>
      </c>
      <c r="CY32" s="59">
        <f ca="1">AVERAGE(OFFSET($CX$3,0,0,'Données projet'!$E$13+1,1))-AVERAGE(OFFSET($H$3,0,0,'Données projet'!$E$13+1,1))</f>
        <v>238.71022302719206</v>
      </c>
      <c r="CZ32" s="59">
        <f t="shared" si="42"/>
        <v>294.28794439094878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6.6</v>
      </c>
      <c r="DO32" s="12">
        <f>IF('Données projet'!$A$166&gt;35,DO31+DN32-DW31,IF(A32&lt;'Données projet'!$A$166,$DL$205^A32,IF(A32='Données projet'!$A$166,'Données projet'!$B$166,DO31+DN32-DW31)))</f>
        <v>66.400000000000006</v>
      </c>
      <c r="DP32" s="17">
        <f>DO32*VLOOKUP('Données projet'!$B$14,Paramètres!$A$1:$I$89,3,0)*VLOOKUP('Données projet'!$B$14,Paramètres!$A$1:$I$89,5,0)</f>
        <v>56.97120000000001</v>
      </c>
      <c r="DQ32" s="13">
        <f t="shared" si="43"/>
        <v>16.400200115277677</v>
      </c>
      <c r="DR32" s="20">
        <f t="shared" si="16"/>
        <v>127.78852186744196</v>
      </c>
      <c r="DS32" s="59">
        <f t="shared" si="17"/>
        <v>419.89963297855309</v>
      </c>
      <c r="DT32" s="59">
        <f ca="1">AVERAGE(OFFSET($DS$3,0,0,'Données projet'!$E$14+1,1))-AVERAGE(OFFSET($H$3,0,0,'Données projet'!$E$14+1,1))</f>
        <v>203.34232675618244</v>
      </c>
      <c r="DU32" s="59">
        <f t="shared" si="44"/>
        <v>176.81257896138806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7</v>
      </c>
      <c r="EJ32" s="12">
        <f>IF('Données projet'!$A$192&gt;35,EJ31+EI32-ER31,IF(A32&lt;'Données projet'!$A$192,$EG$205^A32,IF(A32='Données projet'!$A$192,'Données projet'!$B$192,EJ31+EI32-ER31)))</f>
        <v>90.999999999999986</v>
      </c>
      <c r="EK32" s="17">
        <f>EJ32*VLOOKUP('Données projet'!$B$15,Paramètres!$A$1:$I$89,3,0)*VLOOKUP('Données projet'!$B$15,Paramètres!$A$1:$I$89,5,0)</f>
        <v>88.015199999999979</v>
      </c>
      <c r="EL32" s="13">
        <f t="shared" si="45"/>
        <v>24.085919530575829</v>
      </c>
      <c r="EM32" s="20">
        <f t="shared" si="19"/>
        <v>195.24278318241952</v>
      </c>
      <c r="EN32" s="59">
        <f t="shared" si="20"/>
        <v>487.35389429353063</v>
      </c>
      <c r="EO32" s="59">
        <f ca="1">AVERAGE(OFFSET($EN$3,0,0,'Données projet'!$E$15+1,1))-AVERAGE(OFFSET($H$3,0,0,'Données projet'!$E$15+1,1))</f>
        <v>218.78765033569107</v>
      </c>
      <c r="EP32" s="59">
        <f t="shared" si="46"/>
        <v>246.54010105494137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12</v>
      </c>
      <c r="FE32" s="12">
        <f>IF('Données projet'!$A$218&gt;35,FE31+FD32-FM31,IF(A32&lt;'Données projet'!$A$218,$FB$205^A32,IF(A32='Données projet'!$A$218,'Données projet'!$B$218,FE31+FD32-FM31)))</f>
        <v>134.99999999999997</v>
      </c>
      <c r="FF32" s="17">
        <f>FE32*VLOOKUP('Données projet'!$B$16,Paramètres!$A$1:$I$89,3,0)*VLOOKUP('Données projet'!$B$16,Paramètres!$A$1:$I$89,5,0)</f>
        <v>88.451999999999984</v>
      </c>
      <c r="FG32" s="13">
        <f t="shared" si="47"/>
        <v>24.191508526943956</v>
      </c>
      <c r="FH32" s="20">
        <f t="shared" si="22"/>
        <v>196.18744401776067</v>
      </c>
      <c r="FI32" s="59">
        <f t="shared" si="23"/>
        <v>488.29855512887184</v>
      </c>
      <c r="FJ32" s="59">
        <f ca="1">AVERAGE(OFFSET($FI$3,0,0,'Données projet'!$E$16+1,1))-AVERAGE(OFFSET($H$3,0,0,'Données projet'!$E$16+1,1))</f>
        <v>170.80796812111521</v>
      </c>
      <c r="FK32" s="59">
        <f t="shared" si="48"/>
        <v>249.84047400410321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9">
        <f t="shared" si="0"/>
        <v>803.24901113964688</v>
      </c>
      <c r="S33" s="59">
        <f ca="1">AVERAGE(OFFSET($R$3,0,0,'Données projet'!$E$9+1,1))-AVERAGE(OFFSET($H$3,0,0,'Données projet'!$E$9+1,1))</f>
        <v>333.02360594713667</v>
      </c>
      <c r="T33" s="59">
        <f t="shared" si="34"/>
        <v>546.58234447298014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0.34100000000000003</v>
      </c>
      <c r="Y33" s="16">
        <f>IF(ISNA(VLOOKUP(A33,'Données projet'!$A$35:$I$55,7,0)),0%,VLOOKUP(A33,'Données projet'!$A$35:$I$55,7,0))</f>
        <v>0.375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23.149894758322461</v>
      </c>
      <c r="AB33" s="21">
        <f>EXP(-LN(2)/2)*AB32+(1-EXP(-LN(2)/2))/(LN(2)/2)*V33*Y33*VLOOKUP('Données projet'!$B$9,Paramètres!$A$1:$I$89,3,0)*0.475*44/12</f>
        <v>15.837484970297352</v>
      </c>
      <c r="AC33" s="22">
        <f t="shared" si="3"/>
        <v>38.987379728619814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73</v>
      </c>
      <c r="AG33" s="12">
        <f>VLOOKUP(A33,'Données projet'!$A$61:$I$81,9,0)</f>
        <v>6.6</v>
      </c>
      <c r="AH33" s="12">
        <f t="array" ref="AH33">INDEX(AG:AG,MIN(IF(ISNUMBER(AG33:AG229),ROW(AG33:AG229),"")))</f>
        <v>6.6</v>
      </c>
      <c r="AI33" s="13">
        <f>IF('Données projet'!$A$62&gt;35,AI32+AH33-AQ32,IF(A33&lt;'Données projet'!$A$62,$AF$205^A33,IF(A33='Données projet'!$A$62,'Données projet'!$B$62,AI32+AH33-AQ32)))</f>
        <v>73</v>
      </c>
      <c r="AJ33" s="13">
        <f>AI33*VLOOKUP('Données projet'!$B$10,Paramètres!$A$1:$I$89,3,0)*VLOOKUP('Données projet'!$B$10,Paramètres!$A$1:$I$89,5,0)</f>
        <v>63.772800000000004</v>
      </c>
      <c r="AK33" s="13">
        <f t="shared" si="35"/>
        <v>18.118739450759566</v>
      </c>
      <c r="AL33" s="20">
        <f t="shared" si="4"/>
        <v>142.62776454340624</v>
      </c>
      <c r="AM33" s="59">
        <f t="shared" si="5"/>
        <v>435.96109787673959</v>
      </c>
      <c r="AN33" s="59">
        <f ca="1">AVERAGE(OFFSET($AM$3,0,0,'Données projet'!$E$10+1,1))-AVERAGE(OFFSET($H$3,0,0,'Données projet'!$E$10+1,1))</f>
        <v>243.26825841283591</v>
      </c>
      <c r="AO33" s="59">
        <f t="shared" si="36"/>
        <v>179.2944312100729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12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73</v>
      </c>
      <c r="BB33" s="12">
        <f>VLOOKUP(A33,'Données projet'!$A$87:$I$107,9,0)</f>
        <v>6.6</v>
      </c>
      <c r="BC33" s="12">
        <f t="array" ref="BC33">INDEX(BB:BB,MIN(IF(ISNUMBER(BB33:BB229),ROW(BB33:BB229),"")))</f>
        <v>6.6</v>
      </c>
      <c r="BD33" s="12">
        <f>IF('Données projet'!$A$88&gt;35,BD32+BC33-BL32,IF(A33&lt;'Données projet'!$A$88,$BA$205^A33,IF(A33='Données projet'!$A$88,'Données projet'!$B$88,BD32+BC33-BL32)))</f>
        <v>73</v>
      </c>
      <c r="BE33" s="13">
        <f>BD33*VLOOKUP('Données projet'!$B$11,Paramètres!$A$1:$I$89,3,0)*VLOOKUP('Données projet'!$B$11,Paramètres!$A$1:$I$89,5,0)</f>
        <v>53.523599999999995</v>
      </c>
      <c r="BF33" s="13">
        <f t="shared" si="37"/>
        <v>15.520106834494479</v>
      </c>
      <c r="BG33" s="20">
        <f t="shared" si="7"/>
        <v>120.25112273674453</v>
      </c>
      <c r="BH33" s="59">
        <f t="shared" si="8"/>
        <v>413.58445607007786</v>
      </c>
      <c r="BI33" s="59">
        <f ca="1">AVERAGE(OFFSET($BH$3,0,0,'Données projet'!$E$11+1,1))-AVERAGE(OFFSET($H$3,0,0,'Données projet'!$E$11+1,1))</f>
        <v>146.45728988963538</v>
      </c>
      <c r="BJ33" s="59">
        <f t="shared" si="38"/>
        <v>156.91778940341118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12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147</v>
      </c>
      <c r="BW33" s="12">
        <f>VLOOKUP(A33,'Données projet'!$A$113:$I$133,9,0)</f>
        <v>12</v>
      </c>
      <c r="BX33" s="12">
        <f t="array" ref="BX33">INDEX(BW:BW,MIN(IF(ISNUMBER(BW33:BW229),ROW(BW33:BW229),"")))</f>
        <v>12</v>
      </c>
      <c r="BY33" s="12">
        <f>IF('Données projet'!$A$114&gt;35,BY32+BX33-CG32,IF(A33&lt;'Données projet'!$A$114,$BV$205^A33,IF(A33='Données projet'!$A$114,'Données projet'!$B$114,BY32+BX33-CG32)))</f>
        <v>146.99999999999997</v>
      </c>
      <c r="BZ33" s="13">
        <f>BY33*VLOOKUP('Données projet'!$B$12,Paramètres!$A$1:$I$89,3,0)*VLOOKUP('Données projet'!$B$12,Paramètres!$A$1:$I$89,5,0)</f>
        <v>116.95319999999998</v>
      </c>
      <c r="CA33" s="13">
        <f t="shared" si="39"/>
        <v>30.963323095281662</v>
      </c>
      <c r="CB33" s="20">
        <f t="shared" si="10"/>
        <v>257.62127772428215</v>
      </c>
      <c r="CC33" s="59">
        <f t="shared" si="11"/>
        <v>550.95461105761547</v>
      </c>
      <c r="CD33" s="59">
        <f ca="1">AVERAGE(OFFSET($CC$3,0,0,'Données projet'!$E$12+1,1))-AVERAGE(OFFSET($H$3,0,0,'Données projet'!$E$12+1,1))</f>
        <v>238.71022302719206</v>
      </c>
      <c r="CE33" s="59">
        <f t="shared" si="40"/>
        <v>294.28794439094878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147</v>
      </c>
      <c r="CR33" s="12">
        <f>VLOOKUP(A33,'Données projet'!$A$139:$I$159,9,0)</f>
        <v>12</v>
      </c>
      <c r="CS33" s="12">
        <f t="array" ref="CS33">INDEX(CR:CR,MIN(IF(ISNUMBER(CR33:CR229),ROW(CR33:CR229),"")))</f>
        <v>12</v>
      </c>
      <c r="CT33" s="12">
        <f>IF('Données projet'!$A$140&gt;35,CT32+CS33-DB32,IF(A33&lt;'Données projet'!$A$140,$CQ$205^A33,IF(A33='Données projet'!$A$140,'Données projet'!$B$140,CT32+CS33-DB32)))</f>
        <v>146.99999999999997</v>
      </c>
      <c r="CU33" s="17">
        <f>CT33*VLOOKUP('Données projet'!$B$13,Paramètres!$A$1:$I$89,3,0)*VLOOKUP('Données projet'!$B$13,Paramètres!$A$1:$I$89,5,0)</f>
        <v>116.95319999999998</v>
      </c>
      <c r="CV33" s="13">
        <f t="shared" si="41"/>
        <v>30.963323095281662</v>
      </c>
      <c r="CW33" s="20">
        <f t="shared" si="13"/>
        <v>257.62127772428215</v>
      </c>
      <c r="CX33" s="59">
        <f t="shared" si="14"/>
        <v>550.95461105761547</v>
      </c>
      <c r="CY33" s="59">
        <f ca="1">AVERAGE(OFFSET($CX$3,0,0,'Données projet'!$E$13+1,1))-AVERAGE(OFFSET($H$3,0,0,'Données projet'!$E$13+1,1))</f>
        <v>238.71022302719206</v>
      </c>
      <c r="CZ33" s="59">
        <f t="shared" si="42"/>
        <v>294.28794439094878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73</v>
      </c>
      <c r="DM33" s="12">
        <f>VLOOKUP(A33,'Données projet'!$A$165:$I$185,9,0)</f>
        <v>6.6</v>
      </c>
      <c r="DN33" s="12">
        <f t="array" ref="DN33">INDEX(DM:DM,MIN(IF(ISNUMBER(DM33:DM229),ROW(DM33:DM229),"")))</f>
        <v>6.6</v>
      </c>
      <c r="DO33" s="12">
        <f>IF('Données projet'!$A$166&gt;35,DO32+DN33-DW32,IF(A33&lt;'Données projet'!$A$166,$DL$205^A33,IF(A33='Données projet'!$A$166,'Données projet'!$B$166,DO32+DN33-DW32)))</f>
        <v>73</v>
      </c>
      <c r="DP33" s="17">
        <f>DO33*VLOOKUP('Données projet'!$B$14,Paramètres!$A$1:$I$89,3,0)*VLOOKUP('Données projet'!$B$14,Paramètres!$A$1:$I$89,5,0)</f>
        <v>62.634000000000015</v>
      </c>
      <c r="DQ33" s="13">
        <f t="shared" si="43"/>
        <v>17.832552513715669</v>
      </c>
      <c r="DR33" s="20">
        <f t="shared" si="16"/>
        <v>140.14591229472146</v>
      </c>
      <c r="DS33" s="59">
        <f t="shared" si="17"/>
        <v>433.47924562805474</v>
      </c>
      <c r="DT33" s="59">
        <f ca="1">AVERAGE(OFFSET($DS$3,0,0,'Données projet'!$E$14+1,1))-AVERAGE(OFFSET($H$3,0,0,'Données projet'!$E$14+1,1))</f>
        <v>203.34232675618244</v>
      </c>
      <c r="DU33" s="59">
        <f t="shared" si="44"/>
        <v>176.81257896138806</v>
      </c>
      <c r="DV33" s="15">
        <f>IF(ISNA(VLOOKUP(A33,'Données projet'!$A$165:$I$185,3,0)),0,VLOOKUP(A33,'Données projet'!$A$165:$I$185,3,0))</f>
        <v>1</v>
      </c>
      <c r="DW33" s="15">
        <f>IF(ISNA(VLOOKUP(A33,'Données projet'!$A$165:$I$185,4,0)),0,VLOOKUP(A33,'Données projet'!$A$165:$I$185,4,0))</f>
        <v>12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98</v>
      </c>
      <c r="EH33" s="12">
        <f>VLOOKUP(A33,'Données projet'!$A$191:$I$211,9,0)</f>
        <v>7</v>
      </c>
      <c r="EI33" s="12">
        <f t="array" ref="EI33">INDEX(EH:EH,MIN(IF(ISNUMBER(EH33:EH229),ROW(EH33:EH229),"")))</f>
        <v>7</v>
      </c>
      <c r="EJ33" s="12">
        <f>IF('Données projet'!$A$192&gt;35,EJ32+EI33-ER32,IF(A33&lt;'Données projet'!$A$192,$EG$205^A33,IF(A33='Données projet'!$A$192,'Données projet'!$B$192,EJ32+EI33-ER32)))</f>
        <v>97.999999999999986</v>
      </c>
      <c r="EK33" s="17">
        <f>EJ33*VLOOKUP('Données projet'!$B$15,Paramètres!$A$1:$I$89,3,0)*VLOOKUP('Données projet'!$B$15,Paramètres!$A$1:$I$89,5,0)</f>
        <v>94.785599999999988</v>
      </c>
      <c r="EL33" s="13">
        <f t="shared" si="45"/>
        <v>25.715893428674526</v>
      </c>
      <c r="EM33" s="20">
        <f t="shared" si="19"/>
        <v>209.87343438827475</v>
      </c>
      <c r="EN33" s="59">
        <f t="shared" si="20"/>
        <v>503.20676772160806</v>
      </c>
      <c r="EO33" s="59">
        <f ca="1">AVERAGE(OFFSET($EN$3,0,0,'Données projet'!$E$15+1,1))-AVERAGE(OFFSET($H$3,0,0,'Données projet'!$E$15+1,1))</f>
        <v>218.78765033569107</v>
      </c>
      <c r="EP33" s="59">
        <f t="shared" si="46"/>
        <v>246.54010105494137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21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147</v>
      </c>
      <c r="FC33" s="12">
        <f>VLOOKUP(A33,'Données projet'!$A$217:$I$237,9,0)</f>
        <v>12</v>
      </c>
      <c r="FD33" s="12">
        <f t="array" ref="FD33">INDEX(FC:FC,MIN(IF(ISNUMBER(FC33:FC229),ROW(FC33:FC229),"")))</f>
        <v>12</v>
      </c>
      <c r="FE33" s="12">
        <f>IF('Données projet'!$A$218&gt;35,FE32+FD33-FM32,IF(A33&lt;'Données projet'!$A$218,$FB$205^A33,IF(A33='Données projet'!$A$218,'Données projet'!$B$218,FE32+FD33-FM32)))</f>
        <v>146.99999999999997</v>
      </c>
      <c r="FF33" s="17">
        <f>FE33*VLOOKUP('Données projet'!$B$16,Paramètres!$A$1:$I$89,3,0)*VLOOKUP('Données projet'!$B$16,Paramètres!$A$1:$I$89,5,0)</f>
        <v>96.314399999999978</v>
      </c>
      <c r="FG33" s="13">
        <f t="shared" si="47"/>
        <v>26.082044404269848</v>
      </c>
      <c r="FH33" s="20">
        <f t="shared" si="22"/>
        <v>213.17380733743661</v>
      </c>
      <c r="FI33" s="59">
        <f t="shared" si="23"/>
        <v>506.5071406707699</v>
      </c>
      <c r="FJ33" s="59">
        <f ca="1">AVERAGE(OFFSET($FI$3,0,0,'Données projet'!$E$16+1,1))-AVERAGE(OFFSET($H$3,0,0,'Données projet'!$E$16+1,1))</f>
        <v>170.80796812111521</v>
      </c>
      <c r="FK33" s="59">
        <f t="shared" si="48"/>
        <v>249.84047400410321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28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9">
        <f t="shared" si="0"/>
        <v>771.98274850644054</v>
      </c>
      <c r="S34" s="59">
        <f ca="1">AVERAGE(OFFSET($R$3,0,0,'Données projet'!$E$9+1,1))-AVERAGE(OFFSET($H$3,0,0,'Données projet'!$E$9+1,1))</f>
        <v>333.02360594713667</v>
      </c>
      <c r="T34" s="59">
        <f t="shared" si="34"/>
        <v>546.58234447298014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22.516859668756076</v>
      </c>
      <c r="AB34" s="21">
        <f>EXP(-LN(2)/2)*AB33+(1-EXP(-LN(2)/2))/(LN(2)/2)*V34*Y34*VLOOKUP('Données projet'!$B$9,Paramètres!$A$1:$I$89,3,0)*0.475*44/12</f>
        <v>11.198793019437286</v>
      </c>
      <c r="AC34" s="22">
        <f t="shared" si="3"/>
        <v>33.715652688193359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7.2</v>
      </c>
      <c r="AI34" s="13">
        <f>IF('Données projet'!$A$62&gt;35,AI33+AH34-AQ33,IF(A34&lt;'Données projet'!$A$62,$AF$205^A34,IF(A34='Données projet'!$A$62,'Données projet'!$B$62,AI33+AH34-AQ33)))</f>
        <v>68.2</v>
      </c>
      <c r="AJ34" s="13">
        <f>AI34*VLOOKUP('Données projet'!$B$10,Paramètres!$A$1:$I$89,3,0)*VLOOKUP('Données projet'!$B$10,Paramètres!$A$1:$I$89,5,0)</f>
        <v>59.579520000000016</v>
      </c>
      <c r="AK34" s="13">
        <f t="shared" si="35"/>
        <v>17.061915002029245</v>
      </c>
      <c r="AL34" s="20">
        <f t="shared" si="4"/>
        <v>133.48383262853429</v>
      </c>
      <c r="AM34" s="59">
        <f t="shared" si="5"/>
        <v>426.8171659618676</v>
      </c>
      <c r="AN34" s="59">
        <f ca="1">AVERAGE(OFFSET($AM$3,0,0,'Données projet'!$E$10+1,1))-AVERAGE(OFFSET($H$3,0,0,'Données projet'!$E$10+1,1))</f>
        <v>243.26825841283591</v>
      </c>
      <c r="AO34" s="59">
        <f t="shared" si="36"/>
        <v>179.2944312100729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7.2</v>
      </c>
      <c r="BD34" s="12">
        <f>IF('Données projet'!$A$88&gt;35,BD33+BC34-BL33,IF(A34&lt;'Données projet'!$A$88,$BA$205^A34,IF(A34='Données projet'!$A$88,'Données projet'!$B$88,BD33+BC34-BL33)))</f>
        <v>68.2</v>
      </c>
      <c r="BE34" s="13">
        <f>BD34*VLOOKUP('Données projet'!$B$11,Paramètres!$A$1:$I$89,3,0)*VLOOKUP('Données projet'!$B$11,Paramètres!$A$1:$I$89,5,0)</f>
        <v>50.004240000000003</v>
      </c>
      <c r="BF34" s="13">
        <f t="shared" si="37"/>
        <v>14.614854656539427</v>
      </c>
      <c r="BG34" s="20">
        <f t="shared" si="7"/>
        <v>112.54492319347283</v>
      </c>
      <c r="BH34" s="59">
        <f t="shared" si="8"/>
        <v>405.87825652680613</v>
      </c>
      <c r="BI34" s="59">
        <f ca="1">AVERAGE(OFFSET($BH$3,0,0,'Données projet'!$E$11+1,1))-AVERAGE(OFFSET($H$3,0,0,'Données projet'!$E$11+1,1))</f>
        <v>146.45728988963538</v>
      </c>
      <c r="BJ34" s="59">
        <f t="shared" si="38"/>
        <v>156.91778940341118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129.79999999999998</v>
      </c>
      <c r="BZ34" s="13">
        <f>BY34*VLOOKUP('Données projet'!$B$12,Paramètres!$A$1:$I$89,3,0)*VLOOKUP('Données projet'!$B$12,Paramètres!$A$1:$I$89,5,0)</f>
        <v>103.26888</v>
      </c>
      <c r="CA34" s="13">
        <f t="shared" si="39"/>
        <v>27.739299256755746</v>
      </c>
      <c r="CB34" s="20">
        <f t="shared" si="10"/>
        <v>228.17257887218292</v>
      </c>
      <c r="CC34" s="59">
        <f t="shared" si="11"/>
        <v>521.50591220551621</v>
      </c>
      <c r="CD34" s="59">
        <f ca="1">AVERAGE(OFFSET($CC$3,0,0,'Données projet'!$E$12+1,1))-AVERAGE(OFFSET($H$3,0,0,'Données projet'!$E$12+1,1))</f>
        <v>238.71022302719206</v>
      </c>
      <c r="CE34" s="59">
        <f t="shared" si="40"/>
        <v>294.28794439094878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10.8</v>
      </c>
      <c r="CT34" s="12">
        <f>IF('Données projet'!$A$140&gt;35,CT33+CS34-DB33,IF(A34&lt;'Données projet'!$A$140,$CQ$205^A34,IF(A34='Données projet'!$A$140,'Données projet'!$B$140,CT33+CS34-DB33)))</f>
        <v>129.79999999999998</v>
      </c>
      <c r="CU34" s="17">
        <f>CT34*VLOOKUP('Données projet'!$B$13,Paramètres!$A$1:$I$89,3,0)*VLOOKUP('Données projet'!$B$13,Paramètres!$A$1:$I$89,5,0)</f>
        <v>103.26888</v>
      </c>
      <c r="CV34" s="13">
        <f t="shared" si="41"/>
        <v>27.739299256755746</v>
      </c>
      <c r="CW34" s="20">
        <f t="shared" si="13"/>
        <v>228.17257887218292</v>
      </c>
      <c r="CX34" s="59">
        <f t="shared" si="14"/>
        <v>521.50591220551621</v>
      </c>
      <c r="CY34" s="59">
        <f ca="1">AVERAGE(OFFSET($CX$3,0,0,'Données projet'!$E$13+1,1))-AVERAGE(OFFSET($H$3,0,0,'Données projet'!$E$13+1,1))</f>
        <v>238.71022302719206</v>
      </c>
      <c r="CZ34" s="59">
        <f t="shared" si="42"/>
        <v>294.28794439094878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7.2</v>
      </c>
      <c r="DO34" s="12">
        <f>IF('Données projet'!$A$166&gt;35,DO33+DN34-DW33,IF(A34&lt;'Données projet'!$A$166,$DL$205^A34,IF(A34='Données projet'!$A$166,'Données projet'!$B$166,DO33+DN34-DW33)))</f>
        <v>68.2</v>
      </c>
      <c r="DP34" s="17">
        <f>DO34*VLOOKUP('Données projet'!$B$14,Paramètres!$A$1:$I$89,3,0)*VLOOKUP('Données projet'!$B$14,Paramètres!$A$1:$I$89,5,0)</f>
        <v>58.515600000000013</v>
      </c>
      <c r="DQ34" s="13">
        <f t="shared" si="43"/>
        <v>16.792420691577682</v>
      </c>
      <c r="DR34" s="20">
        <f t="shared" si="16"/>
        <v>131.16146937116449</v>
      </c>
      <c r="DS34" s="59">
        <f t="shared" si="17"/>
        <v>424.49480270449783</v>
      </c>
      <c r="DT34" s="59">
        <f ca="1">AVERAGE(OFFSET($DS$3,0,0,'Données projet'!$E$14+1,1))-AVERAGE(OFFSET($H$3,0,0,'Données projet'!$E$14+1,1))</f>
        <v>203.34232675618244</v>
      </c>
      <c r="DU34" s="59">
        <f t="shared" si="44"/>
        <v>176.81257896138806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7.8</v>
      </c>
      <c r="EJ34" s="12">
        <f>IF('Données projet'!$A$192&gt;35,EJ33+EI34-ER33,IF(A34&lt;'Données projet'!$A$192,$EG$205^A34,IF(A34='Données projet'!$A$192,'Données projet'!$B$192,EJ33+EI34-ER33)))</f>
        <v>84.799999999999983</v>
      </c>
      <c r="EK34" s="17">
        <f>EJ34*VLOOKUP('Données projet'!$B$15,Paramètres!$A$1:$I$89,3,0)*VLOOKUP('Données projet'!$B$15,Paramètres!$A$1:$I$89,5,0)</f>
        <v>82.018559999999979</v>
      </c>
      <c r="EL34" s="13">
        <f t="shared" si="45"/>
        <v>22.630014481487464</v>
      </c>
      <c r="EM34" s="20">
        <f t="shared" si="19"/>
        <v>182.26293388859062</v>
      </c>
      <c r="EN34" s="59">
        <f t="shared" si="20"/>
        <v>475.59626722192394</v>
      </c>
      <c r="EO34" s="59">
        <f ca="1">AVERAGE(OFFSET($EN$3,0,0,'Données projet'!$E$15+1,1))-AVERAGE(OFFSET($H$3,0,0,'Données projet'!$E$15+1,1))</f>
        <v>218.78765033569107</v>
      </c>
      <c r="EP34" s="59">
        <f t="shared" si="46"/>
        <v>246.54010105494137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10.8</v>
      </c>
      <c r="FE34" s="12">
        <f>IF('Données projet'!$A$218&gt;35,FE33+FD34-FM33,IF(A34&lt;'Données projet'!$A$218,$FB$205^A34,IF(A34='Données projet'!$A$218,'Données projet'!$B$218,FE33+FD34-FM33)))</f>
        <v>129.79999999999998</v>
      </c>
      <c r="FF34" s="17">
        <f>FE34*VLOOKUP('Données projet'!$B$16,Paramètres!$A$1:$I$89,3,0)*VLOOKUP('Données projet'!$B$16,Paramètres!$A$1:$I$89,5,0)</f>
        <v>85.044959999999989</v>
      </c>
      <c r="FG34" s="13">
        <f t="shared" si="47"/>
        <v>23.366278636555116</v>
      </c>
      <c r="FH34" s="20">
        <f t="shared" si="22"/>
        <v>188.81624062533345</v>
      </c>
      <c r="FI34" s="59">
        <f t="shared" si="23"/>
        <v>482.14957395866679</v>
      </c>
      <c r="FJ34" s="59">
        <f ca="1">AVERAGE(OFFSET($FI$3,0,0,'Données projet'!$E$16+1,1))-AVERAGE(OFFSET($H$3,0,0,'Données projet'!$E$16+1,1))</f>
        <v>170.80796812111521</v>
      </c>
      <c r="FK34" s="59">
        <f t="shared" si="48"/>
        <v>249.84047400410321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9">
        <f t="shared" si="0"/>
        <v>804.66922146044772</v>
      </c>
      <c r="S35" s="59">
        <f ca="1">AVERAGE(OFFSET($R$3,0,0,'Données projet'!$E$9+1,1))-AVERAGE(OFFSET($H$3,0,0,'Données projet'!$E$9+1,1))</f>
        <v>333.02360594713667</v>
      </c>
      <c r="T35" s="59">
        <f t="shared" si="34"/>
        <v>546.58234447298014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21.901134957003755</v>
      </c>
      <c r="AB35" s="21">
        <f>EXP(-LN(2)/2)*AB34+(1-EXP(-LN(2)/2))/(LN(2)/2)*V35*Y35*VLOOKUP('Données projet'!$B$9,Paramètres!$A$1:$I$89,3,0)*0.475*44/12</f>
        <v>7.9187424851486776</v>
      </c>
      <c r="AC35" s="22">
        <f t="shared" si="3"/>
        <v>29.819877442152432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7.2</v>
      </c>
      <c r="AI35" s="13">
        <f>IF('Données projet'!$A$62&gt;35,AI34+AH35-AQ34,IF(A35&lt;'Données projet'!$A$62,$AF$205^A35,IF(A35='Données projet'!$A$62,'Données projet'!$B$62,AI34+AH35-AQ34)))</f>
        <v>75.400000000000006</v>
      </c>
      <c r="AJ35" s="13">
        <f>AI35*VLOOKUP('Données projet'!$B$10,Paramètres!$A$1:$I$89,3,0)*VLOOKUP('Données projet'!$B$10,Paramètres!$A$1:$I$89,5,0)</f>
        <v>65.869440000000012</v>
      </c>
      <c r="AK35" s="13">
        <f t="shared" si="35"/>
        <v>18.644091336301802</v>
      </c>
      <c r="AL35" s="20">
        <f t="shared" si="4"/>
        <v>147.19440041072565</v>
      </c>
      <c r="AM35" s="59">
        <f t="shared" si="5"/>
        <v>440.52773374405899</v>
      </c>
      <c r="AN35" s="59">
        <f ca="1">AVERAGE(OFFSET($AM$3,0,0,'Données projet'!$E$10+1,1))-AVERAGE(OFFSET($H$3,0,0,'Données projet'!$E$10+1,1))</f>
        <v>243.26825841283591</v>
      </c>
      <c r="AO35" s="59">
        <f t="shared" si="36"/>
        <v>179.2944312100729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7.2</v>
      </c>
      <c r="BD35" s="12">
        <f>IF('Données projet'!$A$88&gt;35,BD34+BC35-BL34,IF(A35&lt;'Données projet'!$A$88,$BA$205^A35,IF(A35='Données projet'!$A$88,'Données projet'!$B$88,BD34+BC35-BL34)))</f>
        <v>75.400000000000006</v>
      </c>
      <c r="BE35" s="13">
        <f>BD35*VLOOKUP('Données projet'!$B$11,Paramètres!$A$1:$I$89,3,0)*VLOOKUP('Données projet'!$B$11,Paramètres!$A$1:$I$89,5,0)</f>
        <v>55.283280000000005</v>
      </c>
      <c r="BF35" s="13">
        <f t="shared" si="37"/>
        <v>15.970111505706679</v>
      </c>
      <c r="BG35" s="20">
        <f t="shared" si="7"/>
        <v>124.09965687243914</v>
      </c>
      <c r="BH35" s="59">
        <f t="shared" si="8"/>
        <v>417.43299020577246</v>
      </c>
      <c r="BI35" s="59">
        <f ca="1">AVERAGE(OFFSET($BH$3,0,0,'Données projet'!$E$11+1,1))-AVERAGE(OFFSET($H$3,0,0,'Données projet'!$E$11+1,1))</f>
        <v>146.45728988963538</v>
      </c>
      <c r="BJ35" s="59">
        <f t="shared" si="38"/>
        <v>156.91778940341118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140.6</v>
      </c>
      <c r="BZ35" s="13">
        <f>BY35*VLOOKUP('Données projet'!$B$12,Paramètres!$A$1:$I$89,3,0)*VLOOKUP('Données projet'!$B$12,Paramètres!$A$1:$I$89,5,0)</f>
        <v>111.86136</v>
      </c>
      <c r="CA35" s="13">
        <f t="shared" si="39"/>
        <v>29.769106304683568</v>
      </c>
      <c r="CB35" s="20">
        <f t="shared" si="10"/>
        <v>246.67306214732389</v>
      </c>
      <c r="CC35" s="59">
        <f t="shared" si="11"/>
        <v>540.00639548065715</v>
      </c>
      <c r="CD35" s="59">
        <f ca="1">AVERAGE(OFFSET($CC$3,0,0,'Données projet'!$E$12+1,1))-AVERAGE(OFFSET($H$3,0,0,'Données projet'!$E$12+1,1))</f>
        <v>238.71022302719206</v>
      </c>
      <c r="CE35" s="59">
        <f t="shared" si="40"/>
        <v>294.28794439094878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10.8</v>
      </c>
      <c r="CT35" s="12">
        <f>IF('Données projet'!$A$140&gt;35,CT34+CS35-DB34,IF(A35&lt;'Données projet'!$A$140,$CQ$205^A35,IF(A35='Données projet'!$A$140,'Données projet'!$B$140,CT34+CS35-DB34)))</f>
        <v>140.6</v>
      </c>
      <c r="CU35" s="17">
        <f>CT35*VLOOKUP('Données projet'!$B$13,Paramètres!$A$1:$I$89,3,0)*VLOOKUP('Données projet'!$B$13,Paramètres!$A$1:$I$89,5,0)</f>
        <v>111.86136</v>
      </c>
      <c r="CV35" s="13">
        <f t="shared" si="41"/>
        <v>29.769106304683568</v>
      </c>
      <c r="CW35" s="20">
        <f t="shared" si="13"/>
        <v>246.67306214732389</v>
      </c>
      <c r="CX35" s="59">
        <f t="shared" si="14"/>
        <v>540.00639548065715</v>
      </c>
      <c r="CY35" s="59">
        <f ca="1">AVERAGE(OFFSET($CX$3,0,0,'Données projet'!$E$13+1,1))-AVERAGE(OFFSET($H$3,0,0,'Données projet'!$E$13+1,1))</f>
        <v>238.71022302719206</v>
      </c>
      <c r="CZ35" s="59">
        <f t="shared" si="42"/>
        <v>294.28794439094878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7.2</v>
      </c>
      <c r="DO35" s="12">
        <f>IF('Données projet'!$A$166&gt;35,DO34+DN35-DW34,IF(A35&lt;'Données projet'!$A$166,$DL$205^A35,IF(A35='Données projet'!$A$166,'Données projet'!$B$166,DO34+DN35-DW34)))</f>
        <v>75.400000000000006</v>
      </c>
      <c r="DP35" s="17">
        <f>DO35*VLOOKUP('Données projet'!$B$14,Paramètres!$A$1:$I$89,3,0)*VLOOKUP('Données projet'!$B$14,Paramètres!$A$1:$I$89,5,0)</f>
        <v>64.693200000000004</v>
      </c>
      <c r="DQ35" s="13">
        <f t="shared" si="43"/>
        <v>18.349606424257921</v>
      </c>
      <c r="DR35" s="20">
        <f t="shared" si="16"/>
        <v>144.63288785558254</v>
      </c>
      <c r="DS35" s="59">
        <f t="shared" si="17"/>
        <v>437.96622118891582</v>
      </c>
      <c r="DT35" s="59">
        <f ca="1">AVERAGE(OFFSET($DS$3,0,0,'Données projet'!$E$14+1,1))-AVERAGE(OFFSET($H$3,0,0,'Données projet'!$E$14+1,1))</f>
        <v>203.34232675618244</v>
      </c>
      <c r="DU35" s="59">
        <f t="shared" si="44"/>
        <v>176.81257896138806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7.8</v>
      </c>
      <c r="EJ35" s="12">
        <f>IF('Données projet'!$A$192&gt;35,EJ34+EI35-ER34,IF(A35&lt;'Données projet'!$A$192,$EG$205^A35,IF(A35='Données projet'!$A$192,'Données projet'!$B$192,EJ34+EI35-ER34)))</f>
        <v>92.59999999999998</v>
      </c>
      <c r="EK35" s="17">
        <f>EJ35*VLOOKUP('Données projet'!$B$15,Paramètres!$A$1:$I$89,3,0)*VLOOKUP('Données projet'!$B$15,Paramètres!$A$1:$I$89,5,0)</f>
        <v>89.562719999999985</v>
      </c>
      <c r="EL35" s="13">
        <f t="shared" si="45"/>
        <v>24.459733711744541</v>
      </c>
      <c r="EM35" s="20">
        <f t="shared" si="19"/>
        <v>198.58910688128836</v>
      </c>
      <c r="EN35" s="59">
        <f t="shared" si="20"/>
        <v>491.9224402146217</v>
      </c>
      <c r="EO35" s="59">
        <f ca="1">AVERAGE(OFFSET($EN$3,0,0,'Données projet'!$E$15+1,1))-AVERAGE(OFFSET($H$3,0,0,'Données projet'!$E$15+1,1))</f>
        <v>218.78765033569107</v>
      </c>
      <c r="EP35" s="59">
        <f t="shared" si="46"/>
        <v>246.54010105494137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10.8</v>
      </c>
      <c r="FE35" s="12">
        <f>IF('Données projet'!$A$218&gt;35,FE34+FD35-FM34,IF(A35&lt;'Données projet'!$A$218,$FB$205^A35,IF(A35='Données projet'!$A$218,'Données projet'!$B$218,FE34+FD35-FM34)))</f>
        <v>140.6</v>
      </c>
      <c r="FF35" s="17">
        <f>FE35*VLOOKUP('Données projet'!$B$16,Paramètres!$A$1:$I$89,3,0)*VLOOKUP('Données projet'!$B$16,Paramètres!$A$1:$I$89,5,0)</f>
        <v>92.121119999999991</v>
      </c>
      <c r="FG35" s="13">
        <f t="shared" si="47"/>
        <v>25.0760924505711</v>
      </c>
      <c r="FH35" s="20">
        <f t="shared" si="22"/>
        <v>204.11847835141131</v>
      </c>
      <c r="FI35" s="59">
        <f t="shared" si="23"/>
        <v>497.4518116847446</v>
      </c>
      <c r="FJ35" s="59">
        <f ca="1">AVERAGE(OFFSET($FI$3,0,0,'Données projet'!$E$16+1,1))-AVERAGE(OFFSET($H$3,0,0,'Données projet'!$E$16+1,1))</f>
        <v>170.80796812111521</v>
      </c>
      <c r="FK35" s="59">
        <f t="shared" si="48"/>
        <v>249.84047400410321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9">
        <f t="shared" si="0"/>
        <v>837.31157858767438</v>
      </c>
      <c r="S36" s="59">
        <f ca="1">AVERAGE(OFFSET($R$3,0,0,'Données projet'!$E$9+1,1))-AVERAGE(OFFSET($H$3,0,0,'Données projet'!$E$9+1,1))</f>
        <v>333.02360594713667</v>
      </c>
      <c r="T36" s="59">
        <f t="shared" si="34"/>
        <v>546.58234447298014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21.302247269873856</v>
      </c>
      <c r="AB36" s="21">
        <f>EXP(-LN(2)/2)*AB35+(1-EXP(-LN(2)/2))/(LN(2)/2)*V36*Y36*VLOOKUP('Données projet'!$B$9,Paramètres!$A$1:$I$89,3,0)*0.475*44/12</f>
        <v>5.5993965097186438</v>
      </c>
      <c r="AC36" s="22">
        <f t="shared" si="3"/>
        <v>26.901643779592501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7.2</v>
      </c>
      <c r="AI36" s="13">
        <f>IF('Données projet'!$A$62&gt;35,AI35+AH36-AQ35,IF(A36&lt;'Données projet'!$A$62,$AF$205^A36,IF(A36='Données projet'!$A$62,'Données projet'!$B$62,AI35+AH36-AQ35)))</f>
        <v>82.600000000000009</v>
      </c>
      <c r="AJ36" s="13">
        <f>AI36*VLOOKUP('Données projet'!$B$10,Paramètres!$A$1:$I$89,3,0)*VLOOKUP('Données projet'!$B$10,Paramètres!$A$1:$I$89,5,0)</f>
        <v>72.159360000000021</v>
      </c>
      <c r="AK36" s="13">
        <f t="shared" si="35"/>
        <v>20.208750890014226</v>
      </c>
      <c r="AL36" s="20">
        <f t="shared" si="4"/>
        <v>160.87445980010816</v>
      </c>
      <c r="AM36" s="59">
        <f t="shared" si="5"/>
        <v>454.20779313344144</v>
      </c>
      <c r="AN36" s="59">
        <f ca="1">AVERAGE(OFFSET($AM$3,0,0,'Données projet'!$E$10+1,1))-AVERAGE(OFFSET($H$3,0,0,'Données projet'!$E$10+1,1))</f>
        <v>243.26825841283591</v>
      </c>
      <c r="AO36" s="59">
        <f t="shared" si="36"/>
        <v>179.2944312100729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7.2</v>
      </c>
      <c r="BD36" s="12">
        <f>IF('Données projet'!$A$88&gt;35,BD35+BC36-BL35,IF(A36&lt;'Données projet'!$A$88,$BA$205^A36,IF(A36='Données projet'!$A$88,'Données projet'!$B$88,BD35+BC36-BL35)))</f>
        <v>82.600000000000009</v>
      </c>
      <c r="BE36" s="13">
        <f>BD36*VLOOKUP('Données projet'!$B$11,Paramètres!$A$1:$I$89,3,0)*VLOOKUP('Données projet'!$B$11,Paramètres!$A$1:$I$89,5,0)</f>
        <v>60.562320000000007</v>
      </c>
      <c r="BF36" s="13">
        <f t="shared" si="37"/>
        <v>17.310363872557264</v>
      </c>
      <c r="BG36" s="20">
        <f t="shared" si="7"/>
        <v>135.62825774470392</v>
      </c>
      <c r="BH36" s="59">
        <f t="shared" si="8"/>
        <v>428.96159107803726</v>
      </c>
      <c r="BI36" s="59">
        <f ca="1">AVERAGE(OFFSET($BH$3,0,0,'Données projet'!$E$11+1,1))-AVERAGE(OFFSET($H$3,0,0,'Données projet'!$E$11+1,1))</f>
        <v>146.45728988963538</v>
      </c>
      <c r="BJ36" s="59">
        <f t="shared" si="38"/>
        <v>156.91778940341118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151.4</v>
      </c>
      <c r="BZ36" s="13">
        <f>BY36*VLOOKUP('Données projet'!$B$12,Paramètres!$A$1:$I$89,3,0)*VLOOKUP('Données projet'!$B$12,Paramètres!$A$1:$I$89,5,0)</f>
        <v>120.45384</v>
      </c>
      <c r="CA36" s="13">
        <f t="shared" si="39"/>
        <v>31.780826754892406</v>
      </c>
      <c r="CB36" s="20">
        <f t="shared" si="10"/>
        <v>265.14204459810429</v>
      </c>
      <c r="CC36" s="59">
        <f t="shared" si="11"/>
        <v>558.47537793143761</v>
      </c>
      <c r="CD36" s="59">
        <f ca="1">AVERAGE(OFFSET($CC$3,0,0,'Données projet'!$E$12+1,1))-AVERAGE(OFFSET($H$3,0,0,'Données projet'!$E$12+1,1))</f>
        <v>238.71022302719206</v>
      </c>
      <c r="CE36" s="59">
        <f t="shared" si="40"/>
        <v>294.28794439094878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10.8</v>
      </c>
      <c r="CT36" s="12">
        <f>IF('Données projet'!$A$140&gt;35,CT35+CS36-DB35,IF(A36&lt;'Données projet'!$A$140,$CQ$205^A36,IF(A36='Données projet'!$A$140,'Données projet'!$B$140,CT35+CS36-DB35)))</f>
        <v>151.4</v>
      </c>
      <c r="CU36" s="17">
        <f>CT36*VLOOKUP('Données projet'!$B$13,Paramètres!$A$1:$I$89,3,0)*VLOOKUP('Données projet'!$B$13,Paramètres!$A$1:$I$89,5,0)</f>
        <v>120.45384</v>
      </c>
      <c r="CV36" s="13">
        <f t="shared" si="41"/>
        <v>31.780826754892406</v>
      </c>
      <c r="CW36" s="20">
        <f t="shared" si="13"/>
        <v>265.14204459810429</v>
      </c>
      <c r="CX36" s="59">
        <f t="shared" si="14"/>
        <v>558.47537793143761</v>
      </c>
      <c r="CY36" s="59">
        <f ca="1">AVERAGE(OFFSET($CX$3,0,0,'Données projet'!$E$13+1,1))-AVERAGE(OFFSET($H$3,0,0,'Données projet'!$E$13+1,1))</f>
        <v>238.71022302719206</v>
      </c>
      <c r="CZ36" s="59">
        <f t="shared" si="42"/>
        <v>294.28794439094878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7.2</v>
      </c>
      <c r="DO36" s="12">
        <f>IF('Données projet'!$A$166&gt;35,DO35+DN36-DW35,IF(A36&lt;'Données projet'!$A$166,$DL$205^A36,IF(A36='Données projet'!$A$166,'Données projet'!$B$166,DO35+DN36-DW35)))</f>
        <v>82.600000000000009</v>
      </c>
      <c r="DP36" s="17">
        <f>DO36*VLOOKUP('Données projet'!$B$14,Paramètres!$A$1:$I$89,3,0)*VLOOKUP('Données projet'!$B$14,Paramètres!$A$1:$I$89,5,0)</f>
        <v>70.870800000000017</v>
      </c>
      <c r="DQ36" s="13">
        <f t="shared" si="43"/>
        <v>19.88955205532633</v>
      </c>
      <c r="DR36" s="20">
        <f t="shared" si="16"/>
        <v>158.07427982969338</v>
      </c>
      <c r="DS36" s="59">
        <f t="shared" si="17"/>
        <v>451.40761316302667</v>
      </c>
      <c r="DT36" s="59">
        <f ca="1">AVERAGE(OFFSET($DS$3,0,0,'Données projet'!$E$14+1,1))-AVERAGE(OFFSET($H$3,0,0,'Données projet'!$E$14+1,1))</f>
        <v>203.34232675618244</v>
      </c>
      <c r="DU36" s="59">
        <f t="shared" si="44"/>
        <v>176.81257896138806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7.8</v>
      </c>
      <c r="EJ36" s="12">
        <f>IF('Données projet'!$A$192&gt;35,EJ35+EI36-ER35,IF(A36&lt;'Données projet'!$A$192,$EG$205^A36,IF(A36='Données projet'!$A$192,'Données projet'!$B$192,EJ35+EI36-ER35)))</f>
        <v>100.39999999999998</v>
      </c>
      <c r="EK36" s="17">
        <f>EJ36*VLOOKUP('Données projet'!$B$15,Paramètres!$A$1:$I$89,3,0)*VLOOKUP('Données projet'!$B$15,Paramètres!$A$1:$I$89,5,0)</f>
        <v>97.106879999999975</v>
      </c>
      <c r="EL36" s="13">
        <f t="shared" si="45"/>
        <v>26.271578364481066</v>
      </c>
      <c r="EM36" s="20">
        <f t="shared" si="19"/>
        <v>214.88414831813782</v>
      </c>
      <c r="EN36" s="59">
        <f t="shared" si="20"/>
        <v>508.21748165147113</v>
      </c>
      <c r="EO36" s="59">
        <f ca="1">AVERAGE(OFFSET($EN$3,0,0,'Données projet'!$E$15+1,1))-AVERAGE(OFFSET($H$3,0,0,'Données projet'!$E$15+1,1))</f>
        <v>218.78765033569107</v>
      </c>
      <c r="EP36" s="59">
        <f t="shared" si="46"/>
        <v>246.54010105494137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10.8</v>
      </c>
      <c r="FE36" s="12">
        <f>IF('Données projet'!$A$218&gt;35,FE35+FD36-FM35,IF(A36&lt;'Données projet'!$A$218,$FB$205^A36,IF(A36='Données projet'!$A$218,'Données projet'!$B$218,FE35+FD36-FM35)))</f>
        <v>151.4</v>
      </c>
      <c r="FF36" s="17">
        <f>FE36*VLOOKUP('Données projet'!$B$16,Paramètres!$A$1:$I$89,3,0)*VLOOKUP('Données projet'!$B$16,Paramètres!$A$1:$I$89,5,0)</f>
        <v>99.197280000000006</v>
      </c>
      <c r="FG36" s="13">
        <f t="shared" si="47"/>
        <v>26.770670966897111</v>
      </c>
      <c r="FH36" s="20">
        <f t="shared" si="22"/>
        <v>219.39418126734577</v>
      </c>
      <c r="FI36" s="59">
        <f t="shared" si="23"/>
        <v>512.72751460067911</v>
      </c>
      <c r="FJ36" s="59">
        <f ca="1">AVERAGE(OFFSET($FI$3,0,0,'Données projet'!$E$16+1,1))-AVERAGE(OFFSET($H$3,0,0,'Données projet'!$E$16+1,1))</f>
        <v>170.80796812111521</v>
      </c>
      <c r="FK36" s="59">
        <f t="shared" si="48"/>
        <v>249.84047400410321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9">
        <f t="shared" si="0"/>
        <v>869.91283508544802</v>
      </c>
      <c r="S37" s="59">
        <f ca="1">AVERAGE(OFFSET($R$3,0,0,'Données projet'!$E$9+1,1))-AVERAGE(OFFSET($H$3,0,0,'Données projet'!$E$9+1,1))</f>
        <v>333.02360594713667</v>
      </c>
      <c r="T37" s="59">
        <f t="shared" si="34"/>
        <v>546.58234447298014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20.719736198042657</v>
      </c>
      <c r="AB37" s="21">
        <f>EXP(-LN(2)/2)*AB36+(1-EXP(-LN(2)/2))/(LN(2)/2)*V37*Y37*VLOOKUP('Données projet'!$B$9,Paramètres!$A$1:$I$89,3,0)*0.475*44/12</f>
        <v>3.9593712425743393</v>
      </c>
      <c r="AC37" s="22">
        <f t="shared" si="3"/>
        <v>24.679107440616995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7.2</v>
      </c>
      <c r="AI37" s="13">
        <f>IF('Données projet'!$A$62&gt;35,AI36+AH37-AQ36,IF(A37&lt;'Données projet'!$A$62,$AF$205^A37,IF(A37='Données projet'!$A$62,'Données projet'!$B$62,AI36+AH37-AQ36)))</f>
        <v>89.800000000000011</v>
      </c>
      <c r="AJ37" s="13">
        <f>AI37*VLOOKUP('Données projet'!$B$10,Paramètres!$A$1:$I$89,3,0)*VLOOKUP('Données projet'!$B$10,Paramètres!$A$1:$I$89,5,0)</f>
        <v>78.449280000000016</v>
      </c>
      <c r="AK37" s="13">
        <f t="shared" si="35"/>
        <v>21.757594161482583</v>
      </c>
      <c r="AL37" s="20">
        <f t="shared" si="4"/>
        <v>174.52697249791552</v>
      </c>
      <c r="AM37" s="59">
        <f t="shared" si="5"/>
        <v>467.86030583124887</v>
      </c>
      <c r="AN37" s="59">
        <f ca="1">AVERAGE(OFFSET($AM$3,0,0,'Données projet'!$E$10+1,1))-AVERAGE(OFFSET($H$3,0,0,'Données projet'!$E$10+1,1))</f>
        <v>243.26825841283591</v>
      </c>
      <c r="AO37" s="59">
        <f t="shared" si="36"/>
        <v>179.2944312100729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7.2</v>
      </c>
      <c r="BD37" s="12">
        <f>IF('Données projet'!$A$88&gt;35,BD36+BC37-BL36,IF(A37&lt;'Données projet'!$A$88,$BA$205^A37,IF(A37='Données projet'!$A$88,'Données projet'!$B$88,BD36+BC37-BL36)))</f>
        <v>89.800000000000011</v>
      </c>
      <c r="BE37" s="13">
        <f>BD37*VLOOKUP('Données projet'!$B$11,Paramètres!$A$1:$I$89,3,0)*VLOOKUP('Données projet'!$B$11,Paramètres!$A$1:$I$89,5,0)</f>
        <v>65.841360000000009</v>
      </c>
      <c r="BF37" s="13">
        <f t="shared" si="37"/>
        <v>18.637068365902625</v>
      </c>
      <c r="BG37" s="20">
        <f t="shared" si="7"/>
        <v>147.1332627372804</v>
      </c>
      <c r="BH37" s="59">
        <f t="shared" si="8"/>
        <v>440.46659607061372</v>
      </c>
      <c r="BI37" s="59">
        <f ca="1">AVERAGE(OFFSET($BH$3,0,0,'Données projet'!$E$11+1,1))-AVERAGE(OFFSET($H$3,0,0,'Données projet'!$E$11+1,1))</f>
        <v>146.45728988963538</v>
      </c>
      <c r="BJ37" s="59">
        <f t="shared" si="38"/>
        <v>156.91778940341118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162.20000000000002</v>
      </c>
      <c r="BZ37" s="13">
        <f>BY37*VLOOKUP('Données projet'!$B$12,Paramètres!$A$1:$I$89,3,0)*VLOOKUP('Données projet'!$B$12,Paramètres!$A$1:$I$89,5,0)</f>
        <v>129.04632000000001</v>
      </c>
      <c r="CA37" s="13">
        <f t="shared" si="39"/>
        <v>33.775897540199807</v>
      </c>
      <c r="CB37" s="20">
        <f t="shared" si="10"/>
        <v>283.58202888251463</v>
      </c>
      <c r="CC37" s="59">
        <f t="shared" si="11"/>
        <v>576.91536221584795</v>
      </c>
      <c r="CD37" s="59">
        <f ca="1">AVERAGE(OFFSET($CC$3,0,0,'Données projet'!$E$12+1,1))-AVERAGE(OFFSET($H$3,0,0,'Données projet'!$E$12+1,1))</f>
        <v>238.71022302719206</v>
      </c>
      <c r="CE37" s="59">
        <f t="shared" si="40"/>
        <v>294.28794439094878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10.8</v>
      </c>
      <c r="CT37" s="12">
        <f>IF('Données projet'!$A$140&gt;35,CT36+CS37-DB36,IF(A37&lt;'Données projet'!$A$140,$CQ$205^A37,IF(A37='Données projet'!$A$140,'Données projet'!$B$140,CT36+CS37-DB36)))</f>
        <v>162.20000000000002</v>
      </c>
      <c r="CU37" s="17">
        <f>CT37*VLOOKUP('Données projet'!$B$13,Paramètres!$A$1:$I$89,3,0)*VLOOKUP('Données projet'!$B$13,Paramètres!$A$1:$I$89,5,0)</f>
        <v>129.04632000000001</v>
      </c>
      <c r="CV37" s="13">
        <f t="shared" si="41"/>
        <v>33.775897540199807</v>
      </c>
      <c r="CW37" s="20">
        <f t="shared" si="13"/>
        <v>283.58202888251463</v>
      </c>
      <c r="CX37" s="59">
        <f t="shared" si="14"/>
        <v>576.91536221584795</v>
      </c>
      <c r="CY37" s="59">
        <f ca="1">AVERAGE(OFFSET($CX$3,0,0,'Données projet'!$E$13+1,1))-AVERAGE(OFFSET($H$3,0,0,'Données projet'!$E$13+1,1))</f>
        <v>238.71022302719206</v>
      </c>
      <c r="CZ37" s="59">
        <f t="shared" si="42"/>
        <v>294.28794439094878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7.2</v>
      </c>
      <c r="DO37" s="12">
        <f>IF('Données projet'!$A$166&gt;35,DO36+DN37-DW36,IF(A37&lt;'Données projet'!$A$166,$DL$205^A37,IF(A37='Données projet'!$A$166,'Données projet'!$B$166,DO36+DN37-DW36)))</f>
        <v>89.800000000000011</v>
      </c>
      <c r="DP37" s="17">
        <f>DO37*VLOOKUP('Données projet'!$B$14,Paramètres!$A$1:$I$89,3,0)*VLOOKUP('Données projet'!$B$14,Paramètres!$A$1:$I$89,5,0)</f>
        <v>77.048400000000015</v>
      </c>
      <c r="DQ37" s="13">
        <f t="shared" si="43"/>
        <v>21.413931223592172</v>
      </c>
      <c r="DR37" s="20">
        <f t="shared" si="16"/>
        <v>171.48856021442305</v>
      </c>
      <c r="DS37" s="59">
        <f t="shared" si="17"/>
        <v>464.82189354775636</v>
      </c>
      <c r="DT37" s="59">
        <f ca="1">AVERAGE(OFFSET($DS$3,0,0,'Données projet'!$E$14+1,1))-AVERAGE(OFFSET($H$3,0,0,'Données projet'!$E$14+1,1))</f>
        <v>203.34232675618244</v>
      </c>
      <c r="DU37" s="59">
        <f t="shared" si="44"/>
        <v>176.81257896138806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7.8</v>
      </c>
      <c r="EJ37" s="12">
        <f>IF('Données projet'!$A$192&gt;35,EJ36+EI37-ER36,IF(A37&lt;'Données projet'!$A$192,$EG$205^A37,IF(A37='Données projet'!$A$192,'Données projet'!$B$192,EJ36+EI37-ER36)))</f>
        <v>108.19999999999997</v>
      </c>
      <c r="EK37" s="17">
        <f>EJ37*VLOOKUP('Données projet'!$B$15,Paramètres!$A$1:$I$89,3,0)*VLOOKUP('Données projet'!$B$15,Paramètres!$A$1:$I$89,5,0)</f>
        <v>104.65103999999998</v>
      </c>
      <c r="EL37" s="13">
        <f t="shared" si="45"/>
        <v>28.067094987902482</v>
      </c>
      <c r="EM37" s="20">
        <f t="shared" si="19"/>
        <v>231.15075177059677</v>
      </c>
      <c r="EN37" s="59">
        <f t="shared" si="20"/>
        <v>524.48408510393006</v>
      </c>
      <c r="EO37" s="59">
        <f ca="1">AVERAGE(OFFSET($EN$3,0,0,'Données projet'!$E$15+1,1))-AVERAGE(OFFSET($H$3,0,0,'Données projet'!$E$15+1,1))</f>
        <v>218.78765033569107</v>
      </c>
      <c r="EP37" s="59">
        <f t="shared" si="46"/>
        <v>246.54010105494137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10.8</v>
      </c>
      <c r="FE37" s="12">
        <f>IF('Données projet'!$A$218&gt;35,FE36+FD37-FM36,IF(A37&lt;'Données projet'!$A$218,$FB$205^A37,IF(A37='Données projet'!$A$218,'Données projet'!$B$218,FE36+FD37-FM36)))</f>
        <v>162.20000000000002</v>
      </c>
      <c r="FF37" s="17">
        <f>FE37*VLOOKUP('Données projet'!$B$16,Paramètres!$A$1:$I$89,3,0)*VLOOKUP('Données projet'!$B$16,Paramètres!$A$1:$I$89,5,0)</f>
        <v>106.27344000000002</v>
      </c>
      <c r="FG37" s="13">
        <f t="shared" si="47"/>
        <v>28.45122459003127</v>
      </c>
      <c r="FH37" s="20">
        <f t="shared" si="22"/>
        <v>234.64545749430451</v>
      </c>
      <c r="FI37" s="59">
        <f t="shared" si="23"/>
        <v>527.97879082763779</v>
      </c>
      <c r="FJ37" s="59">
        <f ca="1">AVERAGE(OFFSET($FI$3,0,0,'Données projet'!$E$16+1,1))-AVERAGE(OFFSET($H$3,0,0,'Données projet'!$E$16+1,1))</f>
        <v>170.80796812111521</v>
      </c>
      <c r="FK37" s="59">
        <f t="shared" si="48"/>
        <v>249.84047400410321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9">
        <f t="shared" si="0"/>
        <v>902.47563782202042</v>
      </c>
      <c r="S38" s="59">
        <f ca="1">AVERAGE(OFFSET($R$3,0,0,'Données projet'!$E$9+1,1))-AVERAGE(OFFSET($H$3,0,0,'Données projet'!$E$9+1,1))</f>
        <v>333.02360594713667</v>
      </c>
      <c r="T38" s="59">
        <f t="shared" si="34"/>
        <v>546.58234447298014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0.36965500000000007</v>
      </c>
      <c r="Y38" s="16">
        <f>IF(ISNA(VLOOKUP(A38,'Données projet'!$A$35:$I$55,7,0)),0%,VLOOKUP(A38,'Données projet'!$A$35:$I$55,7,0))</f>
        <v>0.33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38.992788805687738</v>
      </c>
      <c r="AB38" s="21">
        <f>EXP(-LN(2)/2)*AB37+(1-EXP(-LN(2)/2))/(LN(2)/2)*V38*Y38*VLOOKUP('Données projet'!$B$9,Paramètres!$A$1:$I$89,3,0)*0.475*44/12</f>
        <v>17.211237797664118</v>
      </c>
      <c r="AC38" s="22">
        <f t="shared" si="3"/>
        <v>56.204026603351856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97</v>
      </c>
      <c r="AG38" s="12">
        <f>VLOOKUP(A38,'Données projet'!$A$61:$I$81,9,0)</f>
        <v>7.2</v>
      </c>
      <c r="AH38" s="12">
        <f t="array" ref="AH38">INDEX(AG:AG,MIN(IF(ISNUMBER(AG38:AG234),ROW(AG38:AG234),"")))</f>
        <v>7.2</v>
      </c>
      <c r="AI38" s="13">
        <f>IF('Données projet'!$A$62&gt;35,AI37+AH38-AQ37,IF(A38&lt;'Données projet'!$A$62,$AF$205^A38,IF(A38='Données projet'!$A$62,'Données projet'!$B$62,AI37+AH38-AQ37)))</f>
        <v>97.000000000000014</v>
      </c>
      <c r="AJ38" s="13">
        <f>AI38*VLOOKUP('Données projet'!$B$10,Paramètres!$A$1:$I$89,3,0)*VLOOKUP('Données projet'!$B$10,Paramètres!$A$1:$I$89,5,0)</f>
        <v>84.739200000000025</v>
      </c>
      <c r="AK38" s="13">
        <f t="shared" si="35"/>
        <v>23.292033444816514</v>
      </c>
      <c r="AL38" s="20">
        <f t="shared" si="4"/>
        <v>188.15439824972214</v>
      </c>
      <c r="AM38" s="59">
        <f t="shared" si="5"/>
        <v>481.48773158305545</v>
      </c>
      <c r="AN38" s="59">
        <f ca="1">AVERAGE(OFFSET($AM$3,0,0,'Données projet'!$E$10+1,1))-AVERAGE(OFFSET($H$3,0,0,'Données projet'!$E$10+1,1))</f>
        <v>243.26825841283591</v>
      </c>
      <c r="AO38" s="59">
        <f t="shared" si="36"/>
        <v>179.2944312100729</v>
      </c>
      <c r="AP38" s="15">
        <f>IF(ISNA(VLOOKUP(A38,'Données projet'!$A$61:$I$81,3,0)),0,VLOOKUP(A38,'Données projet'!$A$61:$I$81,3,0))</f>
        <v>2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97</v>
      </c>
      <c r="BB38" s="12">
        <f>VLOOKUP(A38,'Données projet'!$A$87:$I$107,9,0)</f>
        <v>7.2</v>
      </c>
      <c r="BC38" s="12">
        <f t="array" ref="BC38">INDEX(BB:BB,MIN(IF(ISNUMBER(BB38:BB234),ROW(BB38:BB234),"")))</f>
        <v>7.2</v>
      </c>
      <c r="BD38" s="12">
        <f>IF('Données projet'!$A$88&gt;35,BD37+BC38-BL37,IF(A38&lt;'Données projet'!$A$88,$BA$205^A38,IF(A38='Données projet'!$A$88,'Données projet'!$B$88,BD37+BC38-BL37)))</f>
        <v>97.000000000000014</v>
      </c>
      <c r="BE38" s="13">
        <f>BD38*VLOOKUP('Données projet'!$B$11,Paramètres!$A$1:$I$89,3,0)*VLOOKUP('Données projet'!$B$11,Paramètres!$A$1:$I$89,5,0)</f>
        <v>71.120400000000004</v>
      </c>
      <c r="BF38" s="13">
        <f t="shared" si="37"/>
        <v>19.95143472527921</v>
      </c>
      <c r="BG38" s="20">
        <f t="shared" si="7"/>
        <v>158.61677881319463</v>
      </c>
      <c r="BH38" s="59">
        <f t="shared" si="8"/>
        <v>451.95011214652794</v>
      </c>
      <c r="BI38" s="59">
        <f ca="1">AVERAGE(OFFSET($BH$3,0,0,'Données projet'!$E$11+1,1))-AVERAGE(OFFSET($H$3,0,0,'Données projet'!$E$11+1,1))</f>
        <v>146.45728988963538</v>
      </c>
      <c r="BJ38" s="59">
        <f t="shared" si="38"/>
        <v>156.91778940341118</v>
      </c>
      <c r="BK38" s="15">
        <f>IF(ISNA(VLOOKUP(A38,'Données projet'!$A$87:$I$107,3,0)),0,VLOOKUP(A38,'Données projet'!$A$87:$I$107,3,0))</f>
        <v>2</v>
      </c>
      <c r="BL38" s="15">
        <f>IF(ISNA(VLOOKUP(A38,'Données projet'!$A$87:$I$107,4,0)),0,VLOOKUP(A38,'Données projet'!$A$87:$I$107,4,0))</f>
        <v>21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173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173.00000000000003</v>
      </c>
      <c r="BZ38" s="13">
        <f>BY38*VLOOKUP('Données projet'!$B$12,Paramètres!$A$1:$I$89,3,0)*VLOOKUP('Données projet'!$B$12,Paramètres!$A$1:$I$89,5,0)</f>
        <v>137.63880000000003</v>
      </c>
      <c r="CA38" s="13">
        <f t="shared" si="39"/>
        <v>35.755553413044268</v>
      </c>
      <c r="CB38" s="20">
        <f t="shared" si="10"/>
        <v>301.99516552771883</v>
      </c>
      <c r="CC38" s="59">
        <f t="shared" si="11"/>
        <v>595.32849886105214</v>
      </c>
      <c r="CD38" s="59">
        <f ca="1">AVERAGE(OFFSET($CC$3,0,0,'Données projet'!$E$12+1,1))-AVERAGE(OFFSET($H$3,0,0,'Données projet'!$E$12+1,1))</f>
        <v>238.71022302719206</v>
      </c>
      <c r="CE38" s="59">
        <f t="shared" si="40"/>
        <v>294.28794439094878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0.318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7.8311769311479198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7.8311769311479198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173</v>
      </c>
      <c r="CR38" s="12">
        <f>VLOOKUP(A38,'Données projet'!$A$139:$I$159,9,0)</f>
        <v>10.8</v>
      </c>
      <c r="CS38" s="12">
        <f t="array" ref="CS38">INDEX(CR:CR,MIN(IF(ISNUMBER(CR38:CR234),ROW(CR38:CR234),"")))</f>
        <v>10.8</v>
      </c>
      <c r="CT38" s="12">
        <f>IF('Données projet'!$A$140&gt;35,CT37+CS38-DB37,IF(A38&lt;'Données projet'!$A$140,$CQ$205^A38,IF(A38='Données projet'!$A$140,'Données projet'!$B$140,CT37+CS38-DB37)))</f>
        <v>173.00000000000003</v>
      </c>
      <c r="CU38" s="17">
        <f>CT38*VLOOKUP('Données projet'!$B$13,Paramètres!$A$1:$I$89,3,0)*VLOOKUP('Données projet'!$B$13,Paramètres!$A$1:$I$89,5,0)</f>
        <v>137.63880000000003</v>
      </c>
      <c r="CV38" s="13">
        <f t="shared" si="41"/>
        <v>35.755553413044268</v>
      </c>
      <c r="CW38" s="20">
        <f t="shared" si="13"/>
        <v>301.99516552771883</v>
      </c>
      <c r="CX38" s="59">
        <f t="shared" si="14"/>
        <v>595.32849886105214</v>
      </c>
      <c r="CY38" s="59">
        <f ca="1">AVERAGE(OFFSET($CX$3,0,0,'Données projet'!$E$13+1,1))-AVERAGE(OFFSET($H$3,0,0,'Données projet'!$E$13+1,1))</f>
        <v>238.71022302719206</v>
      </c>
      <c r="CZ38" s="59">
        <f t="shared" si="42"/>
        <v>294.28794439094878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0.318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7.8311769311479198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7.8311769311479198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97</v>
      </c>
      <c r="DM38" s="12">
        <f>VLOOKUP(A38,'Données projet'!$A$165:$I$185,9,0)</f>
        <v>7.2</v>
      </c>
      <c r="DN38" s="12">
        <f t="array" ref="DN38">INDEX(DM:DM,MIN(IF(ISNUMBER(DM38:DM234),ROW(DM38:DM234),"")))</f>
        <v>7.2</v>
      </c>
      <c r="DO38" s="12">
        <f>IF('Données projet'!$A$166&gt;35,DO37+DN38-DW37,IF(A38&lt;'Données projet'!$A$166,$DL$205^A38,IF(A38='Données projet'!$A$166,'Données projet'!$B$166,DO37+DN38-DW37)))</f>
        <v>97.000000000000014</v>
      </c>
      <c r="DP38" s="17">
        <f>DO38*VLOOKUP('Données projet'!$B$14,Paramètres!$A$1:$I$89,3,0)*VLOOKUP('Données projet'!$B$14,Paramètres!$A$1:$I$89,5,0)</f>
        <v>83.226000000000028</v>
      </c>
      <c r="DQ38" s="13">
        <f t="shared" si="43"/>
        <v>22.924133915866854</v>
      </c>
      <c r="DR38" s="20">
        <f t="shared" si="16"/>
        <v>184.87814990346817</v>
      </c>
      <c r="DS38" s="59">
        <f t="shared" si="17"/>
        <v>478.21148323680148</v>
      </c>
      <c r="DT38" s="59">
        <f ca="1">AVERAGE(OFFSET($DS$3,0,0,'Données projet'!$E$14+1,1))-AVERAGE(OFFSET($H$3,0,0,'Données projet'!$E$14+1,1))</f>
        <v>203.34232675618244</v>
      </c>
      <c r="DU38" s="59">
        <f t="shared" si="44"/>
        <v>176.81257896138806</v>
      </c>
      <c r="DV38" s="15">
        <f>IF(ISNA(VLOOKUP(A38,'Données projet'!$A$165:$I$185,3,0)),0,VLOOKUP(A38,'Données projet'!$A$165:$I$185,3,0))</f>
        <v>2</v>
      </c>
      <c r="DW38" s="15">
        <f>IF(ISNA(VLOOKUP(A38,'Données projet'!$A$165:$I$185,4,0)),0,VLOOKUP(A38,'Données projet'!$A$165:$I$185,4,0))</f>
        <v>21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116</v>
      </c>
      <c r="EH38" s="12">
        <f>VLOOKUP(A38,'Données projet'!$A$191:$I$211,9,0)</f>
        <v>7.8</v>
      </c>
      <c r="EI38" s="12">
        <f t="array" ref="EI38">INDEX(EH:EH,MIN(IF(ISNUMBER(EH38:EH234),ROW(EH38:EH234),"")))</f>
        <v>7.8</v>
      </c>
      <c r="EJ38" s="12">
        <f>IF('Données projet'!$A$192&gt;35,EJ37+EI38-ER37,IF(A38&lt;'Données projet'!$A$192,$EG$205^A38,IF(A38='Données projet'!$A$192,'Données projet'!$B$192,EJ37+EI38-ER37)))</f>
        <v>115.99999999999997</v>
      </c>
      <c r="EK38" s="17">
        <f>EJ38*VLOOKUP('Données projet'!$B$15,Paramètres!$A$1:$I$89,3,0)*VLOOKUP('Données projet'!$B$15,Paramètres!$A$1:$I$89,5,0)</f>
        <v>112.19519999999999</v>
      </c>
      <c r="EL38" s="13">
        <f t="shared" si="45"/>
        <v>29.847594514573263</v>
      </c>
      <c r="EM38" s="20">
        <f t="shared" si="19"/>
        <v>247.39120044621504</v>
      </c>
      <c r="EN38" s="59">
        <f t="shared" si="20"/>
        <v>540.72453377954832</v>
      </c>
      <c r="EO38" s="59">
        <f ca="1">AVERAGE(OFFSET($EN$3,0,0,'Données projet'!$E$15+1,1))-AVERAGE(OFFSET($H$3,0,0,'Données projet'!$E$15+1,1))</f>
        <v>218.78765033569107</v>
      </c>
      <c r="EP38" s="59">
        <f t="shared" si="46"/>
        <v>246.54010105494137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21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173</v>
      </c>
      <c r="FC38" s="12">
        <f>VLOOKUP(A38,'Données projet'!$A$217:$I$237,9,0)</f>
        <v>10.8</v>
      </c>
      <c r="FD38" s="12">
        <f t="array" ref="FD38">INDEX(FC:FC,MIN(IF(ISNUMBER(FC38:FC234),ROW(FC38:FC234),"")))</f>
        <v>10.8</v>
      </c>
      <c r="FE38" s="12">
        <f>IF('Données projet'!$A$218&gt;35,FE37+FD38-FM37,IF(A38&lt;'Données projet'!$A$218,$FB$205^A38,IF(A38='Données projet'!$A$218,'Données projet'!$B$218,FE37+FD38-FM37)))</f>
        <v>173.00000000000003</v>
      </c>
      <c r="FF38" s="17">
        <f>FE38*VLOOKUP('Données projet'!$B$16,Paramètres!$A$1:$I$89,3,0)*VLOOKUP('Données projet'!$B$16,Paramètres!$A$1:$I$89,5,0)</f>
        <v>113.34960000000002</v>
      </c>
      <c r="FG38" s="13">
        <f t="shared" si="47"/>
        <v>30.118793417247076</v>
      </c>
      <c r="FH38" s="20">
        <f t="shared" si="22"/>
        <v>249.87411853503872</v>
      </c>
      <c r="FI38" s="59">
        <f t="shared" si="23"/>
        <v>543.207451868372</v>
      </c>
      <c r="FJ38" s="59">
        <f ca="1">AVERAGE(OFFSET($FI$3,0,0,'Données projet'!$E$16+1,1))-AVERAGE(OFFSET($H$3,0,0,'Données projet'!$E$16+1,1))</f>
        <v>170.80796812111521</v>
      </c>
      <c r="FK38" s="59">
        <f t="shared" si="48"/>
        <v>249.84047400410321</v>
      </c>
      <c r="FL38" s="15">
        <f>IF(ISNA(VLOOKUP(A38,'Données projet'!$A$217:$I$237,3,0)),0,VLOOKUP(A38,'Données projet'!$A$217:$I$237,3,0))</f>
        <v>5</v>
      </c>
      <c r="FM38" s="15">
        <f>IF(ISNA(VLOOKUP(A38,'Données projet'!$A$217:$I$237,4,0)),0,VLOOKUP(A38,'Données projet'!$A$217:$I$237,4,0))</f>
        <v>28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9">
        <f t="shared" si="0"/>
        <v>851.25466482211777</v>
      </c>
      <c r="S39" s="59">
        <f ca="1">AVERAGE(OFFSET($R$3,0,0,'Données projet'!$E$9+1,1))-AVERAGE(OFFSET($H$3,0,0,'Données projet'!$E$9+1,1))</f>
        <v>333.02360594713667</v>
      </c>
      <c r="T39" s="59">
        <f t="shared" si="34"/>
        <v>546.58234447298014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37.92652894525456</v>
      </c>
      <c r="AB39" s="21">
        <f>EXP(-LN(2)/2)*AB38+(1-EXP(-LN(2)/2))/(LN(2)/2)*V39*Y39*VLOOKUP('Données projet'!$B$9,Paramètres!$A$1:$I$89,3,0)*0.475*44/12</f>
        <v>12.170182959342519</v>
      </c>
      <c r="AC39" s="22">
        <f t="shared" si="3"/>
        <v>50.096711904597079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7.6</v>
      </c>
      <c r="AI39" s="13">
        <f>IF('Données projet'!$A$62&gt;35,AI38+AH39-AQ38,IF(A39&lt;'Données projet'!$A$62,$AF$205^A39,IF(A39='Données projet'!$A$62,'Données projet'!$B$62,AI38+AH39-AQ38)))</f>
        <v>83.600000000000009</v>
      </c>
      <c r="AJ39" s="13">
        <f>AI39*VLOOKUP('Données projet'!$B$10,Paramètres!$A$1:$I$89,3,0)*VLOOKUP('Données projet'!$B$10,Paramètres!$A$1:$I$89,5,0)</f>
        <v>73.032960000000017</v>
      </c>
      <c r="AK39" s="13">
        <f t="shared" si="35"/>
        <v>20.42477906125653</v>
      </c>
      <c r="AL39" s="20">
        <f t="shared" si="4"/>
        <v>162.77222886502182</v>
      </c>
      <c r="AM39" s="59">
        <f t="shared" si="5"/>
        <v>456.10556219835513</v>
      </c>
      <c r="AN39" s="59">
        <f ca="1">AVERAGE(OFFSET($AM$3,0,0,'Données projet'!$E$10+1,1))-AVERAGE(OFFSET($H$3,0,0,'Données projet'!$E$10+1,1))</f>
        <v>243.26825841283591</v>
      </c>
      <c r="AO39" s="59">
        <f t="shared" si="36"/>
        <v>179.2944312100729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7.6</v>
      </c>
      <c r="BD39" s="12">
        <f>IF('Données projet'!$A$88&gt;35,BD38+BC39-BL38,IF(A39&lt;'Données projet'!$A$88,$BA$205^A39,IF(A39='Données projet'!$A$88,'Données projet'!$B$88,BD38+BC39-BL38)))</f>
        <v>83.600000000000009</v>
      </c>
      <c r="BE39" s="13">
        <f>BD39*VLOOKUP('Données projet'!$B$11,Paramètres!$A$1:$I$89,3,0)*VLOOKUP('Données projet'!$B$11,Paramètres!$A$1:$I$89,5,0)</f>
        <v>61.295520000000003</v>
      </c>
      <c r="BF39" s="13">
        <f t="shared" si="37"/>
        <v>17.495408770744159</v>
      </c>
      <c r="BG39" s="20">
        <f t="shared" si="7"/>
        <v>137.22753427571274</v>
      </c>
      <c r="BH39" s="59">
        <f t="shared" si="8"/>
        <v>430.56086760904606</v>
      </c>
      <c r="BI39" s="59">
        <f ca="1">AVERAGE(OFFSET($BH$3,0,0,'Données projet'!$E$11+1,1))-AVERAGE(OFFSET($H$3,0,0,'Données projet'!$E$11+1,1))</f>
        <v>146.45728988963538</v>
      </c>
      <c r="BJ39" s="59">
        <f t="shared" si="38"/>
        <v>156.91778940341118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9.4</v>
      </c>
      <c r="BY39" s="12">
        <f>IF('Données projet'!$A$114&gt;35,BY38+BX39-CG38,IF(A39&lt;'Données projet'!$A$114,$BV$205^A39,IF(A39='Données projet'!$A$114,'Données projet'!$B$114,BY38+BX39-CG38)))</f>
        <v>154.40000000000003</v>
      </c>
      <c r="BZ39" s="13">
        <f>BY39*VLOOKUP('Données projet'!$B$12,Paramètres!$A$1:$I$89,3,0)*VLOOKUP('Données projet'!$B$12,Paramètres!$A$1:$I$89,5,0)</f>
        <v>122.84064000000002</v>
      </c>
      <c r="CA39" s="13">
        <f t="shared" si="39"/>
        <v>32.336627088964654</v>
      </c>
      <c r="CB39" s="20">
        <f t="shared" si="10"/>
        <v>270.26707351328014</v>
      </c>
      <c r="CC39" s="59">
        <f t="shared" si="11"/>
        <v>563.6004068466134</v>
      </c>
      <c r="CD39" s="59">
        <f ca="1">AVERAGE(OFFSET($CC$3,0,0,'Données projet'!$E$12+1,1))-AVERAGE(OFFSET($H$3,0,0,'Données projet'!$E$12+1,1))</f>
        <v>238.71022302719206</v>
      </c>
      <c r="CE39" s="59">
        <f t="shared" si="40"/>
        <v>294.28794439094878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7.6776123280743924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7.6776123280743924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9.4</v>
      </c>
      <c r="CT39" s="12">
        <f>IF('Données projet'!$A$140&gt;35,CT38+CS39-DB38,IF(A39&lt;'Données projet'!$A$140,$CQ$205^A39,IF(A39='Données projet'!$A$140,'Données projet'!$B$140,CT38+CS39-DB38)))</f>
        <v>154.40000000000003</v>
      </c>
      <c r="CU39" s="17">
        <f>CT39*VLOOKUP('Données projet'!$B$13,Paramètres!$A$1:$I$89,3,0)*VLOOKUP('Données projet'!$B$13,Paramètres!$A$1:$I$89,5,0)</f>
        <v>122.84064000000002</v>
      </c>
      <c r="CV39" s="13">
        <f t="shared" si="41"/>
        <v>32.336627088964654</v>
      </c>
      <c r="CW39" s="20">
        <f t="shared" si="13"/>
        <v>270.26707351328014</v>
      </c>
      <c r="CX39" s="59">
        <f t="shared" si="14"/>
        <v>563.6004068466134</v>
      </c>
      <c r="CY39" s="59">
        <f ca="1">AVERAGE(OFFSET($CX$3,0,0,'Données projet'!$E$13+1,1))-AVERAGE(OFFSET($H$3,0,0,'Données projet'!$E$13+1,1))</f>
        <v>238.71022302719206</v>
      </c>
      <c r="CZ39" s="59">
        <f t="shared" si="42"/>
        <v>294.28794439094878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7.6776123280743924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7.6776123280743924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7.6</v>
      </c>
      <c r="DO39" s="12">
        <f>IF('Données projet'!$A$166&gt;35,DO38+DN39-DW38,IF(A39&lt;'Données projet'!$A$166,$DL$205^A39,IF(A39='Données projet'!$A$166,'Données projet'!$B$166,DO38+DN39-DW38)))</f>
        <v>83.600000000000009</v>
      </c>
      <c r="DP39" s="17">
        <f>DO39*VLOOKUP('Données projet'!$B$14,Paramètres!$A$1:$I$89,3,0)*VLOOKUP('Données projet'!$B$14,Paramètres!$A$1:$I$89,5,0)</f>
        <v>71.728800000000021</v>
      </c>
      <c r="DQ39" s="13">
        <f t="shared" si="43"/>
        <v>20.102168044346392</v>
      </c>
      <c r="DR39" s="20">
        <f t="shared" si="16"/>
        <v>159.93893601056996</v>
      </c>
      <c r="DS39" s="59">
        <f t="shared" si="17"/>
        <v>453.2722693439033</v>
      </c>
      <c r="DT39" s="59">
        <f ca="1">AVERAGE(OFFSET($DS$3,0,0,'Données projet'!$E$14+1,1))-AVERAGE(OFFSET($H$3,0,0,'Données projet'!$E$14+1,1))</f>
        <v>203.34232675618244</v>
      </c>
      <c r="DU39" s="59">
        <f t="shared" si="44"/>
        <v>176.81257896138806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8.4</v>
      </c>
      <c r="EJ39" s="12">
        <f>IF('Données projet'!$A$192&gt;35,EJ38+EI39-ER38,IF(A39&lt;'Données projet'!$A$192,$EG$205^A39,IF(A39='Données projet'!$A$192,'Données projet'!$B$192,EJ38+EI39-ER38)))</f>
        <v>103.39999999999998</v>
      </c>
      <c r="EK39" s="17">
        <f>EJ39*VLOOKUP('Données projet'!$B$15,Paramètres!$A$1:$I$89,3,0)*VLOOKUP('Données projet'!$B$15,Paramètres!$A$1:$I$89,5,0)</f>
        <v>100.00847999999999</v>
      </c>
      <c r="EL39" s="13">
        <f t="shared" si="45"/>
        <v>26.964017781444337</v>
      </c>
      <c r="EM39" s="20">
        <f t="shared" si="19"/>
        <v>221.14376696934883</v>
      </c>
      <c r="EN39" s="59">
        <f t="shared" si="20"/>
        <v>514.47710030268217</v>
      </c>
      <c r="EO39" s="59">
        <f ca="1">AVERAGE(OFFSET($EN$3,0,0,'Données projet'!$E$15+1,1))-AVERAGE(OFFSET($H$3,0,0,'Données projet'!$E$15+1,1))</f>
        <v>218.78765033569107</v>
      </c>
      <c r="EP39" s="59">
        <f t="shared" si="46"/>
        <v>246.54010105494137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9.4</v>
      </c>
      <c r="FE39" s="12">
        <f>IF('Données projet'!$A$218&gt;35,FE38+FD39-FM38,IF(A39&lt;'Données projet'!$A$218,$FB$205^A39,IF(A39='Données projet'!$A$218,'Données projet'!$B$218,FE38+FD39-FM38)))</f>
        <v>154.40000000000003</v>
      </c>
      <c r="FF39" s="17">
        <f>FE39*VLOOKUP('Données projet'!$B$16,Paramètres!$A$1:$I$89,3,0)*VLOOKUP('Données projet'!$B$16,Paramètres!$A$1:$I$89,5,0)</f>
        <v>101.16288000000003</v>
      </c>
      <c r="FG39" s="13">
        <f t="shared" si="47"/>
        <v>27.238850979377407</v>
      </c>
      <c r="FH39" s="20">
        <f t="shared" si="22"/>
        <v>223.63301478908238</v>
      </c>
      <c r="FI39" s="59">
        <f t="shared" si="23"/>
        <v>516.96634812241564</v>
      </c>
      <c r="FJ39" s="59">
        <f ca="1">AVERAGE(OFFSET($FI$3,0,0,'Données projet'!$E$16+1,1))-AVERAGE(OFFSET($H$3,0,0,'Données projet'!$E$16+1,1))</f>
        <v>170.80796812111521</v>
      </c>
      <c r="FK39" s="59">
        <f t="shared" si="48"/>
        <v>249.84047400410321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9">
        <f t="shared" si="0"/>
        <v>881.47926552130343</v>
      </c>
      <c r="S40" s="59">
        <f ca="1">AVERAGE(OFFSET($R$3,0,0,'Données projet'!$E$9+1,1))-AVERAGE(OFFSET($H$3,0,0,'Données projet'!$E$9+1,1))</f>
        <v>333.02360594713667</v>
      </c>
      <c r="T40" s="59">
        <f t="shared" si="34"/>
        <v>546.58234447298014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36.889426016777101</v>
      </c>
      <c r="AB40" s="21">
        <f>EXP(-LN(2)/2)*AB39+(1-EXP(-LN(2)/2))/(LN(2)/2)*V40*Y40*VLOOKUP('Données projet'!$B$9,Paramètres!$A$1:$I$89,3,0)*0.475*44/12</f>
        <v>8.605618898832061</v>
      </c>
      <c r="AC40" s="22">
        <f t="shared" si="3"/>
        <v>45.495044915609164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7.6</v>
      </c>
      <c r="AI40" s="13">
        <f>IF('Données projet'!$A$62&gt;35,AI39+AH40-AQ39,IF(A40&lt;'Données projet'!$A$62,$AF$205^A40,IF(A40='Données projet'!$A$62,'Données projet'!$B$62,AI39+AH40-AQ39)))</f>
        <v>91.2</v>
      </c>
      <c r="AJ40" s="13">
        <f>AI40*VLOOKUP('Données projet'!$B$10,Paramètres!$A$1:$I$89,3,0)*VLOOKUP('Données projet'!$B$10,Paramètres!$A$1:$I$89,5,0)</f>
        <v>79.672320000000013</v>
      </c>
      <c r="AK40" s="13">
        <f t="shared" si="35"/>
        <v>22.057045536520654</v>
      </c>
      <c r="AL40" s="20">
        <f t="shared" si="4"/>
        <v>177.17864497610682</v>
      </c>
      <c r="AM40" s="59">
        <f t="shared" si="5"/>
        <v>470.51197830944011</v>
      </c>
      <c r="AN40" s="59">
        <f ca="1">AVERAGE(OFFSET($AM$3,0,0,'Données projet'!$E$10+1,1))-AVERAGE(OFFSET($H$3,0,0,'Données projet'!$E$10+1,1))</f>
        <v>243.26825841283591</v>
      </c>
      <c r="AO40" s="59">
        <f t="shared" si="36"/>
        <v>179.2944312100729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7.6</v>
      </c>
      <c r="BD40" s="12">
        <f>IF('Données projet'!$A$88&gt;35,BD39+BC40-BL39,IF(A40&lt;'Données projet'!$A$88,$BA$205^A40,IF(A40='Données projet'!$A$88,'Données projet'!$B$88,BD39+BC40-BL39)))</f>
        <v>91.2</v>
      </c>
      <c r="BE40" s="13">
        <f>BD40*VLOOKUP('Données projet'!$B$11,Paramètres!$A$1:$I$89,3,0)*VLOOKUP('Données projet'!$B$11,Paramètres!$A$1:$I$89,5,0)</f>
        <v>66.867840000000001</v>
      </c>
      <c r="BF40" s="13">
        <f t="shared" si="37"/>
        <v>18.893571713994678</v>
      </c>
      <c r="BG40" s="20">
        <f t="shared" si="7"/>
        <v>149.36779206854069</v>
      </c>
      <c r="BH40" s="59">
        <f t="shared" si="8"/>
        <v>442.70112540187404</v>
      </c>
      <c r="BI40" s="59">
        <f ca="1">AVERAGE(OFFSET($BH$3,0,0,'Données projet'!$E$11+1,1))-AVERAGE(OFFSET($H$3,0,0,'Données projet'!$E$11+1,1))</f>
        <v>146.45728988963538</v>
      </c>
      <c r="BJ40" s="59">
        <f t="shared" si="38"/>
        <v>156.91778940341118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9.4</v>
      </c>
      <c r="BY40" s="12">
        <f>IF('Données projet'!$A$114&gt;35,BY39+BX40-CG39,IF(A40&lt;'Données projet'!$A$114,$BV$205^A40,IF(A40='Données projet'!$A$114,'Données projet'!$B$114,BY39+BX40-CG39)))</f>
        <v>163.80000000000004</v>
      </c>
      <c r="BZ40" s="13">
        <f>BY40*VLOOKUP('Données projet'!$B$12,Paramètres!$A$1:$I$89,3,0)*VLOOKUP('Données projet'!$B$12,Paramètres!$A$1:$I$89,5,0)</f>
        <v>130.31928000000005</v>
      </c>
      <c r="CA40" s="13">
        <f t="shared" si="39"/>
        <v>34.070125030168121</v>
      </c>
      <c r="CB40" s="20">
        <f t="shared" si="10"/>
        <v>286.31154709420952</v>
      </c>
      <c r="CC40" s="59">
        <f t="shared" si="11"/>
        <v>579.64488042754283</v>
      </c>
      <c r="CD40" s="59">
        <f ca="1">AVERAGE(OFFSET($CC$3,0,0,'Données projet'!$E$12+1,1))-AVERAGE(OFFSET($H$3,0,0,'Données projet'!$E$12+1,1))</f>
        <v>238.71022302719206</v>
      </c>
      <c r="CE40" s="59">
        <f t="shared" si="40"/>
        <v>294.28794439094878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7.5270590332019776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7.5270590332019776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9.4</v>
      </c>
      <c r="CT40" s="12">
        <f>IF('Données projet'!$A$140&gt;35,CT39+CS40-DB39,IF(A40&lt;'Données projet'!$A$140,$CQ$205^A40,IF(A40='Données projet'!$A$140,'Données projet'!$B$140,CT39+CS40-DB39)))</f>
        <v>163.80000000000004</v>
      </c>
      <c r="CU40" s="17">
        <f>CT40*VLOOKUP('Données projet'!$B$13,Paramètres!$A$1:$I$89,3,0)*VLOOKUP('Données projet'!$B$13,Paramètres!$A$1:$I$89,5,0)</f>
        <v>130.31928000000005</v>
      </c>
      <c r="CV40" s="13">
        <f t="shared" si="41"/>
        <v>34.070125030168121</v>
      </c>
      <c r="CW40" s="20">
        <f t="shared" si="13"/>
        <v>286.31154709420952</v>
      </c>
      <c r="CX40" s="59">
        <f t="shared" si="14"/>
        <v>579.64488042754283</v>
      </c>
      <c r="CY40" s="59">
        <f ca="1">AVERAGE(OFFSET($CX$3,0,0,'Données projet'!$E$13+1,1))-AVERAGE(OFFSET($H$3,0,0,'Données projet'!$E$13+1,1))</f>
        <v>238.71022302719206</v>
      </c>
      <c r="CZ40" s="59">
        <f t="shared" si="42"/>
        <v>294.28794439094878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7.5270590332019776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7.5270590332019776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7.6</v>
      </c>
      <c r="DO40" s="12">
        <f>IF('Données projet'!$A$166&gt;35,DO39+DN40-DW39,IF(A40&lt;'Données projet'!$A$166,$DL$205^A40,IF(A40='Données projet'!$A$166,'Données projet'!$B$166,DO39+DN40-DW39)))</f>
        <v>91.2</v>
      </c>
      <c r="DP40" s="17">
        <f>DO40*VLOOKUP('Données projet'!$B$14,Paramètres!$A$1:$I$89,3,0)*VLOOKUP('Données projet'!$B$14,Paramètres!$A$1:$I$89,5,0)</f>
        <v>78.249600000000015</v>
      </c>
      <c r="DQ40" s="13">
        <f t="shared" si="43"/>
        <v>21.708652740239803</v>
      </c>
      <c r="DR40" s="20">
        <f t="shared" si="16"/>
        <v>174.09395685591767</v>
      </c>
      <c r="DS40" s="59">
        <f t="shared" si="17"/>
        <v>467.42729018925098</v>
      </c>
      <c r="DT40" s="59">
        <f ca="1">AVERAGE(OFFSET($DS$3,0,0,'Données projet'!$E$14+1,1))-AVERAGE(OFFSET($H$3,0,0,'Données projet'!$E$14+1,1))</f>
        <v>203.34232675618244</v>
      </c>
      <c r="DU40" s="59">
        <f t="shared" si="44"/>
        <v>176.81257896138806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8.4</v>
      </c>
      <c r="EJ40" s="12">
        <f>IF('Données projet'!$A$192&gt;35,EJ39+EI40-ER39,IF(A40&lt;'Données projet'!$A$192,$EG$205^A40,IF(A40='Données projet'!$A$192,'Données projet'!$B$192,EJ39+EI40-ER39)))</f>
        <v>111.79999999999998</v>
      </c>
      <c r="EK40" s="17">
        <f>EJ40*VLOOKUP('Données projet'!$B$15,Paramètres!$A$1:$I$89,3,0)*VLOOKUP('Données projet'!$B$15,Paramètres!$A$1:$I$89,5,0)</f>
        <v>108.13295999999998</v>
      </c>
      <c r="EL40" s="13">
        <f t="shared" si="45"/>
        <v>28.890658079177882</v>
      </c>
      <c r="EM40" s="20">
        <f t="shared" si="19"/>
        <v>238.64946815456815</v>
      </c>
      <c r="EN40" s="59">
        <f t="shared" si="20"/>
        <v>531.9828014879015</v>
      </c>
      <c r="EO40" s="59">
        <f ca="1">AVERAGE(OFFSET($EN$3,0,0,'Données projet'!$E$15+1,1))-AVERAGE(OFFSET($H$3,0,0,'Données projet'!$E$15+1,1))</f>
        <v>218.78765033569107</v>
      </c>
      <c r="EP40" s="59">
        <f t="shared" si="46"/>
        <v>246.54010105494137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9.4</v>
      </c>
      <c r="FE40" s="12">
        <f>IF('Données projet'!$A$218&gt;35,FE39+FD40-FM39,IF(A40&lt;'Données projet'!$A$218,$FB$205^A40,IF(A40='Données projet'!$A$218,'Données projet'!$B$218,FE39+FD40-FM39)))</f>
        <v>163.80000000000004</v>
      </c>
      <c r="FF40" s="17">
        <f>FE40*VLOOKUP('Données projet'!$B$16,Paramètres!$A$1:$I$89,3,0)*VLOOKUP('Données projet'!$B$16,Paramètres!$A$1:$I$89,5,0)</f>
        <v>107.32176000000004</v>
      </c>
      <c r="FG40" s="13">
        <f t="shared" si="47"/>
        <v>28.699067963776873</v>
      </c>
      <c r="FH40" s="20">
        <f t="shared" si="22"/>
        <v>236.90294203691144</v>
      </c>
      <c r="FI40" s="59">
        <f t="shared" si="23"/>
        <v>530.23627537024481</v>
      </c>
      <c r="FJ40" s="59">
        <f ca="1">AVERAGE(OFFSET($FI$3,0,0,'Données projet'!$E$16+1,1))-AVERAGE(OFFSET($H$3,0,0,'Données projet'!$E$16+1,1))</f>
        <v>170.80796812111521</v>
      </c>
      <c r="FK40" s="59">
        <f t="shared" si="48"/>
        <v>249.84047400410321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9">
        <f t="shared" si="0"/>
        <v>911.6715292970066</v>
      </c>
      <c r="S41" s="59">
        <f ca="1">AVERAGE(OFFSET($R$3,0,0,'Données projet'!$E$9+1,1))-AVERAGE(OFFSET($H$3,0,0,'Données projet'!$E$9+1,1))</f>
        <v>333.02360594713667</v>
      </c>
      <c r="T41" s="59">
        <f t="shared" si="34"/>
        <v>546.58234447298014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35.880682722417731</v>
      </c>
      <c r="AB41" s="21">
        <f>EXP(-LN(2)/2)*AB40+(1-EXP(-LN(2)/2))/(LN(2)/2)*V41*Y41*VLOOKUP('Données projet'!$B$9,Paramètres!$A$1:$I$89,3,0)*0.475*44/12</f>
        <v>6.0850914796712603</v>
      </c>
      <c r="AC41" s="22">
        <f t="shared" si="3"/>
        <v>41.965774202088994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7.6</v>
      </c>
      <c r="AI41" s="13">
        <f>IF('Données projet'!$A$62&gt;35,AI40+AH41-AQ40,IF(A41&lt;'Données projet'!$A$62,$AF$205^A41,IF(A41='Données projet'!$A$62,'Données projet'!$B$62,AI40+AH41-AQ40)))</f>
        <v>98.8</v>
      </c>
      <c r="AJ41" s="13">
        <f>AI41*VLOOKUP('Données projet'!$B$10,Paramètres!$A$1:$I$89,3,0)*VLOOKUP('Données projet'!$B$10,Paramètres!$A$1:$I$89,5,0)</f>
        <v>86.31168000000001</v>
      </c>
      <c r="AK41" s="13">
        <f t="shared" si="35"/>
        <v>23.673536308765939</v>
      </c>
      <c r="AL41" s="20">
        <f t="shared" si="4"/>
        <v>191.55758507110068</v>
      </c>
      <c r="AM41" s="59">
        <f t="shared" si="5"/>
        <v>484.89091840443399</v>
      </c>
      <c r="AN41" s="59">
        <f ca="1">AVERAGE(OFFSET($AM$3,0,0,'Données projet'!$E$10+1,1))-AVERAGE(OFFSET($H$3,0,0,'Données projet'!$E$10+1,1))</f>
        <v>243.26825841283591</v>
      </c>
      <c r="AO41" s="59">
        <f t="shared" si="36"/>
        <v>179.2944312100729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7.6</v>
      </c>
      <c r="BD41" s="12">
        <f>IF('Données projet'!$A$88&gt;35,BD40+BC41-BL40,IF(A41&lt;'Données projet'!$A$88,$BA$205^A41,IF(A41='Données projet'!$A$88,'Données projet'!$B$88,BD40+BC41-BL40)))</f>
        <v>98.8</v>
      </c>
      <c r="BE41" s="13">
        <f>BD41*VLOOKUP('Données projet'!$B$11,Paramètres!$A$1:$I$89,3,0)*VLOOKUP('Données projet'!$B$11,Paramètres!$A$1:$I$89,5,0)</f>
        <v>72.440159999999992</v>
      </c>
      <c r="BF41" s="13">
        <f t="shared" si="37"/>
        <v>20.27822154299642</v>
      </c>
      <c r="BG41" s="20">
        <f t="shared" si="7"/>
        <v>161.48451452071876</v>
      </c>
      <c r="BH41" s="59">
        <f t="shared" si="8"/>
        <v>454.81784785405205</v>
      </c>
      <c r="BI41" s="59">
        <f ca="1">AVERAGE(OFFSET($BH$3,0,0,'Données projet'!$E$11+1,1))-AVERAGE(OFFSET($H$3,0,0,'Données projet'!$E$11+1,1))</f>
        <v>146.45728988963538</v>
      </c>
      <c r="BJ41" s="59">
        <f t="shared" si="38"/>
        <v>156.91778940341118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9.4</v>
      </c>
      <c r="BY41" s="12">
        <f>IF('Données projet'!$A$114&gt;35,BY40+BX41-CG40,IF(A41&lt;'Données projet'!$A$114,$BV$205^A41,IF(A41='Données projet'!$A$114,'Données projet'!$B$114,BY40+BX41-CG40)))</f>
        <v>173.20000000000005</v>
      </c>
      <c r="BZ41" s="13">
        <f>BY41*VLOOKUP('Données projet'!$B$12,Paramètres!$A$1:$I$89,3,0)*VLOOKUP('Données projet'!$B$12,Paramètres!$A$1:$I$89,5,0)</f>
        <v>137.79792000000003</v>
      </c>
      <c r="CA41" s="13">
        <f t="shared" si="39"/>
        <v>35.792075357772092</v>
      </c>
      <c r="CB41" s="20">
        <f t="shared" si="10"/>
        <v>302.33590858145311</v>
      </c>
      <c r="CC41" s="59">
        <f t="shared" si="11"/>
        <v>595.66924191478643</v>
      </c>
      <c r="CD41" s="59">
        <f ca="1">AVERAGE(OFFSET($CC$3,0,0,'Données projet'!$E$12+1,1))-AVERAGE(OFFSET($H$3,0,0,'Données projet'!$E$12+1,1))</f>
        <v>238.71022302719206</v>
      </c>
      <c r="CE41" s="59">
        <f t="shared" si="40"/>
        <v>294.28794439094878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7.379457996613568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7.379457996613568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9.4</v>
      </c>
      <c r="CT41" s="12">
        <f>IF('Données projet'!$A$140&gt;35,CT40+CS41-DB40,IF(A41&lt;'Données projet'!$A$140,$CQ$205^A41,IF(A41='Données projet'!$A$140,'Données projet'!$B$140,CT40+CS41-DB40)))</f>
        <v>173.20000000000005</v>
      </c>
      <c r="CU41" s="17">
        <f>CT41*VLOOKUP('Données projet'!$B$13,Paramètres!$A$1:$I$89,3,0)*VLOOKUP('Données projet'!$B$13,Paramètres!$A$1:$I$89,5,0)</f>
        <v>137.79792000000003</v>
      </c>
      <c r="CV41" s="13">
        <f t="shared" si="41"/>
        <v>35.792075357772092</v>
      </c>
      <c r="CW41" s="20">
        <f t="shared" si="13"/>
        <v>302.33590858145311</v>
      </c>
      <c r="CX41" s="59">
        <f t="shared" si="14"/>
        <v>595.66924191478643</v>
      </c>
      <c r="CY41" s="59">
        <f ca="1">AVERAGE(OFFSET($CX$3,0,0,'Données projet'!$E$13+1,1))-AVERAGE(OFFSET($H$3,0,0,'Données projet'!$E$13+1,1))</f>
        <v>238.71022302719206</v>
      </c>
      <c r="CZ41" s="59">
        <f t="shared" si="42"/>
        <v>294.28794439094878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7.379457996613568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7.379457996613568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7.6</v>
      </c>
      <c r="DO41" s="12">
        <f>IF('Données projet'!$A$166&gt;35,DO40+DN41-DW40,IF(A41&lt;'Données projet'!$A$166,$DL$205^A41,IF(A41='Données projet'!$A$166,'Données projet'!$B$166,DO40+DN41-DW40)))</f>
        <v>98.8</v>
      </c>
      <c r="DP41" s="17">
        <f>DO41*VLOOKUP('Données projet'!$B$14,Paramètres!$A$1:$I$89,3,0)*VLOOKUP('Données projet'!$B$14,Paramètres!$A$1:$I$89,5,0)</f>
        <v>84.770400000000009</v>
      </c>
      <c r="DQ41" s="13">
        <f t="shared" si="43"/>
        <v>23.299610911603782</v>
      </c>
      <c r="DR41" s="20">
        <f t="shared" si="16"/>
        <v>188.22193567104327</v>
      </c>
      <c r="DS41" s="59">
        <f t="shared" si="17"/>
        <v>481.55526900437656</v>
      </c>
      <c r="DT41" s="59">
        <f ca="1">AVERAGE(OFFSET($DS$3,0,0,'Données projet'!$E$14+1,1))-AVERAGE(OFFSET($H$3,0,0,'Données projet'!$E$14+1,1))</f>
        <v>203.34232675618244</v>
      </c>
      <c r="DU41" s="59">
        <f t="shared" si="44"/>
        <v>176.81257896138806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8.4</v>
      </c>
      <c r="EJ41" s="12">
        <f>IF('Données projet'!$A$192&gt;35,EJ40+EI41-ER40,IF(A41&lt;'Données projet'!$A$192,$EG$205^A41,IF(A41='Données projet'!$A$192,'Données projet'!$B$192,EJ40+EI41-ER40)))</f>
        <v>120.19999999999999</v>
      </c>
      <c r="EK41" s="17">
        <f>EJ41*VLOOKUP('Données projet'!$B$15,Paramètres!$A$1:$I$89,3,0)*VLOOKUP('Données projet'!$B$15,Paramètres!$A$1:$I$89,5,0)</f>
        <v>116.25743999999999</v>
      </c>
      <c r="EL41" s="13">
        <f t="shared" si="45"/>
        <v>30.800505515381992</v>
      </c>
      <c r="EM41" s="20">
        <f t="shared" si="19"/>
        <v>256.1259217726236</v>
      </c>
      <c r="EN41" s="59">
        <f t="shared" si="20"/>
        <v>549.45925510595691</v>
      </c>
      <c r="EO41" s="59">
        <f ca="1">AVERAGE(OFFSET($EN$3,0,0,'Données projet'!$E$15+1,1))-AVERAGE(OFFSET($H$3,0,0,'Données projet'!$E$15+1,1))</f>
        <v>218.78765033569107</v>
      </c>
      <c r="EP41" s="59">
        <f t="shared" si="46"/>
        <v>246.54010105494137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9.4</v>
      </c>
      <c r="FE41" s="12">
        <f>IF('Données projet'!$A$218&gt;35,FE40+FD41-FM40,IF(A41&lt;'Données projet'!$A$218,$FB$205^A41,IF(A41='Données projet'!$A$218,'Données projet'!$B$218,FE40+FD41-FM40)))</f>
        <v>173.20000000000005</v>
      </c>
      <c r="FF41" s="17">
        <f>FE41*VLOOKUP('Données projet'!$B$16,Paramètres!$A$1:$I$89,3,0)*VLOOKUP('Données projet'!$B$16,Paramètres!$A$1:$I$89,5,0)</f>
        <v>113.48064000000002</v>
      </c>
      <c r="FG41" s="13">
        <f t="shared" si="47"/>
        <v>30.149557782596045</v>
      </c>
      <c r="FH41" s="20">
        <f t="shared" si="22"/>
        <v>250.15592780468816</v>
      </c>
      <c r="FI41" s="59">
        <f t="shared" si="23"/>
        <v>543.48926113802145</v>
      </c>
      <c r="FJ41" s="59">
        <f ca="1">AVERAGE(OFFSET($FI$3,0,0,'Données projet'!$E$16+1,1))-AVERAGE(OFFSET($H$3,0,0,'Données projet'!$E$16+1,1))</f>
        <v>170.80796812111521</v>
      </c>
      <c r="FK41" s="59">
        <f t="shared" si="48"/>
        <v>249.84047400410321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9">
        <f t="shared" si="0"/>
        <v>941.83325468417297</v>
      </c>
      <c r="S42" s="59">
        <f ca="1">AVERAGE(OFFSET($R$3,0,0,'Données projet'!$E$9+1,1))-AVERAGE(OFFSET($H$3,0,0,'Données projet'!$E$9+1,1))</f>
        <v>333.02360594713667</v>
      </c>
      <c r="T42" s="59">
        <f t="shared" si="34"/>
        <v>546.58234447298014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34.899523566490117</v>
      </c>
      <c r="AB42" s="21">
        <f>EXP(-LN(2)/2)*AB41+(1-EXP(-LN(2)/2))/(LN(2)/2)*V42*Y42*VLOOKUP('Données projet'!$B$9,Paramètres!$A$1:$I$89,3,0)*0.475*44/12</f>
        <v>4.3028094494160305</v>
      </c>
      <c r="AC42" s="22">
        <f t="shared" si="3"/>
        <v>39.202333015906149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7.6</v>
      </c>
      <c r="AI42" s="13">
        <f>IF('Données projet'!$A$62&gt;35,AI41+AH42-AQ41,IF(A42&lt;'Données projet'!$A$62,$AF$205^A42,IF(A42='Données projet'!$A$62,'Données projet'!$B$62,AI41+AH42-AQ41)))</f>
        <v>106.39999999999999</v>
      </c>
      <c r="AJ42" s="13">
        <f>AI42*VLOOKUP('Données projet'!$B$10,Paramètres!$A$1:$I$89,3,0)*VLOOKUP('Données projet'!$B$10,Paramètres!$A$1:$I$89,5,0)</f>
        <v>92.951040000000006</v>
      </c>
      <c r="AK42" s="13">
        <f t="shared" si="35"/>
        <v>25.275602869272223</v>
      </c>
      <c r="AL42" s="20">
        <f t="shared" si="4"/>
        <v>205.9114029973158</v>
      </c>
      <c r="AM42" s="59">
        <f t="shared" si="5"/>
        <v>499.24473633064912</v>
      </c>
      <c r="AN42" s="59">
        <f ca="1">AVERAGE(OFFSET($AM$3,0,0,'Données projet'!$E$10+1,1))-AVERAGE(OFFSET($H$3,0,0,'Données projet'!$E$10+1,1))</f>
        <v>243.26825841283591</v>
      </c>
      <c r="AO42" s="59">
        <f t="shared" si="36"/>
        <v>179.2944312100729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7.6</v>
      </c>
      <c r="BD42" s="12">
        <f>IF('Données projet'!$A$88&gt;35,BD41+BC42-BL41,IF(A42&lt;'Données projet'!$A$88,$BA$205^A42,IF(A42='Données projet'!$A$88,'Données projet'!$B$88,BD41+BC42-BL41)))</f>
        <v>106.39999999999999</v>
      </c>
      <c r="BE42" s="13">
        <f>BD42*VLOOKUP('Données projet'!$B$11,Paramètres!$A$1:$I$89,3,0)*VLOOKUP('Données projet'!$B$11,Paramètres!$A$1:$I$89,5,0)</f>
        <v>78.012479999999996</v>
      </c>
      <c r="BF42" s="13">
        <f t="shared" si="37"/>
        <v>21.650515914942144</v>
      </c>
      <c r="BG42" s="20">
        <f t="shared" si="7"/>
        <v>173.57971788519089</v>
      </c>
      <c r="BH42" s="59">
        <f t="shared" si="8"/>
        <v>466.91305121852417</v>
      </c>
      <c r="BI42" s="59">
        <f ca="1">AVERAGE(OFFSET($BH$3,0,0,'Données projet'!$E$11+1,1))-AVERAGE(OFFSET($H$3,0,0,'Données projet'!$E$11+1,1))</f>
        <v>146.45728988963538</v>
      </c>
      <c r="BJ42" s="59">
        <f t="shared" si="38"/>
        <v>156.91778940341118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9.4</v>
      </c>
      <c r="BY42" s="12">
        <f>IF('Données projet'!$A$114&gt;35,BY41+BX42-CG41,IF(A42&lt;'Données projet'!$A$114,$BV$205^A42,IF(A42='Données projet'!$A$114,'Données projet'!$B$114,BY41+BX42-CG41)))</f>
        <v>182.60000000000005</v>
      </c>
      <c r="BZ42" s="13">
        <f>BY42*VLOOKUP('Données projet'!$B$12,Paramètres!$A$1:$I$89,3,0)*VLOOKUP('Données projet'!$B$12,Paramètres!$A$1:$I$89,5,0)</f>
        <v>145.27656000000005</v>
      </c>
      <c r="CA42" s="13">
        <f t="shared" si="39"/>
        <v>37.503176238005366</v>
      </c>
      <c r="CB42" s="20">
        <f t="shared" si="10"/>
        <v>318.34137394785938</v>
      </c>
      <c r="CC42" s="59">
        <f t="shared" si="11"/>
        <v>611.6747072811927</v>
      </c>
      <c r="CD42" s="59">
        <f ca="1">AVERAGE(OFFSET($CC$3,0,0,'Données projet'!$E$12+1,1))-AVERAGE(OFFSET($H$3,0,0,'Données projet'!$E$12+1,1))</f>
        <v>238.71022302719206</v>
      </c>
      <c r="CE42" s="59">
        <f t="shared" si="40"/>
        <v>294.28794439094878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7.2347513263249148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7.2347513263249148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9.4</v>
      </c>
      <c r="CT42" s="12">
        <f>IF('Données projet'!$A$140&gt;35,CT41+CS42-DB41,IF(A42&lt;'Données projet'!$A$140,$CQ$205^A42,IF(A42='Données projet'!$A$140,'Données projet'!$B$140,CT41+CS42-DB41)))</f>
        <v>182.60000000000005</v>
      </c>
      <c r="CU42" s="17">
        <f>CT42*VLOOKUP('Données projet'!$B$13,Paramètres!$A$1:$I$89,3,0)*VLOOKUP('Données projet'!$B$13,Paramètres!$A$1:$I$89,5,0)</f>
        <v>145.27656000000005</v>
      </c>
      <c r="CV42" s="13">
        <f t="shared" si="41"/>
        <v>37.503176238005366</v>
      </c>
      <c r="CW42" s="20">
        <f t="shared" si="13"/>
        <v>318.34137394785938</v>
      </c>
      <c r="CX42" s="59">
        <f t="shared" si="14"/>
        <v>611.6747072811927</v>
      </c>
      <c r="CY42" s="59">
        <f ca="1">AVERAGE(OFFSET($CX$3,0,0,'Données projet'!$E$13+1,1))-AVERAGE(OFFSET($H$3,0,0,'Données projet'!$E$13+1,1))</f>
        <v>238.71022302719206</v>
      </c>
      <c r="CZ42" s="59">
        <f t="shared" si="42"/>
        <v>294.28794439094878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7.2347513263249148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7.2347513263249148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7.6</v>
      </c>
      <c r="DO42" s="12">
        <f>IF('Données projet'!$A$166&gt;35,DO41+DN42-DW41,IF(A42&lt;'Données projet'!$A$166,$DL$205^A42,IF(A42='Données projet'!$A$166,'Données projet'!$B$166,DO41+DN42-DW41)))</f>
        <v>106.39999999999999</v>
      </c>
      <c r="DP42" s="17">
        <f>DO42*VLOOKUP('Données projet'!$B$14,Paramètres!$A$1:$I$89,3,0)*VLOOKUP('Données projet'!$B$14,Paramètres!$A$1:$I$89,5,0)</f>
        <v>91.291200000000003</v>
      </c>
      <c r="DQ42" s="13">
        <f t="shared" si="43"/>
        <v>24.87637270280544</v>
      </c>
      <c r="DR42" s="20">
        <f t="shared" si="16"/>
        <v>202.32518912405283</v>
      </c>
      <c r="DS42" s="59">
        <f t="shared" si="17"/>
        <v>495.65852245738614</v>
      </c>
      <c r="DT42" s="59">
        <f ca="1">AVERAGE(OFFSET($DS$3,0,0,'Données projet'!$E$14+1,1))-AVERAGE(OFFSET($H$3,0,0,'Données projet'!$E$14+1,1))</f>
        <v>203.34232675618244</v>
      </c>
      <c r="DU42" s="59">
        <f t="shared" si="44"/>
        <v>176.81257896138806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8.4</v>
      </c>
      <c r="EJ42" s="12">
        <f>IF('Données projet'!$A$192&gt;35,EJ41+EI42-ER41,IF(A42&lt;'Données projet'!$A$192,$EG$205^A42,IF(A42='Données projet'!$A$192,'Données projet'!$B$192,EJ41+EI42-ER41)))</f>
        <v>128.6</v>
      </c>
      <c r="EK42" s="17">
        <f>EJ42*VLOOKUP('Données projet'!$B$15,Paramètres!$A$1:$I$89,3,0)*VLOOKUP('Données projet'!$B$15,Paramètres!$A$1:$I$89,5,0)</f>
        <v>124.38192000000001</v>
      </c>
      <c r="EL42" s="13">
        <f t="shared" si="45"/>
        <v>32.694867122876893</v>
      </c>
      <c r="EM42" s="20">
        <f t="shared" si="19"/>
        <v>273.5754042390106</v>
      </c>
      <c r="EN42" s="59">
        <f t="shared" si="20"/>
        <v>566.90873757234385</v>
      </c>
      <c r="EO42" s="59">
        <f ca="1">AVERAGE(OFFSET($EN$3,0,0,'Données projet'!$E$15+1,1))-AVERAGE(OFFSET($H$3,0,0,'Données projet'!$E$15+1,1))</f>
        <v>218.78765033569107</v>
      </c>
      <c r="EP42" s="59">
        <f t="shared" si="46"/>
        <v>246.54010105494137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9.4</v>
      </c>
      <c r="FE42" s="12">
        <f>IF('Données projet'!$A$218&gt;35,FE41+FD42-FM41,IF(A42&lt;'Données projet'!$A$218,$FB$205^A42,IF(A42='Données projet'!$A$218,'Données projet'!$B$218,FE41+FD42-FM41)))</f>
        <v>182.60000000000005</v>
      </c>
      <c r="FF42" s="17">
        <f>FE42*VLOOKUP('Données projet'!$B$16,Paramètres!$A$1:$I$89,3,0)*VLOOKUP('Données projet'!$B$16,Paramètres!$A$1:$I$89,5,0)</f>
        <v>119.63952000000003</v>
      </c>
      <c r="FG42" s="13">
        <f t="shared" si="47"/>
        <v>31.590908538168858</v>
      </c>
      <c r="FH42" s="20">
        <f t="shared" si="22"/>
        <v>263.39299637064414</v>
      </c>
      <c r="FI42" s="59">
        <f t="shared" si="23"/>
        <v>556.7263297039774</v>
      </c>
      <c r="FJ42" s="59">
        <f ca="1">AVERAGE(OFFSET($FI$3,0,0,'Données projet'!$E$16+1,1))-AVERAGE(OFFSET($H$3,0,0,'Données projet'!$E$16+1,1))</f>
        <v>170.80796812111521</v>
      </c>
      <c r="FK42" s="59">
        <f t="shared" si="48"/>
        <v>249.84047400410321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9">
        <f t="shared" si="0"/>
        <v>971.96605951870743</v>
      </c>
      <c r="S43" s="59">
        <f ca="1">AVERAGE(OFFSET($R$3,0,0,'Données projet'!$E$9+1,1))-AVERAGE(OFFSET($H$3,0,0,'Données projet'!$E$9+1,1))</f>
        <v>333.02360594713667</v>
      </c>
      <c r="T43" s="59">
        <f t="shared" si="34"/>
        <v>546.58234447298014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0.20625000000000002</v>
      </c>
      <c r="Y43" s="16">
        <f>IF(ISNA(VLOOKUP(A43,'Données projet'!$A$35:$I$55,7,0)),0%,VLOOKUP(A43,'Données projet'!$A$35:$I$55,7,0))</f>
        <v>0.31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44.913846307191498</v>
      </c>
      <c r="AB43" s="21">
        <f>EXP(-LN(2)/2)*AB42+(1-EXP(-LN(2)/2))/(LN(2)/2)*V43*Y43*VLOOKUP('Données projet'!$B$9,Paramètres!$A$1:$I$89,3,0)*0.475*44/12</f>
        <v>17.169272248197643</v>
      </c>
      <c r="AC43" s="22">
        <f t="shared" si="3"/>
        <v>62.083118555389142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114</v>
      </c>
      <c r="AG43" s="12">
        <f>VLOOKUP(A43,'Données projet'!$A$61:$I$81,9,0)</f>
        <v>7.6</v>
      </c>
      <c r="AH43" s="12">
        <f t="array" ref="AH43">INDEX(AG:AG,MIN(IF(ISNUMBER(AG43:AG239),ROW(AG43:AG239),"")))</f>
        <v>7.6</v>
      </c>
      <c r="AI43" s="13">
        <f>IF('Données projet'!$A$62&gt;35,AI42+AH43-AQ42,IF(A43&lt;'Données projet'!$A$62,$AF$205^A43,IF(A43='Données projet'!$A$62,'Données projet'!$B$62,AI42+AH43-AQ42)))</f>
        <v>113.99999999999999</v>
      </c>
      <c r="AJ43" s="13">
        <f>AI43*VLOOKUP('Données projet'!$B$10,Paramètres!$A$1:$I$89,3,0)*VLOOKUP('Données projet'!$B$10,Paramètres!$A$1:$I$89,5,0)</f>
        <v>99.590400000000002</v>
      </c>
      <c r="AK43" s="13">
        <f t="shared" si="35"/>
        <v>26.864392698869324</v>
      </c>
      <c r="AL43" s="20">
        <f t="shared" si="4"/>
        <v>220.24209728386407</v>
      </c>
      <c r="AM43" s="59">
        <f t="shared" si="5"/>
        <v>513.57543061719741</v>
      </c>
      <c r="AN43" s="59">
        <f ca="1">AVERAGE(OFFSET($AM$3,0,0,'Données projet'!$E$10+1,1))-AVERAGE(OFFSET($H$3,0,0,'Données projet'!$E$10+1,1))</f>
        <v>243.26825841283591</v>
      </c>
      <c r="AO43" s="59">
        <f t="shared" si="36"/>
        <v>179.2944312100729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0.17200000000000001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3.4882489918986668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3.4882489918986668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114</v>
      </c>
      <c r="BB43" s="12">
        <f>VLOOKUP(A43,'Données projet'!$A$87:$I$107,9,0)</f>
        <v>7.6</v>
      </c>
      <c r="BC43" s="12">
        <f t="array" ref="BC43">INDEX(BB:BB,MIN(IF(ISNUMBER(BB43:BB239),ROW(BB43:BB239),"")))</f>
        <v>7.6</v>
      </c>
      <c r="BD43" s="12">
        <f>IF('Données projet'!$A$88&gt;35,BD42+BC43-BL42,IF(A43&lt;'Données projet'!$A$88,$BA$205^A43,IF(A43='Données projet'!$A$88,'Données projet'!$B$88,BD42+BC43-BL42)))</f>
        <v>113.99999999999999</v>
      </c>
      <c r="BE43" s="13">
        <f>BD43*VLOOKUP('Données projet'!$B$11,Paramètres!$A$1:$I$89,3,0)*VLOOKUP('Données projet'!$B$11,Paramètres!$A$1:$I$89,5,0)</f>
        <v>83.584799999999987</v>
      </c>
      <c r="BF43" s="13">
        <f t="shared" si="37"/>
        <v>23.011437736237617</v>
      </c>
      <c r="BG43" s="20">
        <f t="shared" si="7"/>
        <v>185.65511405728049</v>
      </c>
      <c r="BH43" s="59">
        <f t="shared" si="8"/>
        <v>478.98844739061383</v>
      </c>
      <c r="BI43" s="59">
        <f ca="1">AVERAGE(OFFSET($BH$3,0,0,'Données projet'!$E$11+1,1))-AVERAGE(OFFSET($H$3,0,0,'Données projet'!$E$11+1,1))</f>
        <v>146.45728988963538</v>
      </c>
      <c r="BJ43" s="59">
        <f t="shared" si="38"/>
        <v>156.91778940341118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21</v>
      </c>
      <c r="BM43" s="16">
        <f>IF(ISNA(VLOOKUP(A43,'Données projet'!$A$87:$I$107,5,0)),0%,VLOOKUP(A43,'Données projet'!$A$87:$I$107,5,0)*VLOOKUP('Données projet'!$B$11,Paramètres!$A$1:$I$89,7,0))</f>
        <v>0.25800000000000001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4.3914563201581425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4.3914563201581425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9.4</v>
      </c>
      <c r="BX43" s="12">
        <f t="array" ref="BX43">INDEX(BW:BW,MIN(IF(ISNUMBER(BW43:BW239),ROW(BW43:BW239),"")))</f>
        <v>9.4</v>
      </c>
      <c r="BY43" s="12">
        <f>IF('Données projet'!$A$114&gt;35,BY42+BX43-CG42,IF(A43&lt;'Données projet'!$A$114,$BV$205^A43,IF(A43='Données projet'!$A$114,'Données projet'!$B$114,BY42+BX43-CG42)))</f>
        <v>192.00000000000006</v>
      </c>
      <c r="BZ43" s="13">
        <f>BY43*VLOOKUP('Données projet'!$B$12,Paramètres!$A$1:$I$89,3,0)*VLOOKUP('Données projet'!$B$12,Paramètres!$A$1:$I$89,5,0)</f>
        <v>152.75520000000006</v>
      </c>
      <c r="CA43" s="13">
        <f t="shared" si="39"/>
        <v>39.204049895729561</v>
      </c>
      <c r="CB43" s="20">
        <f t="shared" si="10"/>
        <v>334.32902690172904</v>
      </c>
      <c r="CC43" s="59">
        <f t="shared" si="11"/>
        <v>627.66236023506235</v>
      </c>
      <c r="CD43" s="59">
        <f ca="1">AVERAGE(OFFSET($CC$3,0,0,'Données projet'!$E$12+1,1))-AVERAGE(OFFSET($H$3,0,0,'Données projet'!$E$12+1,1))</f>
        <v>238.71022302719206</v>
      </c>
      <c r="CE43" s="59">
        <f t="shared" si="40"/>
        <v>294.28794439094878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0.42400000000000004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17.534451507108827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17.534451507108827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192</v>
      </c>
      <c r="CR43" s="12">
        <f>VLOOKUP(A43,'Données projet'!$A$139:$I$159,9,0)</f>
        <v>9.4</v>
      </c>
      <c r="CS43" s="12">
        <f t="array" ref="CS43">INDEX(CR:CR,MIN(IF(ISNUMBER(CR43:CR239),ROW(CR43:CR239),"")))</f>
        <v>9.4</v>
      </c>
      <c r="CT43" s="12">
        <f>IF('Données projet'!$A$140&gt;35,CT42+CS43-DB42,IF(A43&lt;'Données projet'!$A$140,$CQ$205^A43,IF(A43='Données projet'!$A$140,'Données projet'!$B$140,CT42+CS43-DB42)))</f>
        <v>192.00000000000006</v>
      </c>
      <c r="CU43" s="17">
        <f>CT43*VLOOKUP('Données projet'!$B$13,Paramètres!$A$1:$I$89,3,0)*VLOOKUP('Données projet'!$B$13,Paramètres!$A$1:$I$89,5,0)</f>
        <v>152.75520000000006</v>
      </c>
      <c r="CV43" s="13">
        <f t="shared" si="41"/>
        <v>39.204049895729561</v>
      </c>
      <c r="CW43" s="20">
        <f t="shared" si="13"/>
        <v>334.32902690172904</v>
      </c>
      <c r="CX43" s="59">
        <f t="shared" si="14"/>
        <v>627.66236023506235</v>
      </c>
      <c r="CY43" s="59">
        <f ca="1">AVERAGE(OFFSET($CX$3,0,0,'Données projet'!$E$13+1,1))-AVERAGE(OFFSET($H$3,0,0,'Données projet'!$E$13+1,1))</f>
        <v>238.71022302719206</v>
      </c>
      <c r="CZ43" s="59">
        <f t="shared" si="42"/>
        <v>294.28794439094878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0.42400000000000004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17.534451507108827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17.534451507108827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114</v>
      </c>
      <c r="DM43" s="12">
        <f>VLOOKUP(A43,'Données projet'!$A$165:$I$185,9,0)</f>
        <v>7.6</v>
      </c>
      <c r="DN43" s="12">
        <f t="array" ref="DN43">INDEX(DM:DM,MIN(IF(ISNUMBER(DM43:DM239),ROW(DM43:DM239),"")))</f>
        <v>7.6</v>
      </c>
      <c r="DO43" s="12">
        <f>IF('Données projet'!$A$166&gt;35,DO42+DN43-DW42,IF(A43&lt;'Données projet'!$A$166,$DL$205^A43,IF(A43='Données projet'!$A$166,'Données projet'!$B$166,DO42+DN43-DW42)))</f>
        <v>113.99999999999999</v>
      </c>
      <c r="DP43" s="17">
        <f>DO43*VLOOKUP('Données projet'!$B$14,Paramètres!$A$1:$I$89,3,0)*VLOOKUP('Données projet'!$B$14,Paramètres!$A$1:$I$89,5,0)</f>
        <v>97.811999999999998</v>
      </c>
      <c r="DQ43" s="13">
        <f t="shared" si="43"/>
        <v>26.44006747012326</v>
      </c>
      <c r="DR43" s="20">
        <f t="shared" si="16"/>
        <v>216.40568417713132</v>
      </c>
      <c r="DS43" s="59">
        <f t="shared" si="17"/>
        <v>509.73901751046463</v>
      </c>
      <c r="DT43" s="59">
        <f ca="1">AVERAGE(OFFSET($DS$3,0,0,'Données projet'!$E$14+1,1))-AVERAGE(OFFSET($H$3,0,0,'Données projet'!$E$14+1,1))</f>
        <v>203.34232675618244</v>
      </c>
      <c r="DU43" s="59">
        <f t="shared" si="44"/>
        <v>176.81257896138806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21</v>
      </c>
      <c r="DX43" s="16">
        <f>IF(ISNA(VLOOKUP(A43,'Données projet'!$A$165:$I$185,5,0)),0%,VLOOKUP(A43,'Données projet'!$A$165:$I$185,5,0)*VLOOKUP('Données projet'!$B$14,Paramètres!$A$1:$I$89,7,0))</f>
        <v>0.318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6.3340401648990534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6.3340401648990534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137</v>
      </c>
      <c r="EH43" s="12">
        <f>VLOOKUP(A43,'Données projet'!$A$191:$I$211,9,0)</f>
        <v>8.4</v>
      </c>
      <c r="EI43" s="12">
        <f t="array" ref="EI43">INDEX(EH:EH,MIN(IF(ISNUMBER(EH43:EH239),ROW(EH43:EH239),"")))</f>
        <v>8.4</v>
      </c>
      <c r="EJ43" s="12">
        <f>IF('Données projet'!$A$192&gt;35,EJ42+EI43-ER42,IF(A43&lt;'Données projet'!$A$192,$EG$205^A43,IF(A43='Données projet'!$A$192,'Données projet'!$B$192,EJ42+EI43-ER42)))</f>
        <v>137</v>
      </c>
      <c r="EK43" s="17">
        <f>EJ43*VLOOKUP('Données projet'!$B$15,Paramètres!$A$1:$I$89,3,0)*VLOOKUP('Données projet'!$B$15,Paramètres!$A$1:$I$89,5,0)</f>
        <v>132.50640000000001</v>
      </c>
      <c r="EL43" s="13">
        <f t="shared" si="45"/>
        <v>34.574869530248939</v>
      </c>
      <c r="EM43" s="20">
        <f t="shared" si="19"/>
        <v>290.99987776518356</v>
      </c>
      <c r="EN43" s="59">
        <f t="shared" si="20"/>
        <v>584.33321109851681</v>
      </c>
      <c r="EO43" s="59">
        <f ca="1">AVERAGE(OFFSET($EN$3,0,0,'Données projet'!$E$15+1,1))-AVERAGE(OFFSET($H$3,0,0,'Données projet'!$E$15+1,1))</f>
        <v>218.78765033569107</v>
      </c>
      <c r="EP43" s="59">
        <f t="shared" si="46"/>
        <v>246.54010105494137</v>
      </c>
      <c r="EQ43" s="15">
        <f>IF(ISNA(VLOOKUP(A43,'Données projet'!$A$191:$I$211,3,0)),0,VLOOKUP(A43,'Données projet'!$A$191:$I$211,3,0))</f>
        <v>4</v>
      </c>
      <c r="ER43" s="15">
        <f>IF(ISNA(VLOOKUP(A43,'Données projet'!$A$191:$I$211,4,0)),0,VLOOKUP(A43,'Données projet'!$A$191:$I$211,4,0))</f>
        <v>21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192</v>
      </c>
      <c r="FC43" s="12">
        <f>VLOOKUP(A43,'Données projet'!$A$217:$I$237,9,0)</f>
        <v>9.4</v>
      </c>
      <c r="FD43" s="12">
        <f t="array" ref="FD43">INDEX(FC:FC,MIN(IF(ISNUMBER(FC43:FC239),ROW(FC43:FC239),"")))</f>
        <v>9.4</v>
      </c>
      <c r="FE43" s="12">
        <f>IF('Données projet'!$A$218&gt;35,FE42+FD43-FM42,IF(A43&lt;'Données projet'!$A$218,$FB$205^A43,IF(A43='Données projet'!$A$218,'Données projet'!$B$218,FE42+FD43-FM42)))</f>
        <v>192.00000000000006</v>
      </c>
      <c r="FF43" s="17">
        <f>FE43*VLOOKUP('Données projet'!$B$16,Paramètres!$A$1:$I$89,3,0)*VLOOKUP('Données projet'!$B$16,Paramètres!$A$1:$I$89,5,0)</f>
        <v>125.79840000000003</v>
      </c>
      <c r="FG43" s="13">
        <f t="shared" si="47"/>
        <v>33.023644363399953</v>
      </c>
      <c r="FH43" s="20">
        <f t="shared" si="22"/>
        <v>276.61506059958828</v>
      </c>
      <c r="FI43" s="59">
        <f t="shared" si="23"/>
        <v>569.94839393292159</v>
      </c>
      <c r="FJ43" s="59">
        <f ca="1">AVERAGE(OFFSET($FI$3,0,0,'Données projet'!$E$16+1,1))-AVERAGE(OFFSET($H$3,0,0,'Données projet'!$E$16+1,1))</f>
        <v>170.80796812111521</v>
      </c>
      <c r="FK43" s="59">
        <f t="shared" si="48"/>
        <v>249.84047400410321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28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9">
        <f t="shared" si="0"/>
        <v>914.02899181487078</v>
      </c>
      <c r="S44" s="59">
        <f ca="1">AVERAGE(OFFSET($R$3,0,0,'Données projet'!$E$9+1,1))-AVERAGE(OFFSET($H$3,0,0,'Données projet'!$E$9+1,1))</f>
        <v>333.02360594713667</v>
      </c>
      <c r="T44" s="59">
        <f t="shared" si="34"/>
        <v>546.58234447298014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43.68567481800482</v>
      </c>
      <c r="AB44" s="21">
        <f>EXP(-LN(2)/2)*AB43+(1-EXP(-LN(2)/2))/(LN(2)/2)*V44*Y44*VLOOKUP('Données projet'!$B$9,Paramètres!$A$1:$I$89,3,0)*0.475*44/12</f>
        <v>12.140508834738554</v>
      </c>
      <c r="AC44" s="22">
        <f t="shared" si="3"/>
        <v>55.826183652743374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8.1999999999999993</v>
      </c>
      <c r="AI44" s="13">
        <f>IF('Données projet'!$A$62&gt;35,AI43+AH44-AQ43,IF(A44&lt;'Données projet'!$A$62,$AF$205^A44,IF(A44='Données projet'!$A$62,'Données projet'!$B$62,AI43+AH44-AQ43)))</f>
        <v>101.19999999999999</v>
      </c>
      <c r="AJ44" s="13">
        <f>AI44*VLOOKUP('Données projet'!$B$10,Paramètres!$A$1:$I$89,3,0)*VLOOKUP('Données projet'!$B$10,Paramètres!$A$1:$I$89,5,0)</f>
        <v>88.408320000000003</v>
      </c>
      <c r="AK44" s="13">
        <f t="shared" si="35"/>
        <v>24.18095236329042</v>
      </c>
      <c r="AL44" s="20">
        <f t="shared" si="4"/>
        <v>196.09298269939748</v>
      </c>
      <c r="AM44" s="59">
        <f t="shared" si="5"/>
        <v>489.42631603273082</v>
      </c>
      <c r="AN44" s="59">
        <f ca="1">AVERAGE(OFFSET($AM$3,0,0,'Données projet'!$E$10+1,1))-AVERAGE(OFFSET($H$3,0,0,'Données projet'!$E$10+1,1))</f>
        <v>243.26825841283591</v>
      </c>
      <c r="AO44" s="59">
        <f t="shared" si="36"/>
        <v>179.2944312100729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3.4198465567893339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3.4198465567893339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101.19999999999999</v>
      </c>
      <c r="BE44" s="13">
        <f>BD44*VLOOKUP('Données projet'!$B$11,Paramètres!$A$1:$I$89,3,0)*VLOOKUP('Données projet'!$B$11,Paramètres!$A$1:$I$89,5,0)</f>
        <v>74.199839999999995</v>
      </c>
      <c r="BF44" s="13">
        <f t="shared" si="37"/>
        <v>20.712862782645544</v>
      </c>
      <c r="BG44" s="20">
        <f t="shared" si="7"/>
        <v>165.30629067977432</v>
      </c>
      <c r="BH44" s="59">
        <f t="shared" si="8"/>
        <v>458.63962401310766</v>
      </c>
      <c r="BI44" s="59">
        <f ca="1">AVERAGE(OFFSET($BH$3,0,0,'Données projet'!$E$11+1,1))-AVERAGE(OFFSET($H$3,0,0,'Données projet'!$E$11+1,1))</f>
        <v>146.45728988963538</v>
      </c>
      <c r="BJ44" s="59">
        <f t="shared" si="38"/>
        <v>156.91778940341118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4.3053425402437142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4.3053425402437142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172.20000000000005</v>
      </c>
      <c r="BZ44" s="13">
        <f>BY44*VLOOKUP('Données projet'!$B$12,Paramètres!$A$1:$I$89,3,0)*VLOOKUP('Données projet'!$B$12,Paramètres!$A$1:$I$89,5,0)</f>
        <v>137.00232000000005</v>
      </c>
      <c r="CA44" s="13">
        <f t="shared" si="39"/>
        <v>35.609416420931346</v>
      </c>
      <c r="CB44" s="20">
        <f t="shared" si="10"/>
        <v>300.63210759978887</v>
      </c>
      <c r="CC44" s="59">
        <f t="shared" si="11"/>
        <v>593.96544093312218</v>
      </c>
      <c r="CD44" s="59">
        <f ca="1">AVERAGE(OFFSET($CC$3,0,0,'Données projet'!$E$12+1,1))-AVERAGE(OFFSET($H$3,0,0,'Données projet'!$E$12+1,1))</f>
        <v>238.71022302719206</v>
      </c>
      <c r="CE44" s="59">
        <f t="shared" si="40"/>
        <v>294.28794439094878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17.190611608013803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17.190611608013803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8.1999999999999993</v>
      </c>
      <c r="CT44" s="12">
        <f>IF('Données projet'!$A$140&gt;35,CT43+CS44-DB43,IF(A44&lt;'Données projet'!$A$140,$CQ$205^A44,IF(A44='Données projet'!$A$140,'Données projet'!$B$140,CT43+CS44-DB43)))</f>
        <v>172.20000000000005</v>
      </c>
      <c r="CU44" s="17">
        <f>CT44*VLOOKUP('Données projet'!$B$13,Paramètres!$A$1:$I$89,3,0)*VLOOKUP('Données projet'!$B$13,Paramètres!$A$1:$I$89,5,0)</f>
        <v>137.00232000000005</v>
      </c>
      <c r="CV44" s="13">
        <f t="shared" si="41"/>
        <v>35.609416420931346</v>
      </c>
      <c r="CW44" s="20">
        <f t="shared" si="13"/>
        <v>300.63210759978887</v>
      </c>
      <c r="CX44" s="59">
        <f t="shared" si="14"/>
        <v>593.96544093312218</v>
      </c>
      <c r="CY44" s="59">
        <f ca="1">AVERAGE(OFFSET($CX$3,0,0,'Données projet'!$E$13+1,1))-AVERAGE(OFFSET($H$3,0,0,'Données projet'!$E$13+1,1))</f>
        <v>238.71022302719206</v>
      </c>
      <c r="CZ44" s="59">
        <f t="shared" si="42"/>
        <v>294.28794439094878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17.190611608013803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17.190611608013803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8.1999999999999993</v>
      </c>
      <c r="DO44" s="12">
        <f>IF('Données projet'!$A$166&gt;35,DO43+DN44-DW43,IF(A44&lt;'Données projet'!$A$166,$DL$205^A44,IF(A44='Données projet'!$A$166,'Données projet'!$B$166,DO43+DN44-DW43)))</f>
        <v>101.19999999999999</v>
      </c>
      <c r="DP44" s="17">
        <f>DO44*VLOOKUP('Données projet'!$B$14,Paramètres!$A$1:$I$89,3,0)*VLOOKUP('Données projet'!$B$14,Paramètres!$A$1:$I$89,5,0)</f>
        <v>86.829599999999999</v>
      </c>
      <c r="DQ44" s="13">
        <f t="shared" si="43"/>
        <v>23.799012289012015</v>
      </c>
      <c r="DR44" s="20">
        <f t="shared" si="16"/>
        <v>192.67816640336261</v>
      </c>
      <c r="DS44" s="59">
        <f t="shared" si="17"/>
        <v>486.0114997366959</v>
      </c>
      <c r="DT44" s="59">
        <f ca="1">AVERAGE(OFFSET($DS$3,0,0,'Données projet'!$E$14+1,1))-AVERAGE(OFFSET($H$3,0,0,'Données projet'!$E$14+1,1))</f>
        <v>203.34232675618244</v>
      </c>
      <c r="DU44" s="59">
        <f t="shared" si="44"/>
        <v>176.81257896138806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6.209833500648406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6.209833500648406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8.4</v>
      </c>
      <c r="EJ44" s="12">
        <f>IF('Données projet'!$A$192&gt;35,EJ43+EI44-ER43,IF(A44&lt;'Données projet'!$A$192,$EG$205^A44,IF(A44='Données projet'!$A$192,'Données projet'!$B$192,EJ43+EI44-ER43)))</f>
        <v>124.4</v>
      </c>
      <c r="EK44" s="17">
        <f>EJ44*VLOOKUP('Données projet'!$B$15,Paramètres!$A$1:$I$89,3,0)*VLOOKUP('Données projet'!$B$15,Paramètres!$A$1:$I$89,5,0)</f>
        <v>120.31968000000001</v>
      </c>
      <c r="EL44" s="13">
        <f t="shared" si="45"/>
        <v>31.74954785566829</v>
      </c>
      <c r="EM44" s="20">
        <f t="shared" si="19"/>
        <v>264.85390518195555</v>
      </c>
      <c r="EN44" s="59">
        <f t="shared" si="20"/>
        <v>558.18723851528887</v>
      </c>
      <c r="EO44" s="59">
        <f ca="1">AVERAGE(OFFSET($EN$3,0,0,'Données projet'!$E$15+1,1))-AVERAGE(OFFSET($H$3,0,0,'Données projet'!$E$15+1,1))</f>
        <v>218.78765033569107</v>
      </c>
      <c r="EP44" s="59">
        <f t="shared" si="46"/>
        <v>246.54010105494137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8.1999999999999993</v>
      </c>
      <c r="FE44" s="12">
        <f>IF('Données projet'!$A$218&gt;35,FE43+FD44-FM43,IF(A44&lt;'Données projet'!$A$218,$FB$205^A44,IF(A44='Données projet'!$A$218,'Données projet'!$B$218,FE43+FD44-FM43)))</f>
        <v>172.20000000000005</v>
      </c>
      <c r="FF44" s="17">
        <f>FE44*VLOOKUP('Données projet'!$B$16,Paramètres!$A$1:$I$89,3,0)*VLOOKUP('Données projet'!$B$16,Paramètres!$A$1:$I$89,5,0)</f>
        <v>112.82544000000003</v>
      </c>
      <c r="FG44" s="13">
        <f t="shared" si="47"/>
        <v>29.995694500969023</v>
      </c>
      <c r="FH44" s="20">
        <f t="shared" si="22"/>
        <v>248.7468092558544</v>
      </c>
      <c r="FI44" s="59">
        <f t="shared" si="23"/>
        <v>542.08014258918774</v>
      </c>
      <c r="FJ44" s="59">
        <f ca="1">AVERAGE(OFFSET($FI$3,0,0,'Données projet'!$E$16+1,1))-AVERAGE(OFFSET($H$3,0,0,'Données projet'!$E$16+1,1))</f>
        <v>170.80796812111521</v>
      </c>
      <c r="FK44" s="59">
        <f t="shared" si="48"/>
        <v>249.84047400410321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9">
        <f t="shared" si="0"/>
        <v>940.8911465247445</v>
      </c>
      <c r="S45" s="59">
        <f ca="1">AVERAGE(OFFSET($R$3,0,0,'Données projet'!$E$9+1,1))-AVERAGE(OFFSET($H$3,0,0,'Données projet'!$E$9+1,1))</f>
        <v>333.02360594713667</v>
      </c>
      <c r="T45" s="59">
        <f t="shared" si="34"/>
        <v>546.58234447298014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42.491087742776685</v>
      </c>
      <c r="AB45" s="21">
        <f>EXP(-LN(2)/2)*AB44+(1-EXP(-LN(2)/2))/(LN(2)/2)*V45*Y45*VLOOKUP('Données projet'!$B$9,Paramètres!$A$1:$I$89,3,0)*0.475*44/12</f>
        <v>8.5846361240988234</v>
      </c>
      <c r="AC45" s="22">
        <f t="shared" si="3"/>
        <v>51.075723866875506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8.1999999999999993</v>
      </c>
      <c r="AI45" s="13">
        <f>IF('Données projet'!$A$62&gt;35,AI44+AH45-AQ44,IF(A45&lt;'Données projet'!$A$62,$AF$205^A45,IF(A45='Données projet'!$A$62,'Données projet'!$B$62,AI44+AH45-AQ44)))</f>
        <v>109.39999999999999</v>
      </c>
      <c r="AJ45" s="13">
        <f>AI45*VLOOKUP('Données projet'!$B$10,Paramètres!$A$1:$I$89,3,0)*VLOOKUP('Données projet'!$B$10,Paramètres!$A$1:$I$89,5,0)</f>
        <v>95.571840000000009</v>
      </c>
      <c r="AK45" s="13">
        <f t="shared" si="35"/>
        <v>25.90428480876994</v>
      </c>
      <c r="AL45" s="20">
        <f t="shared" si="4"/>
        <v>211.57091737527435</v>
      </c>
      <c r="AM45" s="59">
        <f t="shared" si="5"/>
        <v>504.90425070860766</v>
      </c>
      <c r="AN45" s="59">
        <f ca="1">AVERAGE(OFFSET($AM$3,0,0,'Données projet'!$E$10+1,1))-AVERAGE(OFFSET($H$3,0,0,'Données projet'!$E$10+1,1))</f>
        <v>243.26825841283591</v>
      </c>
      <c r="AO45" s="59">
        <f t="shared" si="36"/>
        <v>179.2944312100729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3.3527854517111293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3.3527854517111293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109.39999999999999</v>
      </c>
      <c r="BE45" s="13">
        <f>BD45*VLOOKUP('Données projet'!$B$11,Paramètres!$A$1:$I$89,3,0)*VLOOKUP('Données projet'!$B$11,Paramètres!$A$1:$I$89,5,0)</f>
        <v>80.212079999999986</v>
      </c>
      <c r="BF45" s="13">
        <f t="shared" si="37"/>
        <v>22.189030798521017</v>
      </c>
      <c r="BG45" s="20">
        <f t="shared" si="7"/>
        <v>178.34860130742405</v>
      </c>
      <c r="BH45" s="59">
        <f t="shared" si="8"/>
        <v>471.68193464075739</v>
      </c>
      <c r="BI45" s="59">
        <f ca="1">AVERAGE(OFFSET($BH$3,0,0,'Données projet'!$E$11+1,1))-AVERAGE(OFFSET($H$3,0,0,'Données projet'!$E$11+1,1))</f>
        <v>146.45728988963538</v>
      </c>
      <c r="BJ45" s="59">
        <f t="shared" si="38"/>
        <v>156.91778940341118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4.2209173990291884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4.2209173990291884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180.40000000000003</v>
      </c>
      <c r="BZ45" s="13">
        <f>BY45*VLOOKUP('Données projet'!$B$12,Paramètres!$A$1:$I$89,3,0)*VLOOKUP('Données projet'!$B$12,Paramètres!$A$1:$I$89,5,0)</f>
        <v>143.52624000000003</v>
      </c>
      <c r="CA45" s="13">
        <f t="shared" si="39"/>
        <v>37.103644337236275</v>
      </c>
      <c r="CB45" s="20">
        <f t="shared" si="10"/>
        <v>314.59704855401986</v>
      </c>
      <c r="CC45" s="59">
        <f t="shared" si="11"/>
        <v>607.93038188735318</v>
      </c>
      <c r="CD45" s="59">
        <f ca="1">AVERAGE(OFFSET($CC$3,0,0,'Données projet'!$E$12+1,1))-AVERAGE(OFFSET($H$3,0,0,'Données projet'!$E$12+1,1))</f>
        <v>238.71022302719206</v>
      </c>
      <c r="CE45" s="59">
        <f t="shared" si="40"/>
        <v>294.28794439094878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16.853514199618402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16.853514199618402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8.1999999999999993</v>
      </c>
      <c r="CT45" s="12">
        <f>IF('Données projet'!$A$140&gt;35,CT44+CS45-DB44,IF(A45&lt;'Données projet'!$A$140,$CQ$205^A45,IF(A45='Données projet'!$A$140,'Données projet'!$B$140,CT44+CS45-DB44)))</f>
        <v>180.40000000000003</v>
      </c>
      <c r="CU45" s="17">
        <f>CT45*VLOOKUP('Données projet'!$B$13,Paramètres!$A$1:$I$89,3,0)*VLOOKUP('Données projet'!$B$13,Paramètres!$A$1:$I$89,5,0)</f>
        <v>143.52624000000003</v>
      </c>
      <c r="CV45" s="13">
        <f t="shared" si="41"/>
        <v>37.103644337236275</v>
      </c>
      <c r="CW45" s="20">
        <f t="shared" si="13"/>
        <v>314.59704855401986</v>
      </c>
      <c r="CX45" s="59">
        <f t="shared" si="14"/>
        <v>607.93038188735318</v>
      </c>
      <c r="CY45" s="59">
        <f ca="1">AVERAGE(OFFSET($CX$3,0,0,'Données projet'!$E$13+1,1))-AVERAGE(OFFSET($H$3,0,0,'Données projet'!$E$13+1,1))</f>
        <v>238.71022302719206</v>
      </c>
      <c r="CZ45" s="59">
        <f t="shared" si="42"/>
        <v>294.28794439094878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16.853514199618402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16.853514199618402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8.1999999999999993</v>
      </c>
      <c r="DO45" s="12">
        <f>IF('Données projet'!$A$166&gt;35,DO44+DN45-DW44,IF(A45&lt;'Données projet'!$A$166,$DL$205^A45,IF(A45='Données projet'!$A$166,'Données projet'!$B$166,DO44+DN45-DW44)))</f>
        <v>109.39999999999999</v>
      </c>
      <c r="DP45" s="17">
        <f>DO45*VLOOKUP('Données projet'!$B$14,Paramètres!$A$1:$I$89,3,0)*VLOOKUP('Données projet'!$B$14,Paramètres!$A$1:$I$89,5,0)</f>
        <v>93.865200000000002</v>
      </c>
      <c r="DQ45" s="13">
        <f t="shared" si="43"/>
        <v>25.495124560846406</v>
      </c>
      <c r="DR45" s="20">
        <f t="shared" si="16"/>
        <v>207.8858986101408</v>
      </c>
      <c r="DS45" s="59">
        <f t="shared" si="17"/>
        <v>501.21923194347414</v>
      </c>
      <c r="DT45" s="59">
        <f ca="1">AVERAGE(OFFSET($DS$3,0,0,'Données projet'!$E$14+1,1))-AVERAGE(OFFSET($H$3,0,0,'Données projet'!$E$14+1,1))</f>
        <v>203.34232675618244</v>
      </c>
      <c r="DU45" s="59">
        <f t="shared" si="44"/>
        <v>176.81257896138806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6.0880624533251293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6.0880624533251293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8.4</v>
      </c>
      <c r="EJ45" s="12">
        <f>IF('Données projet'!$A$192&gt;35,EJ44+EI45-ER44,IF(A45&lt;'Données projet'!$A$192,$EG$205^A45,IF(A45='Données projet'!$A$192,'Données projet'!$B$192,EJ44+EI45-ER44)))</f>
        <v>132.80000000000001</v>
      </c>
      <c r="EK45" s="17">
        <f>EJ45*VLOOKUP('Données projet'!$B$15,Paramètres!$A$1:$I$89,3,0)*VLOOKUP('Données projet'!$B$15,Paramètres!$A$1:$I$89,5,0)</f>
        <v>128.44416000000001</v>
      </c>
      <c r="EL45" s="13">
        <f t="shared" si="45"/>
        <v>33.636598855068925</v>
      </c>
      <c r="EM45" s="20">
        <f t="shared" si="19"/>
        <v>282.29065500591173</v>
      </c>
      <c r="EN45" s="59">
        <f t="shared" si="20"/>
        <v>575.62398833924499</v>
      </c>
      <c r="EO45" s="59">
        <f ca="1">AVERAGE(OFFSET($EN$3,0,0,'Données projet'!$E$15+1,1))-AVERAGE(OFFSET($H$3,0,0,'Données projet'!$E$15+1,1))</f>
        <v>218.78765033569107</v>
      </c>
      <c r="EP45" s="59">
        <f t="shared" si="46"/>
        <v>246.54010105494137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8.1999999999999993</v>
      </c>
      <c r="FE45" s="12">
        <f>IF('Données projet'!$A$218&gt;35,FE44+FD45-FM44,IF(A45&lt;'Données projet'!$A$218,$FB$205^A45,IF(A45='Données projet'!$A$218,'Données projet'!$B$218,FE44+FD45-FM44)))</f>
        <v>180.40000000000003</v>
      </c>
      <c r="FF45" s="17">
        <f>FE45*VLOOKUP('Données projet'!$B$16,Paramètres!$A$1:$I$89,3,0)*VLOOKUP('Données projet'!$B$16,Paramètres!$A$1:$I$89,5,0)</f>
        <v>118.19808000000003</v>
      </c>
      <c r="FG45" s="13">
        <f t="shared" si="47"/>
        <v>31.254361690638479</v>
      </c>
      <c r="FH45" s="20">
        <f t="shared" si="22"/>
        <v>260.29633594452872</v>
      </c>
      <c r="FI45" s="59">
        <f t="shared" si="23"/>
        <v>553.62966927786204</v>
      </c>
      <c r="FJ45" s="59">
        <f ca="1">AVERAGE(OFFSET($FI$3,0,0,'Données projet'!$E$16+1,1))-AVERAGE(OFFSET($H$3,0,0,'Données projet'!$E$16+1,1))</f>
        <v>170.80796812111521</v>
      </c>
      <c r="FK45" s="59">
        <f t="shared" si="48"/>
        <v>249.84047400410321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9">
        <f t="shared" si="0"/>
        <v>967.73032505918468</v>
      </c>
      <c r="S46" s="59">
        <f ca="1">AVERAGE(OFFSET($R$3,0,0,'Données projet'!$E$9+1,1))-AVERAGE(OFFSET($H$3,0,0,'Données projet'!$E$9+1,1))</f>
        <v>333.02360594713667</v>
      </c>
      <c r="T46" s="59">
        <f t="shared" si="34"/>
        <v>546.58234447298014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41.32916671394127</v>
      </c>
      <c r="AB46" s="21">
        <f>EXP(-LN(2)/2)*AB45+(1-EXP(-LN(2)/2))/(LN(2)/2)*V46*Y46*VLOOKUP('Données projet'!$B$9,Paramètres!$A$1:$I$89,3,0)*0.475*44/12</f>
        <v>6.070254417369279</v>
      </c>
      <c r="AC46" s="22">
        <f t="shared" si="3"/>
        <v>47.399421131310547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8.1999999999999993</v>
      </c>
      <c r="AI46" s="13">
        <f>IF('Données projet'!$A$62&gt;35,AI45+AH46-AQ45,IF(A46&lt;'Données projet'!$A$62,$AF$205^A46,IF(A46='Données projet'!$A$62,'Données projet'!$B$62,AI45+AH46-AQ45)))</f>
        <v>117.6</v>
      </c>
      <c r="AJ46" s="13">
        <f>AI46*VLOOKUP('Données projet'!$B$10,Paramètres!$A$1:$I$89,3,0)*VLOOKUP('Données projet'!$B$10,Paramètres!$A$1:$I$89,5,0)</f>
        <v>102.73536000000001</v>
      </c>
      <c r="AK46" s="13">
        <f t="shared" si="35"/>
        <v>27.612632326357044</v>
      </c>
      <c r="AL46" s="20">
        <f t="shared" si="4"/>
        <v>227.0227533017385</v>
      </c>
      <c r="AM46" s="59">
        <f t="shared" si="5"/>
        <v>520.35608663507185</v>
      </c>
      <c r="AN46" s="59">
        <f ca="1">AVERAGE(OFFSET($AM$3,0,0,'Données projet'!$E$10+1,1))-AVERAGE(OFFSET($H$3,0,0,'Données projet'!$E$10+1,1))</f>
        <v>243.26825841283591</v>
      </c>
      <c r="AO46" s="59">
        <f t="shared" si="36"/>
        <v>179.2944312100729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3.287039374000273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3.287039374000273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117.6</v>
      </c>
      <c r="BE46" s="13">
        <f>BD46*VLOOKUP('Données projet'!$B$11,Paramètres!$A$1:$I$89,3,0)*VLOOKUP('Données projet'!$B$11,Paramètres!$A$1:$I$89,5,0)</f>
        <v>86.224319999999992</v>
      </c>
      <c r="BF46" s="13">
        <f t="shared" si="37"/>
        <v>23.652363060428655</v>
      </c>
      <c r="BG46" s="20">
        <f t="shared" si="7"/>
        <v>191.36855633024655</v>
      </c>
      <c r="BH46" s="59">
        <f t="shared" si="8"/>
        <v>484.70188966357989</v>
      </c>
      <c r="BI46" s="59">
        <f ca="1">AVERAGE(OFFSET($BH$3,0,0,'Données projet'!$E$11+1,1))-AVERAGE(OFFSET($H$3,0,0,'Données projet'!$E$11+1,1))</f>
        <v>146.45728988963538</v>
      </c>
      <c r="BJ46" s="59">
        <f t="shared" si="38"/>
        <v>156.91778940341118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4.1381477833396278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4.1381477833396278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188.60000000000002</v>
      </c>
      <c r="BZ46" s="13">
        <f>BY46*VLOOKUP('Données projet'!$B$12,Paramètres!$A$1:$I$89,3,0)*VLOOKUP('Données projet'!$B$12,Paramètres!$A$1:$I$89,5,0)</f>
        <v>150.05016000000001</v>
      </c>
      <c r="CA46" s="13">
        <f t="shared" si="39"/>
        <v>38.589984439024605</v>
      </c>
      <c r="CB46" s="20">
        <f t="shared" si="10"/>
        <v>328.54825156463448</v>
      </c>
      <c r="CC46" s="59">
        <f t="shared" si="11"/>
        <v>621.88158489796774</v>
      </c>
      <c r="CD46" s="59">
        <f ca="1">AVERAGE(OFFSET($CC$3,0,0,'Données projet'!$E$12+1,1))-AVERAGE(OFFSET($H$3,0,0,'Données projet'!$E$12+1,1))</f>
        <v>238.71022302719206</v>
      </c>
      <c r="CE46" s="59">
        <f t="shared" si="40"/>
        <v>294.28794439094878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16.523027065792519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16.523027065792519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8.1999999999999993</v>
      </c>
      <c r="CT46" s="12">
        <f>IF('Données projet'!$A$140&gt;35,CT45+CS46-DB45,IF(A46&lt;'Données projet'!$A$140,$CQ$205^A46,IF(A46='Données projet'!$A$140,'Données projet'!$B$140,CT45+CS46-DB45)))</f>
        <v>188.60000000000002</v>
      </c>
      <c r="CU46" s="17">
        <f>CT46*VLOOKUP('Données projet'!$B$13,Paramètres!$A$1:$I$89,3,0)*VLOOKUP('Données projet'!$B$13,Paramètres!$A$1:$I$89,5,0)</f>
        <v>150.05016000000001</v>
      </c>
      <c r="CV46" s="13">
        <f t="shared" si="41"/>
        <v>38.589984439024605</v>
      </c>
      <c r="CW46" s="20">
        <f t="shared" si="13"/>
        <v>328.54825156463448</v>
      </c>
      <c r="CX46" s="59">
        <f t="shared" si="14"/>
        <v>621.88158489796774</v>
      </c>
      <c r="CY46" s="59">
        <f ca="1">AVERAGE(OFFSET($CX$3,0,0,'Données projet'!$E$13+1,1))-AVERAGE(OFFSET($H$3,0,0,'Données projet'!$E$13+1,1))</f>
        <v>238.71022302719206</v>
      </c>
      <c r="CZ46" s="59">
        <f t="shared" si="42"/>
        <v>294.28794439094878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16.523027065792519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16.523027065792519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8.1999999999999993</v>
      </c>
      <c r="DO46" s="12">
        <f>IF('Données projet'!$A$166&gt;35,DO45+DN46-DW45,IF(A46&lt;'Données projet'!$A$166,$DL$205^A46,IF(A46='Données projet'!$A$166,'Données projet'!$B$166,DO45+DN46-DW45)))</f>
        <v>117.6</v>
      </c>
      <c r="DP46" s="17">
        <f>DO46*VLOOKUP('Données projet'!$B$14,Paramètres!$A$1:$I$89,3,0)*VLOOKUP('Données projet'!$B$14,Paramètres!$A$1:$I$89,5,0)</f>
        <v>100.90080000000002</v>
      </c>
      <c r="DQ46" s="13">
        <f t="shared" si="43"/>
        <v>27.176488592921537</v>
      </c>
      <c r="DR46" s="20">
        <f t="shared" si="16"/>
        <v>223.06794429933836</v>
      </c>
      <c r="DS46" s="59">
        <f t="shared" si="17"/>
        <v>516.40127763267174</v>
      </c>
      <c r="DT46" s="59">
        <f ca="1">AVERAGE(OFFSET($DS$3,0,0,'Données projet'!$E$14+1,1))-AVERAGE(OFFSET($H$3,0,0,'Données projet'!$E$14+1,1))</f>
        <v>203.34232675618244</v>
      </c>
      <c r="DU46" s="59">
        <f t="shared" si="44"/>
        <v>176.81257896138806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5.9686792619668569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5.9686792619668569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8.4</v>
      </c>
      <c r="EJ46" s="12">
        <f>IF('Données projet'!$A$192&gt;35,EJ45+EI46-ER45,IF(A46&lt;'Données projet'!$A$192,$EG$205^A46,IF(A46='Données projet'!$A$192,'Données projet'!$B$192,EJ45+EI46-ER45)))</f>
        <v>141.20000000000002</v>
      </c>
      <c r="EK46" s="17">
        <f>EJ46*VLOOKUP('Données projet'!$B$15,Paramètres!$A$1:$I$89,3,0)*VLOOKUP('Données projet'!$B$15,Paramètres!$A$1:$I$89,5,0)</f>
        <v>136.56864000000002</v>
      </c>
      <c r="EL46" s="13">
        <f t="shared" si="45"/>
        <v>35.509797430964703</v>
      </c>
      <c r="EM46" s="20">
        <f t="shared" si="19"/>
        <v>299.70327852559689</v>
      </c>
      <c r="EN46" s="59">
        <f t="shared" si="20"/>
        <v>593.0366118589302</v>
      </c>
      <c r="EO46" s="59">
        <f ca="1">AVERAGE(OFFSET($EN$3,0,0,'Données projet'!$E$15+1,1))-AVERAGE(OFFSET($H$3,0,0,'Données projet'!$E$15+1,1))</f>
        <v>218.78765033569107</v>
      </c>
      <c r="EP46" s="59">
        <f t="shared" si="46"/>
        <v>246.54010105494137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8.1999999999999993</v>
      </c>
      <c r="FE46" s="12">
        <f>IF('Données projet'!$A$218&gt;35,FE45+FD46-FM45,IF(A46&lt;'Données projet'!$A$218,$FB$205^A46,IF(A46='Données projet'!$A$218,'Données projet'!$B$218,FE45+FD46-FM45)))</f>
        <v>188.60000000000002</v>
      </c>
      <c r="FF46" s="17">
        <f>FE46*VLOOKUP('Données projet'!$B$16,Paramètres!$A$1:$I$89,3,0)*VLOOKUP('Données projet'!$B$16,Paramètres!$A$1:$I$89,5,0)</f>
        <v>123.57072000000001</v>
      </c>
      <c r="FG46" s="13">
        <f t="shared" si="47"/>
        <v>32.506384557027673</v>
      </c>
      <c r="FH46" s="20">
        <f t="shared" si="22"/>
        <v>271.83429043682321</v>
      </c>
      <c r="FI46" s="59">
        <f t="shared" si="23"/>
        <v>565.16762377015652</v>
      </c>
      <c r="FJ46" s="59">
        <f ca="1">AVERAGE(OFFSET($FI$3,0,0,'Données projet'!$E$16+1,1))-AVERAGE(OFFSET($H$3,0,0,'Données projet'!$E$16+1,1))</f>
        <v>170.80796812111521</v>
      </c>
      <c r="FK46" s="59">
        <f t="shared" si="48"/>
        <v>249.84047400410321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9">
        <f t="shared" si="0"/>
        <v>994.54756913734627</v>
      </c>
      <c r="S47" s="59">
        <f ca="1">AVERAGE(OFFSET($R$3,0,0,'Données projet'!$E$9+1,1))-AVERAGE(OFFSET($H$3,0,0,'Données projet'!$E$9+1,1))</f>
        <v>333.02360594713667</v>
      </c>
      <c r="T47" s="59">
        <f t="shared" si="34"/>
        <v>546.58234447298014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40.199018476742125</v>
      </c>
      <c r="AB47" s="21">
        <f>EXP(-LN(2)/2)*AB46+(1-EXP(-LN(2)/2))/(LN(2)/2)*V47*Y47*VLOOKUP('Données projet'!$B$9,Paramètres!$A$1:$I$89,3,0)*0.475*44/12</f>
        <v>4.2923180620494126</v>
      </c>
      <c r="AC47" s="22">
        <f t="shared" si="3"/>
        <v>44.491336538791536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8.1999999999999993</v>
      </c>
      <c r="AI47" s="13">
        <f>IF('Données projet'!$A$62&gt;35,AI46+AH47-AQ46,IF(A47&lt;'Données projet'!$A$62,$AF$205^A47,IF(A47='Données projet'!$A$62,'Données projet'!$B$62,AI46+AH47-AQ46)))</f>
        <v>125.8</v>
      </c>
      <c r="AJ47" s="13">
        <f>AI47*VLOOKUP('Données projet'!$B$10,Paramètres!$A$1:$I$89,3,0)*VLOOKUP('Données projet'!$B$10,Paramètres!$A$1:$I$89,5,0)</f>
        <v>109.89888000000002</v>
      </c>
      <c r="AK47" s="13">
        <f t="shared" si="35"/>
        <v>29.307158636756704</v>
      </c>
      <c r="AL47" s="20">
        <f t="shared" si="4"/>
        <v>242.45051729235126</v>
      </c>
      <c r="AM47" s="59">
        <f t="shared" si="5"/>
        <v>535.78385062568464</v>
      </c>
      <c r="AN47" s="59">
        <f ca="1">AVERAGE(OFFSET($AM$3,0,0,'Données projet'!$E$10+1,1))-AVERAGE(OFFSET($H$3,0,0,'Données projet'!$E$10+1,1))</f>
        <v>243.26825841283591</v>
      </c>
      <c r="AO47" s="59">
        <f t="shared" si="36"/>
        <v>179.2944312100729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3.2225825367721788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3.2225825367721788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125.8</v>
      </c>
      <c r="BE47" s="13">
        <f>BD47*VLOOKUP('Données projet'!$B$11,Paramètres!$A$1:$I$89,3,0)*VLOOKUP('Données projet'!$B$11,Paramètres!$A$1:$I$89,5,0)</f>
        <v>92.236559999999997</v>
      </c>
      <c r="BF47" s="13">
        <f t="shared" si="37"/>
        <v>25.103856385487894</v>
      </c>
      <c r="BG47" s="20">
        <f t="shared" si="7"/>
        <v>204.36789187139138</v>
      </c>
      <c r="BH47" s="59">
        <f t="shared" si="8"/>
        <v>497.70122520472466</v>
      </c>
      <c r="BI47" s="59">
        <f ca="1">AVERAGE(OFFSET($BH$3,0,0,'Données projet'!$E$11+1,1))-AVERAGE(OFFSET($H$3,0,0,'Données projet'!$E$11+1,1))</f>
        <v>146.45728988963538</v>
      </c>
      <c r="BJ47" s="59">
        <f t="shared" si="38"/>
        <v>156.91778940341118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4.0570012293292592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4.0570012293292592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196.8</v>
      </c>
      <c r="BZ47" s="13">
        <f>BY47*VLOOKUP('Données projet'!$B$12,Paramètres!$A$1:$I$89,3,0)*VLOOKUP('Données projet'!$B$12,Paramètres!$A$1:$I$89,5,0)</f>
        <v>156.57408000000001</v>
      </c>
      <c r="CA47" s="13">
        <f t="shared" si="39"/>
        <v>40.068818872547467</v>
      </c>
      <c r="CB47" s="20">
        <f t="shared" si="10"/>
        <v>342.48638220302018</v>
      </c>
      <c r="CC47" s="59">
        <f t="shared" si="11"/>
        <v>635.81971553635344</v>
      </c>
      <c r="CD47" s="59">
        <f ca="1">AVERAGE(OFFSET($CC$3,0,0,'Données projet'!$E$12+1,1))-AVERAGE(OFFSET($H$3,0,0,'Données projet'!$E$12+1,1))</f>
        <v>238.71022302719206</v>
      </c>
      <c r="CE47" s="59">
        <f t="shared" si="40"/>
        <v>294.28794439094878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16.199020583083712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16.199020583083712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8.1999999999999993</v>
      </c>
      <c r="CT47" s="12">
        <f>IF('Données projet'!$A$140&gt;35,CT46+CS47-DB46,IF(A47&lt;'Données projet'!$A$140,$CQ$205^A47,IF(A47='Données projet'!$A$140,'Données projet'!$B$140,CT46+CS47-DB46)))</f>
        <v>196.8</v>
      </c>
      <c r="CU47" s="17">
        <f>CT47*VLOOKUP('Données projet'!$B$13,Paramètres!$A$1:$I$89,3,0)*VLOOKUP('Données projet'!$B$13,Paramètres!$A$1:$I$89,5,0)</f>
        <v>156.57408000000001</v>
      </c>
      <c r="CV47" s="13">
        <f t="shared" si="41"/>
        <v>40.068818872547467</v>
      </c>
      <c r="CW47" s="20">
        <f t="shared" si="13"/>
        <v>342.48638220302018</v>
      </c>
      <c r="CX47" s="59">
        <f t="shared" si="14"/>
        <v>635.81971553635344</v>
      </c>
      <c r="CY47" s="59">
        <f ca="1">AVERAGE(OFFSET($CX$3,0,0,'Données projet'!$E$13+1,1))-AVERAGE(OFFSET($H$3,0,0,'Données projet'!$E$13+1,1))</f>
        <v>238.71022302719206</v>
      </c>
      <c r="CZ47" s="59">
        <f t="shared" si="42"/>
        <v>294.28794439094878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16.199020583083712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16.199020583083712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8.1999999999999993</v>
      </c>
      <c r="DO47" s="12">
        <f>IF('Données projet'!$A$166&gt;35,DO46+DN47-DW46,IF(A47&lt;'Données projet'!$A$166,$DL$205^A47,IF(A47='Données projet'!$A$166,'Données projet'!$B$166,DO46+DN47-DW46)))</f>
        <v>125.8</v>
      </c>
      <c r="DP47" s="17">
        <f>DO47*VLOOKUP('Données projet'!$B$14,Paramètres!$A$1:$I$89,3,0)*VLOOKUP('Données projet'!$B$14,Paramètres!$A$1:$I$89,5,0)</f>
        <v>107.93640000000001</v>
      </c>
      <c r="DQ47" s="13">
        <f t="shared" si="43"/>
        <v>28.844249724880857</v>
      </c>
      <c r="DR47" s="20">
        <f t="shared" si="16"/>
        <v>238.22629827083418</v>
      </c>
      <c r="DS47" s="59">
        <f t="shared" si="17"/>
        <v>531.55963160416752</v>
      </c>
      <c r="DT47" s="59">
        <f ca="1">AVERAGE(OFFSET($DS$3,0,0,'Données projet'!$E$14+1,1))-AVERAGE(OFFSET($H$3,0,0,'Données projet'!$E$14+1,1))</f>
        <v>203.34232675618244</v>
      </c>
      <c r="DU47" s="59">
        <f t="shared" si="44"/>
        <v>176.81257896138806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5.8516371021745641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5.8516371021745641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8.4</v>
      </c>
      <c r="EJ47" s="12">
        <f>IF('Données projet'!$A$192&gt;35,EJ46+EI47-ER46,IF(A47&lt;'Données projet'!$A$192,$EG$205^A47,IF(A47='Données projet'!$A$192,'Données projet'!$B$192,EJ46+EI47-ER46)))</f>
        <v>149.60000000000002</v>
      </c>
      <c r="EK47" s="17">
        <f>EJ47*VLOOKUP('Données projet'!$B$15,Paramètres!$A$1:$I$89,3,0)*VLOOKUP('Données projet'!$B$15,Paramètres!$A$1:$I$89,5,0)</f>
        <v>144.69312000000002</v>
      </c>
      <c r="EL47" s="13">
        <f t="shared" si="45"/>
        <v>37.370061524802772</v>
      </c>
      <c r="EM47" s="20">
        <f t="shared" si="19"/>
        <v>317.09337448903148</v>
      </c>
      <c r="EN47" s="59">
        <f t="shared" si="20"/>
        <v>610.42670782236473</v>
      </c>
      <c r="EO47" s="59">
        <f ca="1">AVERAGE(OFFSET($EN$3,0,0,'Données projet'!$E$15+1,1))-AVERAGE(OFFSET($H$3,0,0,'Données projet'!$E$15+1,1))</f>
        <v>218.78765033569107</v>
      </c>
      <c r="EP47" s="59">
        <f t="shared" si="46"/>
        <v>246.54010105494137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8.1999999999999993</v>
      </c>
      <c r="FE47" s="12">
        <f>IF('Données projet'!$A$218&gt;35,FE46+FD47-FM46,IF(A47&lt;'Données projet'!$A$218,$FB$205^A47,IF(A47='Données projet'!$A$218,'Données projet'!$B$218,FE46+FD47-FM46)))</f>
        <v>196.8</v>
      </c>
      <c r="FF47" s="17">
        <f>FE47*VLOOKUP('Données projet'!$B$16,Paramètres!$A$1:$I$89,3,0)*VLOOKUP('Données projet'!$B$16,Paramètres!$A$1:$I$89,5,0)</f>
        <v>128.94336000000001</v>
      </c>
      <c r="FG47" s="13">
        <f t="shared" si="47"/>
        <v>33.752085002132198</v>
      </c>
      <c r="FH47" s="20">
        <f t="shared" si="22"/>
        <v>283.36123337871362</v>
      </c>
      <c r="FI47" s="59">
        <f t="shared" si="23"/>
        <v>576.69456671204694</v>
      </c>
      <c r="FJ47" s="59">
        <f ca="1">AVERAGE(OFFSET($FI$3,0,0,'Données projet'!$E$16+1,1))-AVERAGE(OFFSET($H$3,0,0,'Données projet'!$E$16+1,1))</f>
        <v>170.80796812111521</v>
      </c>
      <c r="FK47" s="59">
        <f t="shared" si="48"/>
        <v>249.84047400410321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9">
        <f t="shared" si="0"/>
        <v>1021.3438344153706</v>
      </c>
      <c r="S48" s="59">
        <f ca="1">AVERAGE(OFFSET($R$3,0,0,'Données projet'!$E$9+1,1))-AVERAGE(OFFSET($H$3,0,0,'Données projet'!$E$9+1,1))</f>
        <v>333.02360594713667</v>
      </c>
      <c r="T48" s="59">
        <f t="shared" si="34"/>
        <v>546.58234447298014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606</v>
      </c>
      <c r="W48" s="16">
        <f>IF(ISNA(VLOOKUP(A48,'Données projet'!$A$35:$I$55,5,0)),0%,VLOOKUP(A48,'Données projet'!$A$35:$I$55,5,0)*VLOOKUP('Données projet'!$B$9,Paramètres!$A$1:$I$89,7,0))</f>
        <v>0.38500000000000001</v>
      </c>
      <c r="X48" s="16">
        <f>IF(ISNA(VLOOKUP(A48,'Données projet'!$A$35:$I$55,6,0)),0%,VLOOKUP(A48,'Données projet'!$A$35:$I$55,6,0)*VLOOKUP('Données projet'!$B$9,Paramètres!$A$1:$I$89,7,0))</f>
        <v>0.11000000000000001</v>
      </c>
      <c r="Y48" s="16">
        <f>IF(ISNA(VLOOKUP(A48,'Données projet'!$A$35:$I$55,7,0)),0%,VLOOKUP(A48,'Données projet'!$A$35:$I$55,7,0))</f>
        <v>0.1</v>
      </c>
      <c r="Z48" s="21">
        <f>EXP(-LN(2)/35)*Z47+(1-EXP(-LN(2)/35))/(LN(2)/35)*V48*W48*VLOOKUP('Données projet'!$B$9,Paramètres!$A$1:$I$89,3,0)*0.475*44/12</f>
        <v>173.01092098211691</v>
      </c>
      <c r="AA48" s="21">
        <f>EXP(-LN(2)/25)*AA47+(1-EXP(-LN(2)/25))/(LN(2)/25)*Calculateur!V48*Calculateur!X48*VLOOKUP('Données projet'!$B$9,Paramètres!$A$1:$I$89,3,0)*0.475*44/12</f>
        <v>88.336834506487179</v>
      </c>
      <c r="AB48" s="21">
        <f>EXP(-LN(2)/2)*AB47+(1-EXP(-LN(2)/2))/(LN(2)/2)*V48*Y48*VLOOKUP('Données projet'!$B$9,Paramètres!$A$1:$I$89,3,0)*0.475*44/12</f>
        <v>41.389949180312691</v>
      </c>
      <c r="AC48" s="22">
        <f t="shared" si="3"/>
        <v>302.73770466891676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134</v>
      </c>
      <c r="AG48" s="12">
        <f>VLOOKUP(A48,'Données projet'!$A$61:$I$81,9,0)</f>
        <v>8.1999999999999993</v>
      </c>
      <c r="AH48" s="12">
        <f t="array" ref="AH48">INDEX(AG:AG,MIN(IF(ISNUMBER(AG48:AG244),ROW(AG48:AG244),"")))</f>
        <v>8.1999999999999993</v>
      </c>
      <c r="AI48" s="13">
        <f>IF('Données projet'!$A$62&gt;35,AI47+AH48-AQ47,IF(A48&lt;'Données projet'!$A$62,$AF$205^A48,IF(A48='Données projet'!$A$62,'Données projet'!$B$62,AI47+AH48-AQ47)))</f>
        <v>134</v>
      </c>
      <c r="AJ48" s="13">
        <f>AI48*VLOOKUP('Données projet'!$B$10,Paramètres!$A$1:$I$89,3,0)*VLOOKUP('Données projet'!$B$10,Paramètres!$A$1:$I$89,5,0)</f>
        <v>117.06240000000001</v>
      </c>
      <c r="AK48" s="13">
        <f t="shared" si="35"/>
        <v>30.988867171899152</v>
      </c>
      <c r="AL48" s="20">
        <f t="shared" si="4"/>
        <v>257.85595699105767</v>
      </c>
      <c r="AM48" s="59">
        <f t="shared" si="5"/>
        <v>551.18929032439098</v>
      </c>
      <c r="AN48" s="59">
        <f ca="1">AVERAGE(OFFSET($AM$3,0,0,'Données projet'!$E$10+1,1))-AVERAGE(OFFSET($H$3,0,0,'Données projet'!$E$10+1,1))</f>
        <v>243.26825841283591</v>
      </c>
      <c r="AO48" s="59">
        <f t="shared" si="36"/>
        <v>179.2944312100729</v>
      </c>
      <c r="AP48" s="15">
        <f>IF(ISNA(VLOOKUP(A48,'Données projet'!$A$61:$I$81,3,0)),0,VLOOKUP(A48,'Données projet'!$A$61:$I$81,3,0))</f>
        <v>4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0.17200000000000001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6.6476386507060052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6.6476386507060052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134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134</v>
      </c>
      <c r="BE48" s="13">
        <f>BD48*VLOOKUP('Données projet'!$B$11,Paramètres!$A$1:$I$89,3,0)*VLOOKUP('Données projet'!$B$11,Paramètres!$A$1:$I$89,5,0)</f>
        <v>98.248800000000003</v>
      </c>
      <c r="BF48" s="13">
        <f t="shared" si="37"/>
        <v>26.544370291039833</v>
      </c>
      <c r="BG48" s="20">
        <f t="shared" si="7"/>
        <v>217.34810492356107</v>
      </c>
      <c r="BH48" s="59">
        <f t="shared" si="8"/>
        <v>510.68143825689435</v>
      </c>
      <c r="BI48" s="59">
        <f ca="1">AVERAGE(OFFSET($BH$3,0,0,'Données projet'!$E$11+1,1))-AVERAGE(OFFSET($H$3,0,0,'Données projet'!$E$11+1,1))</f>
        <v>146.45728988963538</v>
      </c>
      <c r="BJ48" s="59">
        <f t="shared" si="38"/>
        <v>156.91778940341118</v>
      </c>
      <c r="BK48" s="15">
        <f>IF(ISNA(VLOOKUP(A48,'Données projet'!$A$87:$I$107,3,0)),0,VLOOKUP(A48,'Données projet'!$A$87:$I$107,3,0))</f>
        <v>4</v>
      </c>
      <c r="BL48" s="15">
        <f>IF(ISNA(VLOOKUP(A48,'Données projet'!$A$87:$I$107,4,0)),0,VLOOKUP(A48,'Données projet'!$A$87:$I$107,4,0))</f>
        <v>21</v>
      </c>
      <c r="BM48" s="16">
        <f>IF(ISNA(VLOOKUP(A48,'Données projet'!$A$87:$I$107,5,0)),0%,VLOOKUP(A48,'Données projet'!$A$87:$I$107,5,0)*VLOOKUP('Données projet'!$B$11,Paramètres!$A$1:$I$89,7,0))</f>
        <v>0.34400000000000003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9.832721003292713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9.832721003292713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205</v>
      </c>
      <c r="BZ48" s="13">
        <f>BY48*VLOOKUP('Données projet'!$B$12,Paramètres!$A$1:$I$89,3,0)*VLOOKUP('Données projet'!$B$12,Paramètres!$A$1:$I$89,5,0)</f>
        <v>163.09800000000001</v>
      </c>
      <c r="CA48" s="13">
        <f t="shared" si="39"/>
        <v>41.540496136845142</v>
      </c>
      <c r="CB48" s="20">
        <f t="shared" si="10"/>
        <v>356.41204743833867</v>
      </c>
      <c r="CC48" s="59">
        <f t="shared" si="11"/>
        <v>649.74538077167199</v>
      </c>
      <c r="CD48" s="59">
        <f ca="1">AVERAGE(OFFSET($CC$3,0,0,'Données projet'!$E$12+1,1))-AVERAGE(OFFSET($H$3,0,0,'Données projet'!$E$12+1,1))</f>
        <v>238.71022302719206</v>
      </c>
      <c r="CE48" s="59">
        <f t="shared" si="40"/>
        <v>294.28794439094878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0.42400000000000004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24.085457788221824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24.085457788221824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205</v>
      </c>
      <c r="CR48" s="12">
        <f>VLOOKUP(A48,'Données projet'!$A$139:$I$159,9,0)</f>
        <v>8.1999999999999993</v>
      </c>
      <c r="CS48" s="12">
        <f t="array" ref="CS48">INDEX(CR:CR,MIN(IF(ISNUMBER(CR48:CR244),ROW(CR48:CR244),"")))</f>
        <v>8.1999999999999993</v>
      </c>
      <c r="CT48" s="12">
        <f>IF('Données projet'!$A$140&gt;35,CT47+CS48-DB47,IF(A48&lt;'Données projet'!$A$140,$CQ$205^A48,IF(A48='Données projet'!$A$140,'Données projet'!$B$140,CT47+CS48-DB47)))</f>
        <v>205</v>
      </c>
      <c r="CU48" s="17">
        <f>CT48*VLOOKUP('Données projet'!$B$13,Paramètres!$A$1:$I$89,3,0)*VLOOKUP('Données projet'!$B$13,Paramètres!$A$1:$I$89,5,0)</f>
        <v>163.09800000000001</v>
      </c>
      <c r="CV48" s="13">
        <f t="shared" si="41"/>
        <v>41.540496136845142</v>
      </c>
      <c r="CW48" s="20">
        <f t="shared" si="13"/>
        <v>356.41204743833867</v>
      </c>
      <c r="CX48" s="59">
        <f t="shared" si="14"/>
        <v>649.74538077167199</v>
      </c>
      <c r="CY48" s="59">
        <f ca="1">AVERAGE(OFFSET($CX$3,0,0,'Données projet'!$E$13+1,1))-AVERAGE(OFFSET($H$3,0,0,'Données projet'!$E$13+1,1))</f>
        <v>238.71022302719206</v>
      </c>
      <c r="CZ48" s="59">
        <f t="shared" si="42"/>
        <v>294.28794439094878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22</v>
      </c>
      <c r="DC48" s="16">
        <f>IF(ISNA(VLOOKUP(A48,'Données projet'!$A$139:$I$159,5,0)),0%,VLOOKUP(A48,'Données projet'!$A$139:$I$159,5,0)*VLOOKUP('Données projet'!$B$13,Paramètres!$A$1:$I$89,7,0))</f>
        <v>0.42400000000000004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24.085457788221824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24.085457788221824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134</v>
      </c>
      <c r="DM48" s="12">
        <f>VLOOKUP(A48,'Données projet'!$A$165:$I$185,9,0)</f>
        <v>8.1999999999999993</v>
      </c>
      <c r="DN48" s="12">
        <f t="array" ref="DN48">INDEX(DM:DM,MIN(IF(ISNUMBER(DM48:DM244),ROW(DM48:DM244),"")))</f>
        <v>8.1999999999999993</v>
      </c>
      <c r="DO48" s="12">
        <f>IF('Données projet'!$A$166&gt;35,DO47+DN48-DW47,IF(A48&lt;'Données projet'!$A$166,$DL$205^A48,IF(A48='Données projet'!$A$166,'Données projet'!$B$166,DO47+DN48-DW47)))</f>
        <v>134</v>
      </c>
      <c r="DP48" s="17">
        <f>DO48*VLOOKUP('Données projet'!$B$14,Paramètres!$A$1:$I$89,3,0)*VLOOKUP('Données projet'!$B$14,Paramètres!$A$1:$I$89,5,0)</f>
        <v>114.97200000000001</v>
      </c>
      <c r="DQ48" s="13">
        <f t="shared" si="43"/>
        <v>30.499395539367107</v>
      </c>
      <c r="DR48" s="20">
        <f t="shared" si="16"/>
        <v>253.36268056439769</v>
      </c>
      <c r="DS48" s="59">
        <f t="shared" si="17"/>
        <v>546.69601389773106</v>
      </c>
      <c r="DT48" s="59">
        <f ca="1">AVERAGE(OFFSET($DS$3,0,0,'Données projet'!$E$14+1,1))-AVERAGE(OFFSET($H$3,0,0,'Données projet'!$E$14+1,1))</f>
        <v>203.34232675618244</v>
      </c>
      <c r="DU48" s="59">
        <f t="shared" si="44"/>
        <v>176.81257896138806</v>
      </c>
      <c r="DV48" s="15">
        <f>IF(ISNA(VLOOKUP(A48,'Données projet'!$A$165:$I$185,3,0)),0,VLOOKUP(A48,'Données projet'!$A$165:$I$185,3,0))</f>
        <v>4</v>
      </c>
      <c r="DW48" s="15">
        <f>IF(ISNA(VLOOKUP(A48,'Données projet'!$A$165:$I$185,4,0)),0,VLOOKUP(A48,'Données projet'!$A$165:$I$185,4,0))</f>
        <v>21</v>
      </c>
      <c r="DX48" s="16">
        <f>IF(ISNA(VLOOKUP(A48,'Données projet'!$A$165:$I$185,5,0)),0%,VLOOKUP(A48,'Données projet'!$A$165:$I$185,5,0)*VLOOKUP('Données projet'!$B$14,Paramètres!$A$1:$I$89,7,0))</f>
        <v>0.42400000000000004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14.182276954279203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14.182276954279203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158</v>
      </c>
      <c r="EH48" s="12">
        <f>VLOOKUP(A48,'Données projet'!$A$191:$I$211,9,0)</f>
        <v>8.4</v>
      </c>
      <c r="EI48" s="12">
        <f t="array" ref="EI48">INDEX(EH:EH,MIN(IF(ISNUMBER(EH48:EH244),ROW(EH48:EH244),"")))</f>
        <v>8.4</v>
      </c>
      <c r="EJ48" s="12">
        <f>IF('Données projet'!$A$192&gt;35,EJ47+EI48-ER47,IF(A48&lt;'Données projet'!$A$192,$EG$205^A48,IF(A48='Données projet'!$A$192,'Données projet'!$B$192,EJ47+EI48-ER47)))</f>
        <v>158.00000000000003</v>
      </c>
      <c r="EK48" s="17">
        <f>EJ48*VLOOKUP('Données projet'!$B$15,Paramètres!$A$1:$I$89,3,0)*VLOOKUP('Données projet'!$B$15,Paramètres!$A$1:$I$89,5,0)</f>
        <v>152.81760000000003</v>
      </c>
      <c r="EL48" s="13">
        <f t="shared" si="45"/>
        <v>39.218200171484227</v>
      </c>
      <c r="EM48" s="20">
        <f t="shared" si="19"/>
        <v>334.46235196533502</v>
      </c>
      <c r="EN48" s="59">
        <f t="shared" si="20"/>
        <v>627.79568529866833</v>
      </c>
      <c r="EO48" s="59">
        <f ca="1">AVERAGE(OFFSET($EN$3,0,0,'Données projet'!$E$15+1,1))-AVERAGE(OFFSET($H$3,0,0,'Données projet'!$E$15+1,1))</f>
        <v>218.78765033569107</v>
      </c>
      <c r="EP48" s="59">
        <f t="shared" si="46"/>
        <v>246.54010105494137</v>
      </c>
      <c r="EQ48" s="15">
        <f>IF(ISNA(VLOOKUP(A48,'Données projet'!$A$191:$I$211,3,0)),0,VLOOKUP(A48,'Données projet'!$A$191:$I$211,3,0))</f>
        <v>5</v>
      </c>
      <c r="ER48" s="15">
        <f>IF(ISNA(VLOOKUP(A48,'Données projet'!$A$191:$I$211,4,0)),0,VLOOKUP(A48,'Données projet'!$A$191:$I$211,4,0))</f>
        <v>21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205</v>
      </c>
      <c r="FC48" s="12">
        <f>VLOOKUP(A48,'Données projet'!$A$217:$I$237,9,0)</f>
        <v>8.1999999999999993</v>
      </c>
      <c r="FD48" s="12">
        <f t="array" ref="FD48">INDEX(FC:FC,MIN(IF(ISNUMBER(FC48:FC244),ROW(FC48:FC244),"")))</f>
        <v>8.1999999999999993</v>
      </c>
      <c r="FE48" s="12">
        <f>IF('Données projet'!$A$218&gt;35,FE47+FD48-FM47,IF(A48&lt;'Données projet'!$A$218,$FB$205^A48,IF(A48='Données projet'!$A$218,'Données projet'!$B$218,FE47+FD48-FM47)))</f>
        <v>205</v>
      </c>
      <c r="FF48" s="17">
        <f>FE48*VLOOKUP('Données projet'!$B$16,Paramètres!$A$1:$I$89,3,0)*VLOOKUP('Données projet'!$B$16,Paramètres!$A$1:$I$89,5,0)</f>
        <v>134.316</v>
      </c>
      <c r="FG48" s="13">
        <f t="shared" si="47"/>
        <v>34.991756585122445</v>
      </c>
      <c r="FH48" s="20">
        <f t="shared" si="22"/>
        <v>294.87767605242158</v>
      </c>
      <c r="FI48" s="59">
        <f t="shared" si="23"/>
        <v>588.21100938575489</v>
      </c>
      <c r="FJ48" s="59">
        <f ca="1">AVERAGE(OFFSET($FI$3,0,0,'Données projet'!$E$16+1,1))-AVERAGE(OFFSET($H$3,0,0,'Données projet'!$E$16+1,1))</f>
        <v>170.80796812111521</v>
      </c>
      <c r="FK48" s="59">
        <f t="shared" si="48"/>
        <v>249.84047400410321</v>
      </c>
      <c r="FL48" s="15">
        <f>IF(ISNA(VLOOKUP(A48,'Données projet'!$A$217:$I$237,3,0)),0,VLOOKUP(A48,'Données projet'!$A$217:$I$237,3,0))</f>
        <v>7</v>
      </c>
      <c r="FM48" s="15">
        <f>IF(ISNA(VLOOKUP(A48,'Données projet'!$A$217:$I$237,4,0)),0,VLOOKUP(A48,'Données projet'!$A$217:$I$237,4,0))</f>
        <v>22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333.02360594713667</v>
      </c>
      <c r="T49" s="59">
        <f t="shared" si="34"/>
        <v>546.58234447298014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169.61828234789954</v>
      </c>
      <c r="AA49" s="21">
        <f>EXP(-LN(2)/25)*AA48+(1-EXP(-LN(2)/25))/(LN(2)/25)*Calculateur!V49*Calculateur!X49*VLOOKUP('Données projet'!$B$9,Paramètres!$A$1:$I$89,3,0)*0.475*44/12</f>
        <v>85.92125912147506</v>
      </c>
      <c r="AB49" s="21">
        <f>EXP(-LN(2)/2)*AB48+(1-EXP(-LN(2)/2))/(LN(2)/2)*V49*Y49*VLOOKUP('Données projet'!$B$9,Paramètres!$A$1:$I$89,3,0)*0.475*44/12</f>
        <v>29.267113738365691</v>
      </c>
      <c r="AC49" s="22">
        <f t="shared" si="3"/>
        <v>284.80665520774028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121.19999999999999</v>
      </c>
      <c r="AJ49" s="13">
        <f>AI49*VLOOKUP('Données projet'!$B$10,Paramètres!$A$1:$I$89,3,0)*VLOOKUP('Données projet'!$B$10,Paramètres!$A$1:$I$89,5,0)</f>
        <v>105.88032</v>
      </c>
      <c r="AK49" s="13">
        <f t="shared" si="35"/>
        <v>28.358210082792318</v>
      </c>
      <c r="AL49" s="20">
        <f t="shared" si="4"/>
        <v>233.79877322752995</v>
      </c>
      <c r="AM49" s="59">
        <f t="shared" si="5"/>
        <v>527.13210656086324</v>
      </c>
      <c r="AN49" s="59">
        <f ca="1">AVERAGE(OFFSET($AM$3,0,0,'Données projet'!$E$10+1,1))-AVERAGE(OFFSET($H$3,0,0,'Données projet'!$E$10+1,1))</f>
        <v>243.26825841283591</v>
      </c>
      <c r="AO49" s="59">
        <f t="shared" si="36"/>
        <v>179.2944312100729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6.5172825114248729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6.5172825114248729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8.1999999999999993</v>
      </c>
      <c r="BD49" s="12">
        <f>IF('Données projet'!$A$88&gt;35,BD48+BC49-BL48,IF(A49&lt;'Données projet'!$A$88,$BA$205^A49,IF(A49='Données projet'!$A$88,'Données projet'!$B$88,BD48+BC49-BL48)))</f>
        <v>121.19999999999999</v>
      </c>
      <c r="BE49" s="13">
        <f>BD49*VLOOKUP('Données projet'!$B$11,Paramètres!$A$1:$I$89,3,0)*VLOOKUP('Données projet'!$B$11,Paramètres!$A$1:$I$89,5,0)</f>
        <v>88.863839999999996</v>
      </c>
      <c r="BF49" s="13">
        <f t="shared" si="37"/>
        <v>24.291008285431513</v>
      </c>
      <c r="BG49" s="20">
        <f t="shared" si="7"/>
        <v>197.07802743045988</v>
      </c>
      <c r="BH49" s="59">
        <f t="shared" si="8"/>
        <v>490.4113607637932</v>
      </c>
      <c r="BI49" s="59">
        <f ca="1">AVERAGE(OFFSET($BH$3,0,0,'Données projet'!$E$11+1,1))-AVERAGE(OFFSET($H$3,0,0,'Données projet'!$E$11+1,1))</f>
        <v>146.45728988963538</v>
      </c>
      <c r="BJ49" s="59">
        <f t="shared" si="38"/>
        <v>156.91778940341118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9.6399073417857633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9.6399073417857633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</v>
      </c>
      <c r="BY49" s="12">
        <f>IF('Données projet'!$A$114&gt;35,BY48+BX49-CG48,IF(A49&lt;'Données projet'!$A$114,$BV$205^A49,IF(A49='Données projet'!$A$114,'Données projet'!$B$114,BY48+BX49-CG48)))</f>
        <v>190</v>
      </c>
      <c r="BZ49" s="13">
        <f>BY49*VLOOKUP('Données projet'!$B$12,Paramètres!$A$1:$I$89,3,0)*VLOOKUP('Données projet'!$B$12,Paramètres!$A$1:$I$89,5,0)</f>
        <v>151.16400000000002</v>
      </c>
      <c r="CA49" s="13">
        <f t="shared" si="39"/>
        <v>38.84298967415998</v>
      </c>
      <c r="CB49" s="20">
        <f t="shared" si="10"/>
        <v>330.92884034916193</v>
      </c>
      <c r="CC49" s="59">
        <f t="shared" si="11"/>
        <v>624.26217368249524</v>
      </c>
      <c r="CD49" s="59">
        <f ca="1">AVERAGE(OFFSET($CC$3,0,0,'Données projet'!$E$12+1,1))-AVERAGE(OFFSET($H$3,0,0,'Données projet'!$E$12+1,1))</f>
        <v>238.71022302719206</v>
      </c>
      <c r="CE49" s="59">
        <f t="shared" si="40"/>
        <v>294.28794439094878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23.61315665167346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23.61315665167346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</v>
      </c>
      <c r="CT49" s="12">
        <f>IF('Données projet'!$A$140&gt;35,CT48+CS49-DB48,IF(A49&lt;'Données projet'!$A$140,$CQ$205^A49,IF(A49='Données projet'!$A$140,'Données projet'!$B$140,CT48+CS49-DB48)))</f>
        <v>190</v>
      </c>
      <c r="CU49" s="17">
        <f>CT49*VLOOKUP('Données projet'!$B$13,Paramètres!$A$1:$I$89,3,0)*VLOOKUP('Données projet'!$B$13,Paramètres!$A$1:$I$89,5,0)</f>
        <v>151.16400000000002</v>
      </c>
      <c r="CV49" s="13">
        <f t="shared" si="41"/>
        <v>38.84298967415998</v>
      </c>
      <c r="CW49" s="20">
        <f t="shared" si="13"/>
        <v>330.92884034916193</v>
      </c>
      <c r="CX49" s="59">
        <f t="shared" si="14"/>
        <v>624.26217368249524</v>
      </c>
      <c r="CY49" s="59">
        <f ca="1">AVERAGE(OFFSET($CX$3,0,0,'Données projet'!$E$13+1,1))-AVERAGE(OFFSET($H$3,0,0,'Données projet'!$E$13+1,1))</f>
        <v>238.71022302719206</v>
      </c>
      <c r="CZ49" s="59">
        <f t="shared" si="42"/>
        <v>294.28794439094878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23.61315665167346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23.61315665167346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8.1999999999999993</v>
      </c>
      <c r="DO49" s="12">
        <f>IF('Données projet'!$A$166&gt;35,DO48+DN49-DW48,IF(A49&lt;'Données projet'!$A$166,$DL$205^A49,IF(A49='Données projet'!$A$166,'Données projet'!$B$166,DO48+DN49-DW48)))</f>
        <v>121.19999999999999</v>
      </c>
      <c r="DP49" s="17">
        <f>DO49*VLOOKUP('Données projet'!$B$14,Paramètres!$A$1:$I$89,3,0)*VLOOKUP('Données projet'!$B$14,Paramètres!$A$1:$I$89,5,0)</f>
        <v>103.9896</v>
      </c>
      <c r="DQ49" s="13">
        <f t="shared" si="43"/>
        <v>27.91028988913331</v>
      </c>
      <c r="DR49" s="20">
        <f t="shared" si="16"/>
        <v>229.72564155690716</v>
      </c>
      <c r="DS49" s="59">
        <f t="shared" si="17"/>
        <v>523.05897489024051</v>
      </c>
      <c r="DT49" s="59">
        <f ca="1">AVERAGE(OFFSET($DS$3,0,0,'Données projet'!$E$14+1,1))-AVERAGE(OFFSET($H$3,0,0,'Données projet'!$E$14+1,1))</f>
        <v>203.34232675618244</v>
      </c>
      <c r="DU49" s="59">
        <f t="shared" si="44"/>
        <v>176.81257896138806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13.904171153540581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13.904171153540581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8.4</v>
      </c>
      <c r="EJ49" s="12">
        <f>IF('Données projet'!$A$192&gt;35,EJ48+EI49-ER48,IF(A49&lt;'Données projet'!$A$192,$EG$205^A49,IF(A49='Données projet'!$A$192,'Données projet'!$B$192,EJ48+EI49-ER48)))</f>
        <v>145.40000000000003</v>
      </c>
      <c r="EK49" s="17">
        <f>EJ49*VLOOKUP('Données projet'!$B$15,Paramètres!$A$1:$I$89,3,0)*VLOOKUP('Données projet'!$B$15,Paramètres!$A$1:$I$89,5,0)</f>
        <v>140.63088000000005</v>
      </c>
      <c r="EL49" s="13">
        <f t="shared" si="45"/>
        <v>36.441493403146445</v>
      </c>
      <c r="EM49" s="20">
        <f t="shared" si="19"/>
        <v>308.40105034381344</v>
      </c>
      <c r="EN49" s="59">
        <f t="shared" si="20"/>
        <v>601.73438367714675</v>
      </c>
      <c r="EO49" s="59">
        <f ca="1">AVERAGE(OFFSET($EN$3,0,0,'Données projet'!$E$15+1,1))-AVERAGE(OFFSET($H$3,0,0,'Données projet'!$E$15+1,1))</f>
        <v>218.78765033569107</v>
      </c>
      <c r="EP49" s="59">
        <f t="shared" si="46"/>
        <v>246.54010105494137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7</v>
      </c>
      <c r="FE49" s="12">
        <f>IF('Données projet'!$A$218&gt;35,FE48+FD49-FM48,IF(A49&lt;'Données projet'!$A$218,$FB$205^A49,IF(A49='Données projet'!$A$218,'Données projet'!$B$218,FE48+FD49-FM48)))</f>
        <v>190</v>
      </c>
      <c r="FF49" s="17">
        <f>FE49*VLOOKUP('Données projet'!$B$16,Paramètres!$A$1:$I$89,3,0)*VLOOKUP('Données projet'!$B$16,Paramètres!$A$1:$I$89,5,0)</f>
        <v>124.488</v>
      </c>
      <c r="FG49" s="13">
        <f t="shared" si="47"/>
        <v>32.719504245667267</v>
      </c>
      <c r="FH49" s="20">
        <f t="shared" si="22"/>
        <v>273.80306989453715</v>
      </c>
      <c r="FI49" s="59">
        <f t="shared" si="23"/>
        <v>567.13640322787046</v>
      </c>
      <c r="FJ49" s="59">
        <f ca="1">AVERAGE(OFFSET($FI$3,0,0,'Données projet'!$E$16+1,1))-AVERAGE(OFFSET($H$3,0,0,'Données projet'!$E$16+1,1))</f>
        <v>170.80796812111521</v>
      </c>
      <c r="FK49" s="59">
        <f t="shared" si="48"/>
        <v>249.84047400410321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333.02360594713667</v>
      </c>
      <c r="T50" s="59">
        <f t="shared" si="34"/>
        <v>546.58234447298014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166.29217128799394</v>
      </c>
      <c r="AA50" s="21">
        <f>EXP(-LN(2)/25)*AA49+(1-EXP(-LN(2)/25))/(LN(2)/25)*Calculateur!V50*Calculateur!X50*VLOOKUP('Données projet'!$B$9,Paramètres!$A$1:$I$89,3,0)*0.475*44/12</f>
        <v>83.571737772395679</v>
      </c>
      <c r="AB50" s="21">
        <f>EXP(-LN(2)/2)*AB49+(1-EXP(-LN(2)/2))/(LN(2)/2)*V50*Y50*VLOOKUP('Données projet'!$B$9,Paramètres!$A$1:$I$89,3,0)*0.475*44/12</f>
        <v>20.694974590156349</v>
      </c>
      <c r="AC50" s="22">
        <f t="shared" si="3"/>
        <v>270.55888365054597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129.39999999999998</v>
      </c>
      <c r="AJ50" s="13">
        <f>AI50*VLOOKUP('Données projet'!$B$10,Paramètres!$A$1:$I$89,3,0)*VLOOKUP('Données projet'!$B$10,Paramètres!$A$1:$I$89,5,0)</f>
        <v>113.04384</v>
      </c>
      <c r="AK50" s="13">
        <f t="shared" si="35"/>
        <v>30.046993788338579</v>
      </c>
      <c r="AL50" s="20">
        <f t="shared" si="4"/>
        <v>249.2165355146897</v>
      </c>
      <c r="AM50" s="59">
        <f t="shared" si="5"/>
        <v>542.54986884802304</v>
      </c>
      <c r="AN50" s="59">
        <f ca="1">AVERAGE(OFFSET($AM$3,0,0,'Données projet'!$E$10+1,1))-AVERAGE(OFFSET($H$3,0,0,'Données projet'!$E$10+1,1))</f>
        <v>243.26825841283591</v>
      </c>
      <c r="AO50" s="59">
        <f t="shared" si="36"/>
        <v>179.2944312100729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6.3894825765256495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6.3894825765256495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8.1999999999999993</v>
      </c>
      <c r="BD50" s="12">
        <f>IF('Données projet'!$A$88&gt;35,BD49+BC50-BL49,IF(A50&lt;'Données projet'!$A$88,$BA$205^A50,IF(A50='Données projet'!$A$88,'Données projet'!$B$88,BD49+BC50-BL49)))</f>
        <v>129.39999999999998</v>
      </c>
      <c r="BE50" s="13">
        <f>BD50*VLOOKUP('Données projet'!$B$11,Paramètres!$A$1:$I$89,3,0)*VLOOKUP('Données projet'!$B$11,Paramètres!$A$1:$I$89,5,0)</f>
        <v>94.876079999999973</v>
      </c>
      <c r="BF50" s="13">
        <f t="shared" si="37"/>
        <v>25.737582623655296</v>
      </c>
      <c r="BG50" s="20">
        <f t="shared" si="7"/>
        <v>210.0687957361996</v>
      </c>
      <c r="BH50" s="59">
        <f t="shared" si="8"/>
        <v>503.40212906953292</v>
      </c>
      <c r="BI50" s="59">
        <f ca="1">AVERAGE(OFFSET($BH$3,0,0,'Données projet'!$E$11+1,1))-AVERAGE(OFFSET($H$3,0,0,'Données projet'!$E$11+1,1))</f>
        <v>146.45728988963538</v>
      </c>
      <c r="BJ50" s="59">
        <f t="shared" si="38"/>
        <v>156.91778940341118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9.450874638576245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9.450874638576245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</v>
      </c>
      <c r="BY50" s="12">
        <f>IF('Données projet'!$A$114&gt;35,BY49+BX50-CG49,IF(A50&lt;'Données projet'!$A$114,$BV$205^A50,IF(A50='Données projet'!$A$114,'Données projet'!$B$114,BY49+BX50-CG49)))</f>
        <v>197</v>
      </c>
      <c r="BZ50" s="13">
        <f>BY50*VLOOKUP('Données projet'!$B$12,Paramètres!$A$1:$I$89,3,0)*VLOOKUP('Données projet'!$B$12,Paramètres!$A$1:$I$89,5,0)</f>
        <v>156.73320000000001</v>
      </c>
      <c r="CA50" s="13">
        <f t="shared" si="39"/>
        <v>40.104797241533682</v>
      </c>
      <c r="CB50" s="20">
        <f t="shared" si="10"/>
        <v>342.82617852900444</v>
      </c>
      <c r="CC50" s="59">
        <f t="shared" si="11"/>
        <v>636.15951186233769</v>
      </c>
      <c r="CD50" s="59">
        <f ca="1">AVERAGE(OFFSET($CC$3,0,0,'Données projet'!$E$12+1,1))-AVERAGE(OFFSET($H$3,0,0,'Données projet'!$E$12+1,1))</f>
        <v>238.71022302719206</v>
      </c>
      <c r="CE50" s="59">
        <f t="shared" si="40"/>
        <v>294.28794439094878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23.150117052337563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23.150117052337563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</v>
      </c>
      <c r="CT50" s="12">
        <f>IF('Données projet'!$A$140&gt;35,CT49+CS50-DB49,IF(A50&lt;'Données projet'!$A$140,$CQ$205^A50,IF(A50='Données projet'!$A$140,'Données projet'!$B$140,CT49+CS50-DB49)))</f>
        <v>197</v>
      </c>
      <c r="CU50" s="17">
        <f>CT50*VLOOKUP('Données projet'!$B$13,Paramètres!$A$1:$I$89,3,0)*VLOOKUP('Données projet'!$B$13,Paramètres!$A$1:$I$89,5,0)</f>
        <v>156.73320000000001</v>
      </c>
      <c r="CV50" s="13">
        <f t="shared" si="41"/>
        <v>40.104797241533682</v>
      </c>
      <c r="CW50" s="20">
        <f t="shared" si="13"/>
        <v>342.82617852900444</v>
      </c>
      <c r="CX50" s="59">
        <f t="shared" si="14"/>
        <v>636.15951186233769</v>
      </c>
      <c r="CY50" s="59">
        <f ca="1">AVERAGE(OFFSET($CX$3,0,0,'Données projet'!$E$13+1,1))-AVERAGE(OFFSET($H$3,0,0,'Données projet'!$E$13+1,1))</f>
        <v>238.71022302719206</v>
      </c>
      <c r="CZ50" s="59">
        <f t="shared" si="42"/>
        <v>294.28794439094878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23.150117052337563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23.150117052337563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8.1999999999999993</v>
      </c>
      <c r="DO50" s="12">
        <f>IF('Données projet'!$A$166&gt;35,DO49+DN50-DW49,IF(A50&lt;'Données projet'!$A$166,$DL$205^A50,IF(A50='Données projet'!$A$166,'Données projet'!$B$166,DO49+DN50-DW49)))</f>
        <v>129.39999999999998</v>
      </c>
      <c r="DP50" s="17">
        <f>DO50*VLOOKUP('Données projet'!$B$14,Paramètres!$A$1:$I$89,3,0)*VLOOKUP('Données projet'!$B$14,Paramètres!$A$1:$I$89,5,0)</f>
        <v>111.02519999999998</v>
      </c>
      <c r="DQ50" s="13">
        <f t="shared" si="43"/>
        <v>29.572399121141618</v>
      </c>
      <c r="DR50" s="20">
        <f t="shared" si="16"/>
        <v>244.87415180265498</v>
      </c>
      <c r="DS50" s="59">
        <f t="shared" si="17"/>
        <v>538.20748513598824</v>
      </c>
      <c r="DT50" s="59">
        <f ca="1">AVERAGE(OFFSET($DS$3,0,0,'Données projet'!$E$14+1,1))-AVERAGE(OFFSET($H$3,0,0,'Données projet'!$E$14+1,1))</f>
        <v>203.34232675618244</v>
      </c>
      <c r="DU50" s="59">
        <f t="shared" si="44"/>
        <v>176.81257896138806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13.631518837926654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13.631518837926654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8.4</v>
      </c>
      <c r="EJ50" s="12">
        <f>IF('Données projet'!$A$192&gt;35,EJ49+EI50-ER49,IF(A50&lt;'Données projet'!$A$192,$EG$205^A50,IF(A50='Données projet'!$A$192,'Données projet'!$B$192,EJ49+EI50-ER49)))</f>
        <v>153.80000000000004</v>
      </c>
      <c r="EK50" s="17">
        <f>EJ50*VLOOKUP('Données projet'!$B$15,Paramètres!$A$1:$I$89,3,0)*VLOOKUP('Données projet'!$B$15,Paramètres!$A$1:$I$89,5,0)</f>
        <v>148.75536000000005</v>
      </c>
      <c r="EL50" s="13">
        <f t="shared" si="45"/>
        <v>38.295599697511591</v>
      </c>
      <c r="EM50" s="20">
        <f t="shared" si="19"/>
        <v>325.78042147316609</v>
      </c>
      <c r="EN50" s="59">
        <f t="shared" si="20"/>
        <v>619.1137548064994</v>
      </c>
      <c r="EO50" s="59">
        <f ca="1">AVERAGE(OFFSET($EN$3,0,0,'Données projet'!$E$15+1,1))-AVERAGE(OFFSET($H$3,0,0,'Données projet'!$E$15+1,1))</f>
        <v>218.78765033569107</v>
      </c>
      <c r="EP50" s="59">
        <f t="shared" si="46"/>
        <v>246.54010105494137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7</v>
      </c>
      <c r="FE50" s="12">
        <f>IF('Données projet'!$A$218&gt;35,FE49+FD50-FM49,IF(A50&lt;'Données projet'!$A$218,$FB$205^A50,IF(A50='Données projet'!$A$218,'Données projet'!$B$218,FE49+FD50-FM49)))</f>
        <v>197</v>
      </c>
      <c r="FF50" s="17">
        <f>FE50*VLOOKUP('Données projet'!$B$16,Paramètres!$A$1:$I$89,3,0)*VLOOKUP('Données projet'!$B$16,Paramètres!$A$1:$I$89,5,0)</f>
        <v>129.0744</v>
      </c>
      <c r="FG50" s="13">
        <f t="shared" si="47"/>
        <v>33.782391484889324</v>
      </c>
      <c r="FH50" s="20">
        <f t="shared" si="22"/>
        <v>283.64224516951555</v>
      </c>
      <c r="FI50" s="59">
        <f t="shared" si="23"/>
        <v>576.97557850284886</v>
      </c>
      <c r="FJ50" s="59">
        <f ca="1">AVERAGE(OFFSET($FI$3,0,0,'Données projet'!$E$16+1,1))-AVERAGE(OFFSET($H$3,0,0,'Données projet'!$E$16+1,1))</f>
        <v>170.80796812111521</v>
      </c>
      <c r="FK50" s="59">
        <f t="shared" si="48"/>
        <v>249.84047400410321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333.02360594713667</v>
      </c>
      <c r="T51" s="59">
        <f t="shared" si="34"/>
        <v>546.58234447298014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163.03128323724565</v>
      </c>
      <c r="AA51" s="21">
        <f>EXP(-LN(2)/25)*AA50+(1-EXP(-LN(2)/25))/(LN(2)/25)*Calculateur!V51*Calculateur!X51*VLOOKUP('Données projet'!$B$9,Paramètres!$A$1:$I$89,3,0)*0.475*44/12</f>
        <v>81.28646420816284</v>
      </c>
      <c r="AB51" s="21">
        <f>EXP(-LN(2)/2)*AB50+(1-EXP(-LN(2)/2))/(LN(2)/2)*V51*Y51*VLOOKUP('Données projet'!$B$9,Paramètres!$A$1:$I$89,3,0)*0.475*44/12</f>
        <v>14.633556869182847</v>
      </c>
      <c r="AC51" s="22">
        <f t="shared" si="3"/>
        <v>258.95130431459131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137.59999999999997</v>
      </c>
      <c r="AJ51" s="13">
        <f>AI51*VLOOKUP('Données projet'!$B$10,Paramètres!$A$1:$I$89,3,0)*VLOOKUP('Données projet'!$B$10,Paramètres!$A$1:$I$89,5,0)</f>
        <v>120.20735999999998</v>
      </c>
      <c r="AK51" s="13">
        <f t="shared" si="35"/>
        <v>31.723357748130908</v>
      </c>
      <c r="AL51" s="20">
        <f t="shared" si="4"/>
        <v>264.61266674466128</v>
      </c>
      <c r="AM51" s="59">
        <f t="shared" si="5"/>
        <v>557.94600007799454</v>
      </c>
      <c r="AN51" s="59">
        <f ca="1">AVERAGE(OFFSET($AM$3,0,0,'Données projet'!$E$10+1,1))-AVERAGE(OFFSET($H$3,0,0,'Données projet'!$E$10+1,1))</f>
        <v>243.26825841283591</v>
      </c>
      <c r="AO51" s="59">
        <f t="shared" si="36"/>
        <v>179.2944312100729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6.2641887203995363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6.2641887203995363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8.1999999999999993</v>
      </c>
      <c r="BD51" s="12">
        <f>IF('Données projet'!$A$88&gt;35,BD50+BC51-BL50,IF(A51&lt;'Données projet'!$A$88,$BA$205^A51,IF(A51='Données projet'!$A$88,'Données projet'!$B$88,BD50+BC51-BL50)))</f>
        <v>137.59999999999997</v>
      </c>
      <c r="BE51" s="13">
        <f>BD51*VLOOKUP('Données projet'!$B$11,Paramètres!$A$1:$I$89,3,0)*VLOOKUP('Données projet'!$B$11,Paramètres!$A$1:$I$89,5,0)</f>
        <v>100.88831999999998</v>
      </c>
      <c r="BF51" s="13">
        <f t="shared" si="37"/>
        <v>27.173518485539002</v>
      </c>
      <c r="BG51" s="20">
        <f t="shared" si="7"/>
        <v>223.04103536231369</v>
      </c>
      <c r="BH51" s="59">
        <f t="shared" si="8"/>
        <v>516.37436869564704</v>
      </c>
      <c r="BI51" s="59">
        <f ca="1">AVERAGE(OFFSET($BH$3,0,0,'Données projet'!$E$11+1,1))-AVERAGE(OFFSET($H$3,0,0,'Données projet'!$E$11+1,1))</f>
        <v>146.45728988963538</v>
      </c>
      <c r="BJ51" s="59">
        <f t="shared" si="38"/>
        <v>156.91778940341118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9.2655487513781001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9.2655487513781001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</v>
      </c>
      <c r="BY51" s="12">
        <f>IF('Données projet'!$A$114&gt;35,BY50+BX51-CG50,IF(A51&lt;'Données projet'!$A$114,$BV$205^A51,IF(A51='Données projet'!$A$114,'Données projet'!$B$114,BY50+BX51-CG50)))</f>
        <v>204</v>
      </c>
      <c r="BZ51" s="13">
        <f>BY51*VLOOKUP('Données projet'!$B$12,Paramètres!$A$1:$I$89,3,0)*VLOOKUP('Données projet'!$B$12,Paramètres!$A$1:$I$89,5,0)</f>
        <v>162.30240000000001</v>
      </c>
      <c r="CA51" s="13">
        <f t="shared" si="39"/>
        <v>41.361395541514355</v>
      </c>
      <c r="CB51" s="20">
        <f t="shared" si="10"/>
        <v>354.71444390147082</v>
      </c>
      <c r="CC51" s="59">
        <f t="shared" si="11"/>
        <v>648.04777723480413</v>
      </c>
      <c r="CD51" s="59">
        <f ca="1">AVERAGE(OFFSET($CC$3,0,0,'Données projet'!$E$12+1,1))-AVERAGE(OFFSET($H$3,0,0,'Données projet'!$E$12+1,1))</f>
        <v>238.71022302719206</v>
      </c>
      <c r="CE51" s="59">
        <f t="shared" si="40"/>
        <v>294.28794439094878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22.696157377118375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22.696157377118375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</v>
      </c>
      <c r="CT51" s="12">
        <f>IF('Données projet'!$A$140&gt;35,CT50+CS51-DB50,IF(A51&lt;'Données projet'!$A$140,$CQ$205^A51,IF(A51='Données projet'!$A$140,'Données projet'!$B$140,CT50+CS51-DB50)))</f>
        <v>204</v>
      </c>
      <c r="CU51" s="17">
        <f>CT51*VLOOKUP('Données projet'!$B$13,Paramètres!$A$1:$I$89,3,0)*VLOOKUP('Données projet'!$B$13,Paramètres!$A$1:$I$89,5,0)</f>
        <v>162.30240000000001</v>
      </c>
      <c r="CV51" s="13">
        <f t="shared" si="41"/>
        <v>41.361395541514355</v>
      </c>
      <c r="CW51" s="20">
        <f t="shared" si="13"/>
        <v>354.71444390147082</v>
      </c>
      <c r="CX51" s="59">
        <f t="shared" si="14"/>
        <v>648.04777723480413</v>
      </c>
      <c r="CY51" s="59">
        <f ca="1">AVERAGE(OFFSET($CX$3,0,0,'Données projet'!$E$13+1,1))-AVERAGE(OFFSET($H$3,0,0,'Données projet'!$E$13+1,1))</f>
        <v>238.71022302719206</v>
      </c>
      <c r="CZ51" s="59">
        <f t="shared" si="42"/>
        <v>294.28794439094878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22.696157377118375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22.696157377118375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8.1999999999999993</v>
      </c>
      <c r="DO51" s="12">
        <f>IF('Données projet'!$A$166&gt;35,DO50+DN51-DW50,IF(A51&lt;'Données projet'!$A$166,$DL$205^A51,IF(A51='Données projet'!$A$166,'Données projet'!$B$166,DO50+DN51-DW50)))</f>
        <v>137.59999999999997</v>
      </c>
      <c r="DP51" s="17">
        <f>DO51*VLOOKUP('Données projet'!$B$14,Paramètres!$A$1:$I$89,3,0)*VLOOKUP('Données projet'!$B$14,Paramètres!$A$1:$I$89,5,0)</f>
        <v>118.06079999999999</v>
      </c>
      <c r="DQ51" s="13">
        <f t="shared" si="43"/>
        <v>31.222284778272353</v>
      </c>
      <c r="DR51" s="20">
        <f t="shared" si="16"/>
        <v>260.00137265549091</v>
      </c>
      <c r="DS51" s="59">
        <f t="shared" si="17"/>
        <v>553.33470598882423</v>
      </c>
      <c r="DT51" s="59">
        <f ca="1">AVERAGE(OFFSET($DS$3,0,0,'Données projet'!$E$14+1,1))-AVERAGE(OFFSET($H$3,0,0,'Données projet'!$E$14+1,1))</f>
        <v>203.34232675618244</v>
      </c>
      <c r="DU51" s="59">
        <f t="shared" si="44"/>
        <v>176.81257896138806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13.364213067920424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13.364213067920424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8.4</v>
      </c>
      <c r="EJ51" s="12">
        <f>IF('Données projet'!$A$192&gt;35,EJ50+EI51-ER50,IF(A51&lt;'Données projet'!$A$192,$EG$205^A51,IF(A51='Données projet'!$A$192,'Données projet'!$B$192,EJ50+EI51-ER50)))</f>
        <v>162.20000000000005</v>
      </c>
      <c r="EK51" s="17">
        <f>EJ51*VLOOKUP('Données projet'!$B$15,Paramètres!$A$1:$I$89,3,0)*VLOOKUP('Données projet'!$B$15,Paramètres!$A$1:$I$89,5,0)</f>
        <v>156.87984000000003</v>
      </c>
      <c r="EL51" s="13">
        <f t="shared" si="45"/>
        <v>40.137950013229407</v>
      </c>
      <c r="EM51" s="20">
        <f t="shared" si="19"/>
        <v>343.13931760637462</v>
      </c>
      <c r="EN51" s="59">
        <f t="shared" si="20"/>
        <v>636.47265093970793</v>
      </c>
      <c r="EO51" s="59">
        <f ca="1">AVERAGE(OFFSET($EN$3,0,0,'Données projet'!$E$15+1,1))-AVERAGE(OFFSET($H$3,0,0,'Données projet'!$E$15+1,1))</f>
        <v>218.78765033569107</v>
      </c>
      <c r="EP51" s="59">
        <f t="shared" si="46"/>
        <v>246.54010105494137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7</v>
      </c>
      <c r="FE51" s="12">
        <f>IF('Données projet'!$A$218&gt;35,FE50+FD51-FM50,IF(A51&lt;'Données projet'!$A$218,$FB$205^A51,IF(A51='Données projet'!$A$218,'Données projet'!$B$218,FE50+FD51-FM50)))</f>
        <v>204</v>
      </c>
      <c r="FF51" s="17">
        <f>FE51*VLOOKUP('Données projet'!$B$16,Paramètres!$A$1:$I$89,3,0)*VLOOKUP('Données projet'!$B$16,Paramètres!$A$1:$I$89,5,0)</f>
        <v>133.66079999999999</v>
      </c>
      <c r="FG51" s="13">
        <f t="shared" si="47"/>
        <v>34.840890682716747</v>
      </c>
      <c r="FH51" s="20">
        <f t="shared" si="22"/>
        <v>293.47377793906497</v>
      </c>
      <c r="FI51" s="59">
        <f t="shared" si="23"/>
        <v>586.80711127239829</v>
      </c>
      <c r="FJ51" s="59">
        <f ca="1">AVERAGE(OFFSET($FI$3,0,0,'Données projet'!$E$16+1,1))-AVERAGE(OFFSET($H$3,0,0,'Données projet'!$E$16+1,1))</f>
        <v>170.80796812111521</v>
      </c>
      <c r="FK51" s="59">
        <f t="shared" si="48"/>
        <v>249.84047400410321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333.02360594713667</v>
      </c>
      <c r="T52" s="59">
        <f t="shared" si="34"/>
        <v>546.58234447298014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159.83433921222723</v>
      </c>
      <c r="AA52" s="21">
        <f>EXP(-LN(2)/25)*AA51+(1-EXP(-LN(2)/25))/(LN(2)/25)*Calculateur!V52*Calculateur!X52*VLOOKUP('Données projet'!$B$9,Paramètres!$A$1:$I$89,3,0)*0.475*44/12</f>
        <v>79.063681569721254</v>
      </c>
      <c r="AB52" s="21">
        <f>EXP(-LN(2)/2)*AB51+(1-EXP(-LN(2)/2))/(LN(2)/2)*V52*Y52*VLOOKUP('Données projet'!$B$9,Paramètres!$A$1:$I$89,3,0)*0.475*44/12</f>
        <v>10.347487295078176</v>
      </c>
      <c r="AC52" s="22">
        <f t="shared" si="3"/>
        <v>249.24550807702667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145.79999999999995</v>
      </c>
      <c r="AJ52" s="13">
        <f>AI52*VLOOKUP('Données projet'!$B$10,Paramètres!$A$1:$I$89,3,0)*VLOOKUP('Données projet'!$B$10,Paramètres!$A$1:$I$89,5,0)</f>
        <v>127.37087999999997</v>
      </c>
      <c r="AK52" s="13">
        <f t="shared" si="35"/>
        <v>33.388126388800494</v>
      </c>
      <c r="AL52" s="20">
        <f t="shared" si="4"/>
        <v>279.98860279382745</v>
      </c>
      <c r="AM52" s="59">
        <f t="shared" si="5"/>
        <v>573.32193612716082</v>
      </c>
      <c r="AN52" s="59">
        <f ca="1">AVERAGE(OFFSET($AM$3,0,0,'Données projet'!$E$10+1,1))-AVERAGE(OFFSET($H$3,0,0,'Données projet'!$E$10+1,1))</f>
        <v>243.26825841283591</v>
      </c>
      <c r="AO52" s="59">
        <f t="shared" si="36"/>
        <v>179.2944312100729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6.1413518003703507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6.1413518003703507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8.1999999999999993</v>
      </c>
      <c r="BD52" s="12">
        <f>IF('Données projet'!$A$88&gt;35,BD51+BC52-BL51,IF(A52&lt;'Données projet'!$A$88,$BA$205^A52,IF(A52='Données projet'!$A$88,'Données projet'!$B$88,BD51+BC52-BL51)))</f>
        <v>145.79999999999995</v>
      </c>
      <c r="BE52" s="13">
        <f>BD52*VLOOKUP('Données projet'!$B$11,Paramètres!$A$1:$I$89,3,0)*VLOOKUP('Données projet'!$B$11,Paramètres!$A$1:$I$89,5,0)</f>
        <v>106.90055999999996</v>
      </c>
      <c r="BF52" s="13">
        <f t="shared" si="37"/>
        <v>28.599522056489707</v>
      </c>
      <c r="BG52" s="20">
        <f t="shared" si="7"/>
        <v>235.9959762483862</v>
      </c>
      <c r="BH52" s="59">
        <f t="shared" si="8"/>
        <v>529.32930958171949</v>
      </c>
      <c r="BI52" s="59">
        <f ca="1">AVERAGE(OFFSET($BH$3,0,0,'Données projet'!$E$11+1,1))-AVERAGE(OFFSET($H$3,0,0,'Données projet'!$E$11+1,1))</f>
        <v>146.45728988963538</v>
      </c>
      <c r="BJ52" s="59">
        <f t="shared" si="38"/>
        <v>156.91778940341118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9.0838569917902827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9.0838569917902827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</v>
      </c>
      <c r="BY52" s="12">
        <f>IF('Données projet'!$A$114&gt;35,BY51+BX52-CG51,IF(A52&lt;'Données projet'!$A$114,$BV$205^A52,IF(A52='Données projet'!$A$114,'Données projet'!$B$114,BY51+BX52-CG51)))</f>
        <v>211</v>
      </c>
      <c r="BZ52" s="13">
        <f>BY52*VLOOKUP('Données projet'!$B$12,Paramètres!$A$1:$I$89,3,0)*VLOOKUP('Données projet'!$B$12,Paramètres!$A$1:$I$89,5,0)</f>
        <v>167.8716</v>
      </c>
      <c r="CA52" s="13">
        <f t="shared" si="39"/>
        <v>42.612983811358006</v>
      </c>
      <c r="CB52" s="20">
        <f t="shared" si="10"/>
        <v>366.59398347144844</v>
      </c>
      <c r="CC52" s="59">
        <f t="shared" si="11"/>
        <v>659.92731680478175</v>
      </c>
      <c r="CD52" s="59">
        <f ca="1">AVERAGE(OFFSET($CC$3,0,0,'Données projet'!$E$12+1,1))-AVERAGE(OFFSET($H$3,0,0,'Données projet'!$E$12+1,1))</f>
        <v>238.71022302719206</v>
      </c>
      <c r="CE52" s="59">
        <f t="shared" si="40"/>
        <v>294.28794439094878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22.251099574242172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22.251099574242172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</v>
      </c>
      <c r="CT52" s="12">
        <f>IF('Données projet'!$A$140&gt;35,CT51+CS52-DB51,IF(A52&lt;'Données projet'!$A$140,$CQ$205^A52,IF(A52='Données projet'!$A$140,'Données projet'!$B$140,CT51+CS52-DB51)))</f>
        <v>211</v>
      </c>
      <c r="CU52" s="17">
        <f>CT52*VLOOKUP('Données projet'!$B$13,Paramètres!$A$1:$I$89,3,0)*VLOOKUP('Données projet'!$B$13,Paramètres!$A$1:$I$89,5,0)</f>
        <v>167.8716</v>
      </c>
      <c r="CV52" s="13">
        <f t="shared" si="41"/>
        <v>42.612983811358006</v>
      </c>
      <c r="CW52" s="20">
        <f t="shared" si="13"/>
        <v>366.59398347144844</v>
      </c>
      <c r="CX52" s="59">
        <f t="shared" si="14"/>
        <v>659.92731680478175</v>
      </c>
      <c r="CY52" s="59">
        <f ca="1">AVERAGE(OFFSET($CX$3,0,0,'Données projet'!$E$13+1,1))-AVERAGE(OFFSET($H$3,0,0,'Données projet'!$E$13+1,1))</f>
        <v>238.71022302719206</v>
      </c>
      <c r="CZ52" s="59">
        <f t="shared" si="42"/>
        <v>294.28794439094878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22.251099574242172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22.251099574242172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8.1999999999999993</v>
      </c>
      <c r="DO52" s="12">
        <f>IF('Données projet'!$A$166&gt;35,DO51+DN52-DW51,IF(A52&lt;'Données projet'!$A$166,$DL$205^A52,IF(A52='Données projet'!$A$166,'Données projet'!$B$166,DO51+DN52-DW51)))</f>
        <v>145.79999999999995</v>
      </c>
      <c r="DP52" s="17">
        <f>DO52*VLOOKUP('Données projet'!$B$14,Paramètres!$A$1:$I$89,3,0)*VLOOKUP('Données projet'!$B$14,Paramètres!$A$1:$I$89,5,0)</f>
        <v>125.09639999999997</v>
      </c>
      <c r="DQ52" s="13">
        <f t="shared" si="43"/>
        <v>32.860758265272182</v>
      </c>
      <c r="DR52" s="20">
        <f t="shared" si="16"/>
        <v>275.10871731201564</v>
      </c>
      <c r="DS52" s="59">
        <f t="shared" si="17"/>
        <v>568.4420506453489</v>
      </c>
      <c r="DT52" s="59">
        <f ca="1">AVERAGE(OFFSET($DS$3,0,0,'Données projet'!$E$14+1,1))-AVERAGE(OFFSET($H$3,0,0,'Données projet'!$E$14+1,1))</f>
        <v>203.34232675618244</v>
      </c>
      <c r="DU52" s="59">
        <f t="shared" si="44"/>
        <v>176.81257896138806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13.102149001023596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13.102149001023596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8.4</v>
      </c>
      <c r="EJ52" s="12">
        <f>IF('Données projet'!$A$192&gt;35,EJ51+EI52-ER51,IF(A52&lt;'Données projet'!$A$192,$EG$205^A52,IF(A52='Données projet'!$A$192,'Données projet'!$B$192,EJ51+EI52-ER51)))</f>
        <v>170.60000000000005</v>
      </c>
      <c r="EK52" s="17">
        <f>EJ52*VLOOKUP('Données projet'!$B$15,Paramètres!$A$1:$I$89,3,0)*VLOOKUP('Données projet'!$B$15,Paramètres!$A$1:$I$89,5,0)</f>
        <v>165.00432000000006</v>
      </c>
      <c r="EL52" s="13">
        <f t="shared" si="45"/>
        <v>41.969222611359086</v>
      </c>
      <c r="EM52" s="20">
        <f t="shared" si="19"/>
        <v>360.47892004811712</v>
      </c>
      <c r="EN52" s="59">
        <f t="shared" si="20"/>
        <v>653.81225338145043</v>
      </c>
      <c r="EO52" s="59">
        <f ca="1">AVERAGE(OFFSET($EN$3,0,0,'Données projet'!$E$15+1,1))-AVERAGE(OFFSET($H$3,0,0,'Données projet'!$E$15+1,1))</f>
        <v>218.78765033569107</v>
      </c>
      <c r="EP52" s="59">
        <f t="shared" si="46"/>
        <v>246.54010105494137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7</v>
      </c>
      <c r="FE52" s="12">
        <f>IF('Données projet'!$A$218&gt;35,FE51+FD52-FM51,IF(A52&lt;'Données projet'!$A$218,$FB$205^A52,IF(A52='Données projet'!$A$218,'Données projet'!$B$218,FE51+FD52-FM51)))</f>
        <v>211</v>
      </c>
      <c r="FF52" s="17">
        <f>FE52*VLOOKUP('Données projet'!$B$16,Paramètres!$A$1:$I$89,3,0)*VLOOKUP('Données projet'!$B$16,Paramètres!$A$1:$I$89,5,0)</f>
        <v>138.24719999999999</v>
      </c>
      <c r="FG52" s="13">
        <f t="shared" si="47"/>
        <v>35.895169667225971</v>
      </c>
      <c r="FH52" s="20">
        <f t="shared" si="22"/>
        <v>303.29796050375188</v>
      </c>
      <c r="FI52" s="59">
        <f t="shared" si="23"/>
        <v>596.6312938370852</v>
      </c>
      <c r="FJ52" s="59">
        <f ca="1">AVERAGE(OFFSET($FI$3,0,0,'Données projet'!$E$16+1,1))-AVERAGE(OFFSET($H$3,0,0,'Données projet'!$E$16+1,1))</f>
        <v>170.80796812111521</v>
      </c>
      <c r="FK52" s="59">
        <f t="shared" si="48"/>
        <v>249.84047400410321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333.02360594713667</v>
      </c>
      <c r="T53" s="59">
        <f t="shared" si="34"/>
        <v>546.58234447298014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156.70008530959612</v>
      </c>
      <c r="AA53" s="21">
        <f>EXP(-LN(2)/25)*AA52+(1-EXP(-LN(2)/25))/(LN(2)/25)*Calculateur!V53*Calculateur!X53*VLOOKUP('Données projet'!$B$9,Paramètres!$A$1:$I$89,3,0)*0.475*44/12</f>
        <v>76.901681039418918</v>
      </c>
      <c r="AB53" s="21">
        <f>EXP(-LN(2)/2)*AB52+(1-EXP(-LN(2)/2))/(LN(2)/2)*V53*Y53*VLOOKUP('Données projet'!$B$9,Paramètres!$A$1:$I$89,3,0)*0.475*44/12</f>
        <v>7.3167784345914253</v>
      </c>
      <c r="AC53" s="22">
        <f t="shared" si="3"/>
        <v>240.91854478360645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154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153.99999999999994</v>
      </c>
      <c r="AJ53" s="13">
        <f>AI53*VLOOKUP('Données projet'!$B$10,Paramètres!$A$1:$I$89,3,0)*VLOOKUP('Données projet'!$B$10,Paramètres!$A$1:$I$89,5,0)</f>
        <v>134.53439999999998</v>
      </c>
      <c r="AK53" s="13">
        <f t="shared" si="35"/>
        <v>35.042026165482234</v>
      </c>
      <c r="AL53" s="20">
        <f t="shared" si="4"/>
        <v>295.34560890488154</v>
      </c>
      <c r="AM53" s="59">
        <f t="shared" si="5"/>
        <v>588.67894223821486</v>
      </c>
      <c r="AN53" s="59">
        <f ca="1">AVERAGE(OFFSET($AM$3,0,0,'Données projet'!$E$10+1,1))-AVERAGE(OFFSET($H$3,0,0,'Données projet'!$E$10+1,1))</f>
        <v>243.26825841283591</v>
      </c>
      <c r="AO53" s="59">
        <f t="shared" si="36"/>
        <v>179.2944312100729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0.215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10.381234877293148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10.381234877293148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154</v>
      </c>
      <c r="BB53" s="12">
        <f>VLOOKUP(A53,'Données projet'!$A$87:$I$107,9,0)</f>
        <v>8.1999999999999993</v>
      </c>
      <c r="BC53" s="12">
        <f t="array" ref="BC53">INDEX(BB:BB,MIN(IF(ISNUMBER(BB53:BB249),ROW(BB53:BB249),"")))</f>
        <v>8.1999999999999993</v>
      </c>
      <c r="BD53" s="12">
        <f>IF('Données projet'!$A$88&gt;35,BD52+BC53-BL52,IF(A53&lt;'Données projet'!$A$88,$BA$205^A53,IF(A53='Données projet'!$A$88,'Données projet'!$B$88,BD52+BC53-BL52)))</f>
        <v>153.99999999999994</v>
      </c>
      <c r="BE53" s="13">
        <f>BD53*VLOOKUP('Données projet'!$B$11,Paramètres!$A$1:$I$89,3,0)*VLOOKUP('Données projet'!$B$11,Paramètres!$A$1:$I$89,5,0)</f>
        <v>112.91279999999995</v>
      </c>
      <c r="BF53" s="13">
        <f t="shared" si="37"/>
        <v>30.016215601722546</v>
      </c>
      <c r="BG53" s="20">
        <f t="shared" si="7"/>
        <v>248.93470217300001</v>
      </c>
      <c r="BH53" s="59">
        <f t="shared" si="8"/>
        <v>542.26803550633326</v>
      </c>
      <c r="BI53" s="59">
        <f ca="1">AVERAGE(OFFSET($BH$3,0,0,'Données projet'!$E$11+1,1))-AVERAGE(OFFSET($H$3,0,0,'Données projet'!$E$11+1,1))</f>
        <v>146.45728988963538</v>
      </c>
      <c r="BJ53" s="59">
        <f t="shared" si="38"/>
        <v>156.91778940341118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0.34400000000000003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14.761003190331142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14.761003190331142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218</v>
      </c>
      <c r="BW53" s="12">
        <f>VLOOKUP(A53,'Données projet'!$A$113:$I$133,9,0)</f>
        <v>7</v>
      </c>
      <c r="BX53" s="12">
        <f t="array" ref="BX53">INDEX(BW:BW,MIN(IF(ISNUMBER(BW53:BW249),ROW(BW53:BW249),"")))</f>
        <v>7</v>
      </c>
      <c r="BY53" s="12">
        <f>IF('Données projet'!$A$114&gt;35,BY52+BX53-CG52,IF(A53&lt;'Données projet'!$A$114,$BV$205^A53,IF(A53='Données projet'!$A$114,'Données projet'!$B$114,BY52+BX53-CG52)))</f>
        <v>218</v>
      </c>
      <c r="BZ53" s="13">
        <f>BY53*VLOOKUP('Données projet'!$B$12,Paramètres!$A$1:$I$89,3,0)*VLOOKUP('Données projet'!$B$12,Paramètres!$A$1:$I$89,5,0)</f>
        <v>173.44080000000002</v>
      </c>
      <c r="CA53" s="13">
        <f t="shared" si="39"/>
        <v>43.859747318594479</v>
      </c>
      <c r="CB53" s="20">
        <f t="shared" si="10"/>
        <v>378.46511991321876</v>
      </c>
      <c r="CC53" s="59">
        <f t="shared" si="11"/>
        <v>671.79845324655207</v>
      </c>
      <c r="CD53" s="59">
        <f ca="1">AVERAGE(OFFSET($CC$3,0,0,'Données projet'!$E$12+1,1))-AVERAGE(OFFSET($H$3,0,0,'Données projet'!$E$12+1,1))</f>
        <v>238.71022302719206</v>
      </c>
      <c r="CE53" s="59">
        <f t="shared" si="40"/>
        <v>294.28794439094878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0.42400000000000004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28.154293265779756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28.154293265779756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218</v>
      </c>
      <c r="CR53" s="12">
        <f>VLOOKUP(A53,'Données projet'!$A$139:$I$159,9,0)</f>
        <v>7</v>
      </c>
      <c r="CS53" s="12">
        <f t="array" ref="CS53">INDEX(CR:CR,MIN(IF(ISNUMBER(CR53:CR249),ROW(CR53:CR249),"")))</f>
        <v>7</v>
      </c>
      <c r="CT53" s="12">
        <f>IF('Données projet'!$A$140&gt;35,CT52+CS53-DB52,IF(A53&lt;'Données projet'!$A$140,$CQ$205^A53,IF(A53='Données projet'!$A$140,'Données projet'!$B$140,CT52+CS53-DB52)))</f>
        <v>218</v>
      </c>
      <c r="CU53" s="17">
        <f>CT53*VLOOKUP('Données projet'!$B$13,Paramètres!$A$1:$I$89,3,0)*VLOOKUP('Données projet'!$B$13,Paramètres!$A$1:$I$89,5,0)</f>
        <v>173.44080000000002</v>
      </c>
      <c r="CV53" s="13">
        <f t="shared" si="41"/>
        <v>43.859747318594479</v>
      </c>
      <c r="CW53" s="20">
        <f t="shared" si="13"/>
        <v>378.46511991321876</v>
      </c>
      <c r="CX53" s="59">
        <f t="shared" si="14"/>
        <v>671.79845324655207</v>
      </c>
      <c r="CY53" s="59">
        <f ca="1">AVERAGE(OFFSET($CX$3,0,0,'Données projet'!$E$13+1,1))-AVERAGE(OFFSET($H$3,0,0,'Données projet'!$E$13+1,1))</f>
        <v>238.71022302719206</v>
      </c>
      <c r="CZ53" s="59">
        <f t="shared" si="42"/>
        <v>294.28794439094878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17</v>
      </c>
      <c r="DC53" s="16">
        <f>IF(ISNA(VLOOKUP(A53,'Données projet'!$A$139:$I$159,5,0)),0%,VLOOKUP(A53,'Données projet'!$A$139:$I$159,5,0)*VLOOKUP('Données projet'!$B$13,Paramètres!$A$1:$I$89,7,0))</f>
        <v>0.42400000000000004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28.154293265779756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28.154293265779756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154</v>
      </c>
      <c r="DM53" s="12">
        <f>VLOOKUP(A53,'Données projet'!$A$165:$I$185,9,0)</f>
        <v>8.1999999999999993</v>
      </c>
      <c r="DN53" s="12">
        <f t="array" ref="DN53">INDEX(DM:DM,MIN(IF(ISNUMBER(DM53:DM249),ROW(DM53:DM249),"")))</f>
        <v>8.1999999999999993</v>
      </c>
      <c r="DO53" s="12">
        <f>IF('Données projet'!$A$166&gt;35,DO52+DN53-DW52,IF(A53&lt;'Données projet'!$A$166,$DL$205^A53,IF(A53='Données projet'!$A$166,'Données projet'!$B$166,DO52+DN53-DW52)))</f>
        <v>153.99999999999994</v>
      </c>
      <c r="DP53" s="17">
        <f>DO53*VLOOKUP('Données projet'!$B$14,Paramètres!$A$1:$I$89,3,0)*VLOOKUP('Données projet'!$B$14,Paramètres!$A$1:$I$89,5,0)</f>
        <v>132.13199999999998</v>
      </c>
      <c r="DQ53" s="13">
        <f t="shared" si="43"/>
        <v>34.488534562859115</v>
      </c>
      <c r="DR53" s="20">
        <f t="shared" si="16"/>
        <v>290.19743103031288</v>
      </c>
      <c r="DS53" s="59">
        <f t="shared" si="17"/>
        <v>583.5307643636462</v>
      </c>
      <c r="DT53" s="59">
        <f ca="1">AVERAGE(OFFSET($DS$3,0,0,'Données projet'!$E$14+1,1))-AVERAGE(OFFSET($H$3,0,0,'Données projet'!$E$14+1,1))</f>
        <v>203.34232675618244</v>
      </c>
      <c r="DU53" s="59">
        <f t="shared" si="44"/>
        <v>176.81257896138806</v>
      </c>
      <c r="DV53" s="15">
        <f>IF(ISNA(VLOOKUP(A53,'Données projet'!$A$165:$I$185,3,0)),0,VLOOKUP(A53,'Données projet'!$A$165:$I$185,3,0))</f>
        <v>5</v>
      </c>
      <c r="DW53" s="15">
        <f>IF(ISNA(VLOOKUP(A53,'Données projet'!$A$165:$I$185,4,0)),0,VLOOKUP(A53,'Données projet'!$A$165:$I$185,4,0))</f>
        <v>21</v>
      </c>
      <c r="DX53" s="16">
        <f>IF(ISNA(VLOOKUP(A53,'Données projet'!$A$165:$I$185,5,0)),0%,VLOOKUP(A53,'Données projet'!$A$165:$I$185,5,0)*VLOOKUP('Données projet'!$B$14,Paramètres!$A$1:$I$89,7,0))</f>
        <v>0.42400000000000004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21.290610737167391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21.290610737167391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179</v>
      </c>
      <c r="EH53" s="12">
        <f>VLOOKUP(A53,'Données projet'!$A$191:$I$211,9,0)</f>
        <v>8.4</v>
      </c>
      <c r="EI53" s="12">
        <f t="array" ref="EI53">INDEX(EH:EH,MIN(IF(ISNUMBER(EH53:EH249),ROW(EH53:EH249),"")))</f>
        <v>8.4</v>
      </c>
      <c r="EJ53" s="12">
        <f>IF('Données projet'!$A$192&gt;35,EJ52+EI53-ER52,IF(A53&lt;'Données projet'!$A$192,$EG$205^A53,IF(A53='Données projet'!$A$192,'Données projet'!$B$192,EJ52+EI53-ER52)))</f>
        <v>179.00000000000006</v>
      </c>
      <c r="EK53" s="17">
        <f>EJ53*VLOOKUP('Données projet'!$B$15,Paramètres!$A$1:$I$89,3,0)*VLOOKUP('Données projet'!$B$15,Paramètres!$A$1:$I$89,5,0)</f>
        <v>173.12880000000007</v>
      </c>
      <c r="EL53" s="13">
        <f t="shared" si="45"/>
        <v>43.790025187181634</v>
      </c>
      <c r="EM53" s="20">
        <f t="shared" si="19"/>
        <v>377.80028720100813</v>
      </c>
      <c r="EN53" s="59">
        <f t="shared" si="20"/>
        <v>671.13362053434139</v>
      </c>
      <c r="EO53" s="59">
        <f ca="1">AVERAGE(OFFSET($EN$3,0,0,'Données projet'!$E$15+1,1))-AVERAGE(OFFSET($H$3,0,0,'Données projet'!$E$15+1,1))</f>
        <v>218.78765033569107</v>
      </c>
      <c r="EP53" s="59">
        <f t="shared" si="46"/>
        <v>246.54010105494137</v>
      </c>
      <c r="EQ53" s="15">
        <f>IF(ISNA(VLOOKUP(A53,'Données projet'!$A$191:$I$211,3,0)),0,VLOOKUP(A53,'Données projet'!$A$191:$I$211,3,0))</f>
        <v>6</v>
      </c>
      <c r="ER53" s="15">
        <f>IF(ISNA(VLOOKUP(A53,'Données projet'!$A$191:$I$211,4,0)),0,VLOOKUP(A53,'Données projet'!$A$191:$I$211,4,0))</f>
        <v>21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218</v>
      </c>
      <c r="FC53" s="12">
        <f>VLOOKUP(A53,'Données projet'!$A$217:$I$237,9,0)</f>
        <v>7</v>
      </c>
      <c r="FD53" s="12">
        <f t="array" ref="FD53">INDEX(FC:FC,MIN(IF(ISNUMBER(FC53:FC249),ROW(FC53:FC249),"")))</f>
        <v>7</v>
      </c>
      <c r="FE53" s="12">
        <f>IF('Données projet'!$A$218&gt;35,FE52+FD53-FM52,IF(A53&lt;'Données projet'!$A$218,$FB$205^A53,IF(A53='Données projet'!$A$218,'Données projet'!$B$218,FE52+FD53-FM52)))</f>
        <v>218</v>
      </c>
      <c r="FF53" s="17">
        <f>FE53*VLOOKUP('Données projet'!$B$16,Paramètres!$A$1:$I$89,3,0)*VLOOKUP('Données projet'!$B$16,Paramètres!$A$1:$I$89,5,0)</f>
        <v>142.83360000000002</v>
      </c>
      <c r="FG53" s="13">
        <f t="shared" si="47"/>
        <v>36.945384499054541</v>
      </c>
      <c r="FH53" s="20">
        <f t="shared" si="22"/>
        <v>313.11506466918667</v>
      </c>
      <c r="FI53" s="59">
        <f t="shared" si="23"/>
        <v>606.44839800251998</v>
      </c>
      <c r="FJ53" s="59">
        <f ca="1">AVERAGE(OFFSET($FI$3,0,0,'Données projet'!$E$16+1,1))-AVERAGE(OFFSET($H$3,0,0,'Données projet'!$E$16+1,1))</f>
        <v>170.80796812111521</v>
      </c>
      <c r="FK53" s="59">
        <f t="shared" si="48"/>
        <v>249.84047400410321</v>
      </c>
      <c r="FL53" s="15">
        <f>IF(ISNA(VLOOKUP(A53,'Données projet'!$A$217:$I$237,3,0)),0,VLOOKUP(A53,'Données projet'!$A$217:$I$237,3,0))</f>
        <v>8</v>
      </c>
      <c r="FM53" s="15">
        <f>IF(ISNA(VLOOKUP(A53,'Données projet'!$A$217:$I$237,4,0)),0,VLOOKUP(A53,'Données projet'!$A$217:$I$237,4,0))</f>
        <v>218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333.02360594713667</v>
      </c>
      <c r="T54" s="59">
        <f t="shared" si="34"/>
        <v>546.58234447298014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153.62729221428947</v>
      </c>
      <c r="AA54" s="21">
        <f>EXP(-LN(2)/25)*AA53+(1-EXP(-LN(2)/25))/(LN(2)/25)*Calculateur!V54*Calculateur!X54*VLOOKUP('Données projet'!$B$9,Paramètres!$A$1:$I$89,3,0)*0.475*44/12</f>
        <v>74.798800527312366</v>
      </c>
      <c r="AB54" s="21">
        <f>EXP(-LN(2)/2)*AB53+(1-EXP(-LN(2)/2))/(LN(2)/2)*V54*Y54*VLOOKUP('Données projet'!$B$9,Paramètres!$A$1:$I$89,3,0)*0.475*44/12</f>
        <v>5.173743647539089</v>
      </c>
      <c r="AC54" s="22">
        <f t="shared" si="3"/>
        <v>233.59983638914093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8.4</v>
      </c>
      <c r="AI54" s="13">
        <f>IF('Données projet'!$A$62&gt;35,AI53+AH54-AQ53,IF(A54&lt;'Données projet'!$A$62,$AF$205^A54,IF(A54='Données projet'!$A$62,'Données projet'!$B$62,AI53+AH54-AQ53)))</f>
        <v>141.39999999999995</v>
      </c>
      <c r="AJ54" s="13">
        <f>AI54*VLOOKUP('Données projet'!$B$10,Paramètres!$A$1:$I$89,3,0)*VLOOKUP('Données projet'!$B$10,Paramètres!$A$1:$I$89,5,0)</f>
        <v>123.52703999999997</v>
      </c>
      <c r="AK54" s="13">
        <f t="shared" si="35"/>
        <v>32.49623141727055</v>
      </c>
      <c r="AL54" s="20">
        <f t="shared" si="4"/>
        <v>271.74053105174613</v>
      </c>
      <c r="AM54" s="59">
        <f t="shared" si="5"/>
        <v>565.07386438507945</v>
      </c>
      <c r="AN54" s="59">
        <f ca="1">AVERAGE(OFFSET($AM$3,0,0,'Données projet'!$E$10+1,1))-AVERAGE(OFFSET($H$3,0,0,'Données projet'!$E$10+1,1))</f>
        <v>243.26825841283591</v>
      </c>
      <c r="AO54" s="59">
        <f t="shared" si="36"/>
        <v>179.2944312100729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10.177665193277479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10.177665193277479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8.4</v>
      </c>
      <c r="BD54" s="12">
        <f>IF('Données projet'!$A$88&gt;35,BD53+BC54-BL53,IF(A54&lt;'Données projet'!$A$88,$BA$205^A54,IF(A54='Données projet'!$A$88,'Données projet'!$B$88,BD53+BC54-BL53)))</f>
        <v>141.39999999999995</v>
      </c>
      <c r="BE54" s="13">
        <f>BD54*VLOOKUP('Données projet'!$B$11,Paramètres!$A$1:$I$89,3,0)*VLOOKUP('Données projet'!$B$11,Paramètres!$A$1:$I$89,5,0)</f>
        <v>103.67447999999996</v>
      </c>
      <c r="BF54" s="13">
        <f t="shared" si="37"/>
        <v>27.835544778660193</v>
      </c>
      <c r="BG54" s="20">
        <f t="shared" si="7"/>
        <v>229.04662648949974</v>
      </c>
      <c r="BH54" s="59">
        <f t="shared" si="8"/>
        <v>522.37995982283303</v>
      </c>
      <c r="BI54" s="59">
        <f ca="1">AVERAGE(OFFSET($BH$3,0,0,'Données projet'!$E$11+1,1))-AVERAGE(OFFSET($H$3,0,0,'Données projet'!$E$11+1,1))</f>
        <v>146.45728988963538</v>
      </c>
      <c r="BJ54" s="59">
        <f t="shared" si="38"/>
        <v>156.91778940341118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14.47154892109169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14.47154892109169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6.2</v>
      </c>
      <c r="BY54" s="12">
        <f>IF('Données projet'!$A$114&gt;35,BY53+BX54-CG53,IF(A54&lt;'Données projet'!$A$114,$BV$205^A54,IF(A54='Données projet'!$A$114,'Données projet'!$B$114,BY53+BX54-CG53)))</f>
        <v>207.2</v>
      </c>
      <c r="BZ54" s="13">
        <f>BY54*VLOOKUP('Données projet'!$B$12,Paramètres!$A$1:$I$89,3,0)*VLOOKUP('Données projet'!$B$12,Paramètres!$A$1:$I$89,5,0)</f>
        <v>164.84832</v>
      </c>
      <c r="CA54" s="13">
        <f t="shared" si="39"/>
        <v>41.934160358278433</v>
      </c>
      <c r="CB54" s="20">
        <f t="shared" si="10"/>
        <v>360.14615329066828</v>
      </c>
      <c r="CC54" s="59">
        <f t="shared" si="11"/>
        <v>653.47948662400154</v>
      </c>
      <c r="CD54" s="59">
        <f ca="1">AVERAGE(OFFSET($CC$3,0,0,'Données projet'!$E$12+1,1))-AVERAGE(OFFSET($H$3,0,0,'Données projet'!$E$12+1,1))</f>
        <v>238.71022302719206</v>
      </c>
      <c r="CE54" s="59">
        <f t="shared" si="40"/>
        <v>294.28794439094878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27.602204747261073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27.602204747261073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6.2</v>
      </c>
      <c r="CT54" s="12">
        <f>IF('Données projet'!$A$140&gt;35,CT53+CS54-DB53,IF(A54&lt;'Données projet'!$A$140,$CQ$205^A54,IF(A54='Données projet'!$A$140,'Données projet'!$B$140,CT53+CS54-DB53)))</f>
        <v>207.2</v>
      </c>
      <c r="CU54" s="17">
        <f>CT54*VLOOKUP('Données projet'!$B$13,Paramètres!$A$1:$I$89,3,0)*VLOOKUP('Données projet'!$B$13,Paramètres!$A$1:$I$89,5,0)</f>
        <v>164.84832</v>
      </c>
      <c r="CV54" s="13">
        <f t="shared" si="41"/>
        <v>41.934160358278433</v>
      </c>
      <c r="CW54" s="20">
        <f t="shared" si="13"/>
        <v>360.14615329066828</v>
      </c>
      <c r="CX54" s="59">
        <f t="shared" si="14"/>
        <v>653.47948662400154</v>
      </c>
      <c r="CY54" s="59">
        <f ca="1">AVERAGE(OFFSET($CX$3,0,0,'Données projet'!$E$13+1,1))-AVERAGE(OFFSET($H$3,0,0,'Données projet'!$E$13+1,1))</f>
        <v>238.71022302719206</v>
      </c>
      <c r="CZ54" s="59">
        <f t="shared" si="42"/>
        <v>294.28794439094878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27.602204747261073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27.602204747261073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8.4</v>
      </c>
      <c r="DO54" s="12">
        <f>IF('Données projet'!$A$166&gt;35,DO53+DN54-DW53,IF(A54&lt;'Données projet'!$A$166,$DL$205^A54,IF(A54='Données projet'!$A$166,'Données projet'!$B$166,DO53+DN54-DW53)))</f>
        <v>141.39999999999995</v>
      </c>
      <c r="DP54" s="17">
        <f>DO54*VLOOKUP('Données projet'!$B$14,Paramètres!$A$1:$I$89,3,0)*VLOOKUP('Données projet'!$B$14,Paramètres!$A$1:$I$89,5,0)</f>
        <v>121.32119999999998</v>
      </c>
      <c r="DQ54" s="13">
        <f t="shared" si="43"/>
        <v>31.982950846066768</v>
      </c>
      <c r="DR54" s="20">
        <f t="shared" si="16"/>
        <v>267.00472939023291</v>
      </c>
      <c r="DS54" s="59">
        <f t="shared" si="17"/>
        <v>560.33806272356628</v>
      </c>
      <c r="DT54" s="59">
        <f ca="1">AVERAGE(OFFSET($DS$3,0,0,'Données projet'!$E$14+1,1))-AVERAGE(OFFSET($H$3,0,0,'Données projet'!$E$14+1,1))</f>
        <v>203.34232675618244</v>
      </c>
      <c r="DU54" s="59">
        <f t="shared" si="44"/>
        <v>176.81257896138806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20.87311484660183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20.87311484660183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8</v>
      </c>
      <c r="EJ54" s="12">
        <f>IF('Données projet'!$A$192&gt;35,EJ53+EI54-ER53,IF(A54&lt;'Données projet'!$A$192,$EG$205^A54,IF(A54='Données projet'!$A$192,'Données projet'!$B$192,EJ53+EI54-ER53)))</f>
        <v>166.00000000000006</v>
      </c>
      <c r="EK54" s="17">
        <f>EJ54*VLOOKUP('Données projet'!$B$15,Paramètres!$A$1:$I$89,3,0)*VLOOKUP('Données projet'!$B$15,Paramètres!$A$1:$I$89,5,0)</f>
        <v>160.55520000000004</v>
      </c>
      <c r="EL54" s="13">
        <f t="shared" si="45"/>
        <v>40.96771705896618</v>
      </c>
      <c r="EM54" s="20">
        <f t="shared" si="19"/>
        <v>350.98574721103279</v>
      </c>
      <c r="EN54" s="59">
        <f t="shared" si="20"/>
        <v>644.3190805443661</v>
      </c>
      <c r="EO54" s="59">
        <f ca="1">AVERAGE(OFFSET($EN$3,0,0,'Données projet'!$E$15+1,1))-AVERAGE(OFFSET($H$3,0,0,'Données projet'!$E$15+1,1))</f>
        <v>218.78765033569107</v>
      </c>
      <c r="EP54" s="59">
        <f t="shared" si="46"/>
        <v>246.54010105494137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>
        <f>FE54*VLOOKUP('Données projet'!$B$16,Paramètres!$A$1:$I$89,3,0)*VLOOKUP('Données projet'!$B$16,Paramètres!$A$1:$I$89,5,0)</f>
        <v>0</v>
      </c>
      <c r="FG54" s="13" t="e">
        <f t="shared" si="47"/>
        <v>#NUM!</v>
      </c>
      <c r="FH54" s="20" t="e">
        <f t="shared" si="22"/>
        <v>#NUM!</v>
      </c>
      <c r="FI54" s="59" t="e">
        <f t="shared" si="23"/>
        <v>#NUM!</v>
      </c>
      <c r="FJ54" s="59">
        <f ca="1">AVERAGE(OFFSET($FI$3,0,0,'Données projet'!$E$16+1,1))-AVERAGE(OFFSET($H$3,0,0,'Données projet'!$E$16+1,1))</f>
        <v>170.80796812111521</v>
      </c>
      <c r="FK54" s="59">
        <f t="shared" si="48"/>
        <v>249.84047400410321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333.02360594713667</v>
      </c>
      <c r="T55" s="59">
        <f t="shared" si="34"/>
        <v>546.58234447298014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150.61475471736307</v>
      </c>
      <c r="AA55" s="21">
        <f>EXP(-LN(2)/25)*AA54+(1-EXP(-LN(2)/25))/(LN(2)/25)*Calculateur!V55*Calculateur!X55*VLOOKUP('Données projet'!$B$9,Paramètres!$A$1:$I$89,3,0)*0.475*44/12</f>
        <v>72.753423393395039</v>
      </c>
      <c r="AB55" s="21">
        <f>EXP(-LN(2)/2)*AB54+(1-EXP(-LN(2)/2))/(LN(2)/2)*V55*Y55*VLOOKUP('Données projet'!$B$9,Paramètres!$A$1:$I$89,3,0)*0.475*44/12</f>
        <v>3.6583892172957131</v>
      </c>
      <c r="AC55" s="22">
        <f t="shared" si="3"/>
        <v>227.0265673280538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8.4</v>
      </c>
      <c r="AI55" s="13">
        <f>IF('Données projet'!$A$62&gt;35,AI54+AH55-AQ54,IF(A55&lt;'Données projet'!$A$62,$AF$205^A55,IF(A55='Données projet'!$A$62,'Données projet'!$B$62,AI54+AH55-AQ54)))</f>
        <v>149.79999999999995</v>
      </c>
      <c r="AJ55" s="13">
        <f>AI55*VLOOKUP('Données projet'!$B$10,Paramètres!$A$1:$I$89,3,0)*VLOOKUP('Données projet'!$B$10,Paramètres!$A$1:$I$89,5,0)</f>
        <v>130.86527999999996</v>
      </c>
      <c r="AK55" s="13">
        <f t="shared" si="35"/>
        <v>34.19622287336729</v>
      </c>
      <c r="AL55" s="20">
        <f t="shared" si="4"/>
        <v>287.48211750444796</v>
      </c>
      <c r="AM55" s="59">
        <f t="shared" si="5"/>
        <v>580.81545083778133</v>
      </c>
      <c r="AN55" s="59">
        <f ca="1">AVERAGE(OFFSET($AM$3,0,0,'Données projet'!$E$10+1,1))-AVERAGE(OFFSET($H$3,0,0,'Données projet'!$E$10+1,1))</f>
        <v>243.26825841283591</v>
      </c>
      <c r="AO55" s="59">
        <f t="shared" si="36"/>
        <v>179.2944312100729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9.9780873866001087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9.9780873866001087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8.4</v>
      </c>
      <c r="BD55" s="12">
        <f>IF('Données projet'!$A$88&gt;35,BD54+BC55-BL54,IF(A55&lt;'Données projet'!$A$88,$BA$205^A55,IF(A55='Données projet'!$A$88,'Données projet'!$B$88,BD54+BC55-BL54)))</f>
        <v>149.79999999999995</v>
      </c>
      <c r="BE55" s="13">
        <f>BD55*VLOOKUP('Données projet'!$B$11,Paramètres!$A$1:$I$89,3,0)*VLOOKUP('Données projet'!$B$11,Paramètres!$A$1:$I$89,5,0)</f>
        <v>109.83335999999997</v>
      </c>
      <c r="BF55" s="13">
        <f t="shared" si="37"/>
        <v>29.291719425249283</v>
      </c>
      <c r="BG55" s="20">
        <f t="shared" si="7"/>
        <v>242.30951333230908</v>
      </c>
      <c r="BH55" s="59">
        <f t="shared" si="8"/>
        <v>535.64284666564242</v>
      </c>
      <c r="BI55" s="59">
        <f ca="1">AVERAGE(OFFSET($BH$3,0,0,'Données projet'!$E$11+1,1))-AVERAGE(OFFSET($H$3,0,0,'Données projet'!$E$11+1,1))</f>
        <v>146.45728988963538</v>
      </c>
      <c r="BJ55" s="59">
        <f t="shared" si="38"/>
        <v>156.91778940341118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14.187770673522353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14.187770673522353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6.2</v>
      </c>
      <c r="BY55" s="12">
        <f>IF('Données projet'!$A$114&gt;35,BY54+BX55-CG54,IF(A55&lt;'Données projet'!$A$114,$BV$205^A55,IF(A55='Données projet'!$A$114,'Données projet'!$B$114,BY54+BX55-CG54)))</f>
        <v>213.39999999999998</v>
      </c>
      <c r="BZ55" s="13">
        <f>BY55*VLOOKUP('Données projet'!$B$12,Paramètres!$A$1:$I$89,3,0)*VLOOKUP('Données projet'!$B$12,Paramètres!$A$1:$I$89,5,0)</f>
        <v>169.78103999999999</v>
      </c>
      <c r="CA55" s="13">
        <f t="shared" si="39"/>
        <v>43.040980151296445</v>
      </c>
      <c r="CB55" s="20">
        <f t="shared" si="10"/>
        <v>370.6650184301746</v>
      </c>
      <c r="CC55" s="59">
        <f t="shared" si="11"/>
        <v>663.99835176350791</v>
      </c>
      <c r="CD55" s="59">
        <f ca="1">AVERAGE(OFFSET($CC$3,0,0,'Données projet'!$E$12+1,1))-AVERAGE(OFFSET($H$3,0,0,'Données projet'!$E$12+1,1))</f>
        <v>238.71022302719206</v>
      </c>
      <c r="CE55" s="59">
        <f t="shared" si="40"/>
        <v>294.28794439094878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27.060942347849792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27.060942347849792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6.2</v>
      </c>
      <c r="CT55" s="12">
        <f>IF('Données projet'!$A$140&gt;35,CT54+CS55-DB54,IF(A55&lt;'Données projet'!$A$140,$CQ$205^A55,IF(A55='Données projet'!$A$140,'Données projet'!$B$140,CT54+CS55-DB54)))</f>
        <v>213.39999999999998</v>
      </c>
      <c r="CU55" s="17">
        <f>CT55*VLOOKUP('Données projet'!$B$13,Paramètres!$A$1:$I$89,3,0)*VLOOKUP('Données projet'!$B$13,Paramètres!$A$1:$I$89,5,0)</f>
        <v>169.78103999999999</v>
      </c>
      <c r="CV55" s="13">
        <f t="shared" si="41"/>
        <v>43.040980151296445</v>
      </c>
      <c r="CW55" s="20">
        <f t="shared" si="13"/>
        <v>370.6650184301746</v>
      </c>
      <c r="CX55" s="59">
        <f t="shared" si="14"/>
        <v>663.99835176350791</v>
      </c>
      <c r="CY55" s="59">
        <f ca="1">AVERAGE(OFFSET($CX$3,0,0,'Données projet'!$E$13+1,1))-AVERAGE(OFFSET($H$3,0,0,'Données projet'!$E$13+1,1))</f>
        <v>238.71022302719206</v>
      </c>
      <c r="CZ55" s="59">
        <f t="shared" si="42"/>
        <v>294.28794439094878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27.060942347849792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27.060942347849792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8.4</v>
      </c>
      <c r="DO55" s="12">
        <f>IF('Données projet'!$A$166&gt;35,DO54+DN55-DW54,IF(A55&lt;'Données projet'!$A$166,$DL$205^A55,IF(A55='Données projet'!$A$166,'Données projet'!$B$166,DO54+DN55-DW54)))</f>
        <v>149.79999999999995</v>
      </c>
      <c r="DP55" s="17">
        <f>DO55*VLOOKUP('Données projet'!$B$14,Paramètres!$A$1:$I$89,3,0)*VLOOKUP('Données projet'!$B$14,Paramètres!$A$1:$I$89,5,0)</f>
        <v>128.52839999999998</v>
      </c>
      <c r="DQ55" s="13">
        <f t="shared" si="43"/>
        <v>33.656090801310327</v>
      </c>
      <c r="DR55" s="20">
        <f t="shared" si="16"/>
        <v>282.47132147894871</v>
      </c>
      <c r="DS55" s="59">
        <f t="shared" si="17"/>
        <v>575.80465481228202</v>
      </c>
      <c r="DT55" s="59">
        <f ca="1">AVERAGE(OFFSET($DS$3,0,0,'Données projet'!$E$14+1,1))-AVERAGE(OFFSET($H$3,0,0,'Données projet'!$E$14+1,1))</f>
        <v>203.34232675618244</v>
      </c>
      <c r="DU55" s="59">
        <f t="shared" si="44"/>
        <v>176.81257896138806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20.463805795802909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20.463805795802909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8</v>
      </c>
      <c r="EJ55" s="12">
        <f>IF('Données projet'!$A$192&gt;35,EJ54+EI55-ER54,IF(A55&lt;'Données projet'!$A$192,$EG$205^A55,IF(A55='Données projet'!$A$192,'Données projet'!$B$192,EJ54+EI55-ER54)))</f>
        <v>174.00000000000006</v>
      </c>
      <c r="EK55" s="17">
        <f>EJ55*VLOOKUP('Données projet'!$B$15,Paramètres!$A$1:$I$89,3,0)*VLOOKUP('Données projet'!$B$15,Paramètres!$A$1:$I$89,5,0)</f>
        <v>168.29280000000006</v>
      </c>
      <c r="EL55" s="13">
        <f t="shared" si="45"/>
        <v>42.707443263135104</v>
      </c>
      <c r="EM55" s="20">
        <f t="shared" si="19"/>
        <v>367.49209034996039</v>
      </c>
      <c r="EN55" s="59">
        <f t="shared" si="20"/>
        <v>660.82542368329371</v>
      </c>
      <c r="EO55" s="59">
        <f ca="1">AVERAGE(OFFSET($EN$3,0,0,'Données projet'!$E$15+1,1))-AVERAGE(OFFSET($H$3,0,0,'Données projet'!$E$15+1,1))</f>
        <v>218.78765033569107</v>
      </c>
      <c r="EP55" s="59">
        <f t="shared" si="46"/>
        <v>246.54010105494137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>
        <f>FE55*VLOOKUP('Données projet'!$B$16,Paramètres!$A$1:$I$89,3,0)*VLOOKUP('Données projet'!$B$16,Paramètres!$A$1:$I$89,5,0)</f>
        <v>0</v>
      </c>
      <c r="FG55" s="13" t="e">
        <f t="shared" si="47"/>
        <v>#NUM!</v>
      </c>
      <c r="FH55" s="20" t="e">
        <f t="shared" si="22"/>
        <v>#NUM!</v>
      </c>
      <c r="FI55" s="59" t="e">
        <f t="shared" si="23"/>
        <v>#NUM!</v>
      </c>
      <c r="FJ55" s="59">
        <f ca="1">AVERAGE(OFFSET($FI$3,0,0,'Données projet'!$E$16+1,1))-AVERAGE(OFFSET($H$3,0,0,'Données projet'!$E$16+1,1))</f>
        <v>170.80796812111521</v>
      </c>
      <c r="FK55" s="59">
        <f t="shared" si="48"/>
        <v>249.84047400410321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333.02360594713667</v>
      </c>
      <c r="T56" s="59">
        <f t="shared" si="34"/>
        <v>546.58234447298014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147.66129124328495</v>
      </c>
      <c r="AA56" s="21">
        <f>EXP(-LN(2)/25)*AA55+(1-EXP(-LN(2)/25))/(LN(2)/25)*Calculateur!V56*Calculateur!X56*VLOOKUP('Données projet'!$B$9,Paramètres!$A$1:$I$89,3,0)*0.475*44/12</f>
        <v>70.763977204766391</v>
      </c>
      <c r="AB56" s="21">
        <f>EXP(-LN(2)/2)*AB55+(1-EXP(-LN(2)/2))/(LN(2)/2)*V56*Y56*VLOOKUP('Données projet'!$B$9,Paramètres!$A$1:$I$89,3,0)*0.475*44/12</f>
        <v>2.5868718237695449</v>
      </c>
      <c r="AC56" s="22">
        <f t="shared" si="3"/>
        <v>221.01214027182087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8.4</v>
      </c>
      <c r="AI56" s="13">
        <f>IF('Données projet'!$A$62&gt;35,AI55+AH56-AQ55,IF(A56&lt;'Données projet'!$A$62,$AF$205^A56,IF(A56='Données projet'!$A$62,'Données projet'!$B$62,AI55+AH56-AQ55)))</f>
        <v>158.19999999999996</v>
      </c>
      <c r="AJ56" s="13">
        <f>AI56*VLOOKUP('Données projet'!$B$10,Paramètres!$A$1:$I$89,3,0)*VLOOKUP('Données projet'!$B$10,Paramètres!$A$1:$I$89,5,0)</f>
        <v>138.20351999999997</v>
      </c>
      <c r="AK56" s="13">
        <f t="shared" si="35"/>
        <v>35.885148322765289</v>
      </c>
      <c r="AL56" s="20">
        <f t="shared" si="4"/>
        <v>303.20443066214949</v>
      </c>
      <c r="AM56" s="59">
        <f t="shared" si="5"/>
        <v>596.53776399548281</v>
      </c>
      <c r="AN56" s="59">
        <f ca="1">AVERAGE(OFFSET($AM$3,0,0,'Données projet'!$E$10+1,1))-AVERAGE(OFFSET($H$3,0,0,'Données projet'!$E$10+1,1))</f>
        <v>243.26825841283591</v>
      </c>
      <c r="AO56" s="59">
        <f t="shared" si="36"/>
        <v>179.2944312100729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9.7824231789812401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9.7824231789812401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8.4</v>
      </c>
      <c r="BD56" s="12">
        <f>IF('Données projet'!$A$88&gt;35,BD55+BC56-BL55,IF(A56&lt;'Données projet'!$A$88,$BA$205^A56,IF(A56='Données projet'!$A$88,'Données projet'!$B$88,BD55+BC56-BL55)))</f>
        <v>158.19999999999996</v>
      </c>
      <c r="BE56" s="13">
        <f>BD56*VLOOKUP('Données projet'!$B$11,Paramètres!$A$1:$I$89,3,0)*VLOOKUP('Données projet'!$B$11,Paramètres!$A$1:$I$89,5,0)</f>
        <v>115.99223999999995</v>
      </c>
      <c r="BF56" s="13">
        <f t="shared" si="37"/>
        <v>30.738415178085152</v>
      </c>
      <c r="BG56" s="20">
        <f t="shared" si="7"/>
        <v>255.55589110183152</v>
      </c>
      <c r="BH56" s="59">
        <f t="shared" si="8"/>
        <v>548.88922443516481</v>
      </c>
      <c r="BI56" s="59">
        <f ca="1">AVERAGE(OFFSET($BH$3,0,0,'Données projet'!$E$11+1,1))-AVERAGE(OFFSET($H$3,0,0,'Données projet'!$E$11+1,1))</f>
        <v>146.45728988963538</v>
      </c>
      <c r="BJ56" s="59">
        <f t="shared" si="38"/>
        <v>156.91778940341118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13.90955714430021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13.90955714430021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6.2</v>
      </c>
      <c r="BY56" s="12">
        <f>IF('Données projet'!$A$114&gt;35,BY55+BX56-CG55,IF(A56&lt;'Données projet'!$A$114,$BV$205^A56,IF(A56='Données projet'!$A$114,'Données projet'!$B$114,BY55+BX56-CG55)))</f>
        <v>219.59999999999997</v>
      </c>
      <c r="BZ56" s="13">
        <f>BY56*VLOOKUP('Données projet'!$B$12,Paramètres!$A$1:$I$89,3,0)*VLOOKUP('Données projet'!$B$12,Paramètres!$A$1:$I$89,5,0)</f>
        <v>174.71375999999998</v>
      </c>
      <c r="CA56" s="13">
        <f t="shared" si="39"/>
        <v>44.144062647515817</v>
      </c>
      <c r="CB56" s="20">
        <f t="shared" si="10"/>
        <v>381.17737444442332</v>
      </c>
      <c r="CC56" s="59">
        <f t="shared" si="11"/>
        <v>674.51070777775658</v>
      </c>
      <c r="CD56" s="59">
        <f ca="1">AVERAGE(OFFSET($CC$3,0,0,'Données projet'!$E$12+1,1))-AVERAGE(OFFSET($H$3,0,0,'Données projet'!$E$12+1,1))</f>
        <v>238.71022302719206</v>
      </c>
      <c r="CE56" s="59">
        <f t="shared" si="40"/>
        <v>294.28794439094878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26.530293773953503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26.530293773953503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6.2</v>
      </c>
      <c r="CT56" s="12">
        <f>IF('Données projet'!$A$140&gt;35,CT55+CS56-DB55,IF(A56&lt;'Données projet'!$A$140,$CQ$205^A56,IF(A56='Données projet'!$A$140,'Données projet'!$B$140,CT55+CS56-DB55)))</f>
        <v>219.59999999999997</v>
      </c>
      <c r="CU56" s="17">
        <f>CT56*VLOOKUP('Données projet'!$B$13,Paramètres!$A$1:$I$89,3,0)*VLOOKUP('Données projet'!$B$13,Paramètres!$A$1:$I$89,5,0)</f>
        <v>174.71375999999998</v>
      </c>
      <c r="CV56" s="13">
        <f t="shared" si="41"/>
        <v>44.144062647515817</v>
      </c>
      <c r="CW56" s="20">
        <f t="shared" si="13"/>
        <v>381.17737444442332</v>
      </c>
      <c r="CX56" s="59">
        <f t="shared" si="14"/>
        <v>674.51070777775658</v>
      </c>
      <c r="CY56" s="59">
        <f ca="1">AVERAGE(OFFSET($CX$3,0,0,'Données projet'!$E$13+1,1))-AVERAGE(OFFSET($H$3,0,0,'Données projet'!$E$13+1,1))</f>
        <v>238.71022302719206</v>
      </c>
      <c r="CZ56" s="59">
        <f t="shared" si="42"/>
        <v>294.28794439094878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26.530293773953503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26.530293773953503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8.4</v>
      </c>
      <c r="DO56" s="12">
        <f>IF('Données projet'!$A$166&gt;35,DO55+DN56-DW55,IF(A56&lt;'Données projet'!$A$166,$DL$205^A56,IF(A56='Données projet'!$A$166,'Données projet'!$B$166,DO55+DN56-DW55)))</f>
        <v>158.19999999999996</v>
      </c>
      <c r="DP56" s="17">
        <f>DO56*VLOOKUP('Données projet'!$B$14,Paramètres!$A$1:$I$89,3,0)*VLOOKUP('Données projet'!$B$14,Paramètres!$A$1:$I$89,5,0)</f>
        <v>135.73559999999998</v>
      </c>
      <c r="DQ56" s="13">
        <f t="shared" si="43"/>
        <v>35.318339538314937</v>
      </c>
      <c r="DR56" s="20">
        <f t="shared" si="16"/>
        <v>297.91894469589852</v>
      </c>
      <c r="DS56" s="59">
        <f t="shared" si="17"/>
        <v>591.25227802923177</v>
      </c>
      <c r="DT56" s="59">
        <f ca="1">AVERAGE(OFFSET($DS$3,0,0,'Données projet'!$E$14+1,1))-AVERAGE(OFFSET($H$3,0,0,'Données projet'!$E$14+1,1))</f>
        <v>203.34232675618244</v>
      </c>
      <c r="DU56" s="59">
        <f t="shared" si="44"/>
        <v>176.81257896138806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20.062523045836286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20.062523045836286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8</v>
      </c>
      <c r="EJ56" s="12">
        <f>IF('Données projet'!$A$192&gt;35,EJ55+EI56-ER55,IF(A56&lt;'Données projet'!$A$192,$EG$205^A56,IF(A56='Données projet'!$A$192,'Données projet'!$B$192,EJ55+EI56-ER55)))</f>
        <v>182.00000000000006</v>
      </c>
      <c r="EK56" s="17">
        <f>EJ56*VLOOKUP('Données projet'!$B$15,Paramètres!$A$1:$I$89,3,0)*VLOOKUP('Données projet'!$B$15,Paramètres!$A$1:$I$89,5,0)</f>
        <v>176.03040000000004</v>
      </c>
      <c r="EL56" s="13">
        <f t="shared" si="45"/>
        <v>44.437880346232944</v>
      </c>
      <c r="EM56" s="20">
        <f t="shared" si="19"/>
        <v>383.98225493635573</v>
      </c>
      <c r="EN56" s="59">
        <f t="shared" si="20"/>
        <v>677.31558826968899</v>
      </c>
      <c r="EO56" s="59">
        <f ca="1">AVERAGE(OFFSET($EN$3,0,0,'Données projet'!$E$15+1,1))-AVERAGE(OFFSET($H$3,0,0,'Données projet'!$E$15+1,1))</f>
        <v>218.78765033569107</v>
      </c>
      <c r="EP56" s="59">
        <f t="shared" si="46"/>
        <v>246.54010105494137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>
        <f>FE56*VLOOKUP('Données projet'!$B$16,Paramètres!$A$1:$I$89,3,0)*VLOOKUP('Données projet'!$B$16,Paramètres!$A$1:$I$89,5,0)</f>
        <v>0</v>
      </c>
      <c r="FG56" s="13" t="e">
        <f t="shared" si="47"/>
        <v>#NUM!</v>
      </c>
      <c r="FH56" s="20" t="e">
        <f t="shared" si="22"/>
        <v>#NUM!</v>
      </c>
      <c r="FI56" s="59" t="e">
        <f t="shared" si="23"/>
        <v>#NUM!</v>
      </c>
      <c r="FJ56" s="59">
        <f ca="1">AVERAGE(OFFSET($FI$3,0,0,'Données projet'!$E$16+1,1))-AVERAGE(OFFSET($H$3,0,0,'Données projet'!$E$16+1,1))</f>
        <v>170.80796812111521</v>
      </c>
      <c r="FK56" s="59">
        <f t="shared" si="48"/>
        <v>249.84047400410321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333.02360594713667</v>
      </c>
      <c r="T57" s="59">
        <f t="shared" si="34"/>
        <v>546.58234447298014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144.76574338649866</v>
      </c>
      <c r="AA57" s="21">
        <f>EXP(-LN(2)/25)*AA56+(1-EXP(-LN(2)/25))/(LN(2)/25)*Calculateur!V57*Calculateur!X57*VLOOKUP('Données projet'!$B$9,Paramètres!$A$1:$I$89,3,0)*0.475*44/12</f>
        <v>68.828932526786232</v>
      </c>
      <c r="AB57" s="21">
        <f>EXP(-LN(2)/2)*AB56+(1-EXP(-LN(2)/2))/(LN(2)/2)*V57*Y57*VLOOKUP('Données projet'!$B$9,Paramètres!$A$1:$I$89,3,0)*0.475*44/12</f>
        <v>1.8291946086478568</v>
      </c>
      <c r="AC57" s="22">
        <f t="shared" si="3"/>
        <v>215.42387052193277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8.4</v>
      </c>
      <c r="AI57" s="13">
        <f>IF('Données projet'!$A$62&gt;35,AI56+AH57-AQ56,IF(A57&lt;'Données projet'!$A$62,$AF$205^A57,IF(A57='Données projet'!$A$62,'Données projet'!$B$62,AI56+AH57-AQ56)))</f>
        <v>166.59999999999997</v>
      </c>
      <c r="AJ57" s="13">
        <f>AI57*VLOOKUP('Données projet'!$B$10,Paramètres!$A$1:$I$89,3,0)*VLOOKUP('Données projet'!$B$10,Paramètres!$A$1:$I$89,5,0)</f>
        <v>145.54175999999998</v>
      </c>
      <c r="AK57" s="13">
        <f t="shared" si="35"/>
        <v>37.563662342876064</v>
      </c>
      <c r="AL57" s="20">
        <f t="shared" si="4"/>
        <v>318.90861058050911</v>
      </c>
      <c r="AM57" s="59">
        <f t="shared" si="5"/>
        <v>612.24194391384242</v>
      </c>
      <c r="AN57" s="59">
        <f ca="1">AVERAGE(OFFSET($AM$3,0,0,'Données projet'!$E$10+1,1))-AVERAGE(OFFSET($H$3,0,0,'Données projet'!$E$10+1,1))</f>
        <v>243.26825841283591</v>
      </c>
      <c r="AO57" s="59">
        <f t="shared" si="36"/>
        <v>179.2944312100729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9.5905958271303948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9.5905958271303948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8.4</v>
      </c>
      <c r="BD57" s="12">
        <f>IF('Données projet'!$A$88&gt;35,BD56+BC57-BL56,IF(A57&lt;'Données projet'!$A$88,$BA$205^A57,IF(A57='Données projet'!$A$88,'Données projet'!$B$88,BD56+BC57-BL56)))</f>
        <v>166.59999999999997</v>
      </c>
      <c r="BE57" s="13">
        <f>BD57*VLOOKUP('Données projet'!$B$11,Paramètres!$A$1:$I$89,3,0)*VLOOKUP('Données projet'!$B$11,Paramètres!$A$1:$I$89,5,0)</f>
        <v>122.15111999999996</v>
      </c>
      <c r="BF57" s="13">
        <f t="shared" si="37"/>
        <v>32.176192733533334</v>
      </c>
      <c r="BG57" s="20">
        <f t="shared" si="7"/>
        <v>268.78673634423711</v>
      </c>
      <c r="BH57" s="59">
        <f t="shared" si="8"/>
        <v>562.12006967757043</v>
      </c>
      <c r="BI57" s="59">
        <f ca="1">AVERAGE(OFFSET($BH$3,0,0,'Données projet'!$E$11+1,1))-AVERAGE(OFFSET($H$3,0,0,'Données projet'!$E$11+1,1))</f>
        <v>146.45728988963538</v>
      </c>
      <c r="BJ57" s="59">
        <f t="shared" si="38"/>
        <v>156.91778940341118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13.636799212692617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13.636799212692617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6.2</v>
      </c>
      <c r="BY57" s="12">
        <f>IF('Données projet'!$A$114&gt;35,BY56+BX57-CG56,IF(A57&lt;'Données projet'!$A$114,$BV$205^A57,IF(A57='Données projet'!$A$114,'Données projet'!$B$114,BY56+BX57-CG56)))</f>
        <v>225.79999999999995</v>
      </c>
      <c r="BZ57" s="13">
        <f>BY57*VLOOKUP('Données projet'!$B$12,Paramètres!$A$1:$I$89,3,0)*VLOOKUP('Données projet'!$B$12,Paramètres!$A$1:$I$89,5,0)</f>
        <v>179.64647999999997</v>
      </c>
      <c r="CA57" s="13">
        <f t="shared" si="39"/>
        <v>45.24352548294069</v>
      </c>
      <c r="CB57" s="20">
        <f t="shared" si="10"/>
        <v>391.68342621612163</v>
      </c>
      <c r="CC57" s="59">
        <f t="shared" si="11"/>
        <v>685.01675954945495</v>
      </c>
      <c r="CD57" s="59">
        <f ca="1">AVERAGE(OFFSET($CC$3,0,0,'Données projet'!$E$12+1,1))-AVERAGE(OFFSET($H$3,0,0,'Données projet'!$E$12+1,1))</f>
        <v>238.71022302719206</v>
      </c>
      <c r="CE57" s="59">
        <f t="shared" si="40"/>
        <v>294.28794439094878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26.010050894927648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26.010050894927648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6.2</v>
      </c>
      <c r="CT57" s="12">
        <f>IF('Données projet'!$A$140&gt;35,CT56+CS57-DB56,IF(A57&lt;'Données projet'!$A$140,$CQ$205^A57,IF(A57='Données projet'!$A$140,'Données projet'!$B$140,CT56+CS57-DB56)))</f>
        <v>225.79999999999995</v>
      </c>
      <c r="CU57" s="17">
        <f>CT57*VLOOKUP('Données projet'!$B$13,Paramètres!$A$1:$I$89,3,0)*VLOOKUP('Données projet'!$B$13,Paramètres!$A$1:$I$89,5,0)</f>
        <v>179.64647999999997</v>
      </c>
      <c r="CV57" s="13">
        <f t="shared" si="41"/>
        <v>45.24352548294069</v>
      </c>
      <c r="CW57" s="20">
        <f t="shared" si="13"/>
        <v>391.68342621612163</v>
      </c>
      <c r="CX57" s="59">
        <f t="shared" si="14"/>
        <v>685.01675954945495</v>
      </c>
      <c r="CY57" s="59">
        <f ca="1">AVERAGE(OFFSET($CX$3,0,0,'Données projet'!$E$13+1,1))-AVERAGE(OFFSET($H$3,0,0,'Données projet'!$E$13+1,1))</f>
        <v>238.71022302719206</v>
      </c>
      <c r="CZ57" s="59">
        <f t="shared" si="42"/>
        <v>294.28794439094878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26.010050894927648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26.010050894927648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8.4</v>
      </c>
      <c r="DO57" s="12">
        <f>IF('Données projet'!$A$166&gt;35,DO56+DN57-DW56,IF(A57&lt;'Données projet'!$A$166,$DL$205^A57,IF(A57='Données projet'!$A$166,'Données projet'!$B$166,DO56+DN57-DW56)))</f>
        <v>166.59999999999997</v>
      </c>
      <c r="DP57" s="17">
        <f>DO57*VLOOKUP('Données projet'!$B$14,Paramètres!$A$1:$I$89,3,0)*VLOOKUP('Données projet'!$B$14,Paramètres!$A$1:$I$89,5,0)</f>
        <v>142.94280000000001</v>
      </c>
      <c r="DQ57" s="13">
        <f t="shared" si="43"/>
        <v>36.97034129538963</v>
      </c>
      <c r="DR57" s="20">
        <f t="shared" si="16"/>
        <v>313.3487210894703</v>
      </c>
      <c r="DS57" s="59">
        <f t="shared" si="17"/>
        <v>606.68205442280362</v>
      </c>
      <c r="DT57" s="59">
        <f ca="1">AVERAGE(OFFSET($DS$3,0,0,'Données projet'!$E$14+1,1))-AVERAGE(OFFSET($H$3,0,0,'Données projet'!$E$14+1,1))</f>
        <v>203.34232675618244</v>
      </c>
      <c r="DU57" s="59">
        <f t="shared" si="44"/>
        <v>176.81257896138806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19.669109205838197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19.669109205838197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8</v>
      </c>
      <c r="EJ57" s="12">
        <f>IF('Données projet'!$A$192&gt;35,EJ56+EI57-ER56,IF(A57&lt;'Données projet'!$A$192,$EG$205^A57,IF(A57='Données projet'!$A$192,'Données projet'!$B$192,EJ56+EI57-ER56)))</f>
        <v>190.00000000000006</v>
      </c>
      <c r="EK57" s="17">
        <f>EJ57*VLOOKUP('Données projet'!$B$15,Paramètres!$A$1:$I$89,3,0)*VLOOKUP('Données projet'!$B$15,Paramètres!$A$1:$I$89,5,0)</f>
        <v>183.76800000000006</v>
      </c>
      <c r="EL57" s="13">
        <f t="shared" si="45"/>
        <v>46.159483283907285</v>
      </c>
      <c r="EM57" s="20">
        <f t="shared" si="19"/>
        <v>400.45703338613862</v>
      </c>
      <c r="EN57" s="59">
        <f t="shared" si="20"/>
        <v>693.79036671947188</v>
      </c>
      <c r="EO57" s="59">
        <f ca="1">AVERAGE(OFFSET($EN$3,0,0,'Données projet'!$E$15+1,1))-AVERAGE(OFFSET($H$3,0,0,'Données projet'!$E$15+1,1))</f>
        <v>218.78765033569107</v>
      </c>
      <c r="EP57" s="59">
        <f t="shared" si="46"/>
        <v>246.54010105494137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>
        <f>FE57*VLOOKUP('Données projet'!$B$16,Paramètres!$A$1:$I$89,3,0)*VLOOKUP('Données projet'!$B$16,Paramètres!$A$1:$I$89,5,0)</f>
        <v>0</v>
      </c>
      <c r="FG57" s="13" t="e">
        <f t="shared" si="47"/>
        <v>#NUM!</v>
      </c>
      <c r="FH57" s="20" t="e">
        <f t="shared" si="22"/>
        <v>#NUM!</v>
      </c>
      <c r="FI57" s="59" t="e">
        <f t="shared" si="23"/>
        <v>#NUM!</v>
      </c>
      <c r="FJ57" s="59">
        <f ca="1">AVERAGE(OFFSET($FI$3,0,0,'Données projet'!$E$16+1,1))-AVERAGE(OFFSET($H$3,0,0,'Données projet'!$E$16+1,1))</f>
        <v>170.80796812111521</v>
      </c>
      <c r="FK57" s="59">
        <f t="shared" si="48"/>
        <v>249.84047400410321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333.02360594713667</v>
      </c>
      <c r="T58" s="59">
        <f t="shared" si="34"/>
        <v>546.58234447298014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141.92697545707415</v>
      </c>
      <c r="AA58" s="21">
        <f>EXP(-LN(2)/25)*AA57+(1-EXP(-LN(2)/25))/(LN(2)/25)*Calculateur!V58*Calculateur!X58*VLOOKUP('Données projet'!$B$9,Paramètres!$A$1:$I$89,3,0)*0.475*44/12</f>
        <v>66.946801747285008</v>
      </c>
      <c r="AB58" s="21">
        <f>EXP(-LN(2)/2)*AB57+(1-EXP(-LN(2)/2))/(LN(2)/2)*V58*Y58*VLOOKUP('Données projet'!$B$9,Paramètres!$A$1:$I$89,3,0)*0.475*44/12</f>
        <v>1.2934359118847725</v>
      </c>
      <c r="AC58" s="22">
        <f t="shared" si="3"/>
        <v>210.16721311624394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175</v>
      </c>
      <c r="AG58" s="12">
        <f>VLOOKUP(A58,'Données projet'!$A$61:$I$81,9,0)</f>
        <v>8.4</v>
      </c>
      <c r="AH58" s="12">
        <f t="array" ref="AH58">INDEX(AG:AG,MIN(IF(ISNUMBER(AG58:AG254),ROW(AG58:AG254),"")))</f>
        <v>8.4</v>
      </c>
      <c r="AI58" s="13">
        <f>IF('Données projet'!$A$62&gt;35,AI57+AH58-AQ57,IF(A58&lt;'Données projet'!$A$62,$AF$205^A58,IF(A58='Données projet'!$A$62,'Données projet'!$B$62,AI57+AH58-AQ57)))</f>
        <v>174.99999999999997</v>
      </c>
      <c r="AJ58" s="13">
        <f>AI58*VLOOKUP('Données projet'!$B$10,Paramètres!$A$1:$I$89,3,0)*VLOOKUP('Données projet'!$B$10,Paramètres!$A$1:$I$89,5,0)</f>
        <v>152.88</v>
      </c>
      <c r="AK58" s="13">
        <f t="shared" si="35"/>
        <v>39.232349774697852</v>
      </c>
      <c r="AL58" s="20">
        <f t="shared" si="4"/>
        <v>334.59567585759874</v>
      </c>
      <c r="AM58" s="59">
        <f t="shared" si="5"/>
        <v>627.92900919093199</v>
      </c>
      <c r="AN58" s="59">
        <f ca="1">AVERAGE(OFFSET($AM$3,0,0,'Données projet'!$E$10+1,1))-AVERAGE(OFFSET($H$3,0,0,'Données projet'!$E$10+1,1))</f>
        <v>243.26825841283591</v>
      </c>
      <c r="AO58" s="59">
        <f t="shared" si="36"/>
        <v>179.2944312100729</v>
      </c>
      <c r="AP58" s="15">
        <f>IF(ISNA(VLOOKUP(A58,'Données projet'!$A$61:$I$81,3,0)),0,VLOOKUP(A58,'Données projet'!$A$61:$I$81,3,0))</f>
        <v>6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0.215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13.762841332519546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13.762841332519546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175</v>
      </c>
      <c r="BB58" s="12">
        <f>VLOOKUP(A58,'Données projet'!$A$87:$I$107,9,0)</f>
        <v>8.4</v>
      </c>
      <c r="BC58" s="12">
        <f t="array" ref="BC58">INDEX(BB:BB,MIN(IF(ISNUMBER(BB58:BB254),ROW(BB58:BB254),"")))</f>
        <v>8.4</v>
      </c>
      <c r="BD58" s="12">
        <f>IF('Données projet'!$A$88&gt;35,BD57+BC58-BL57,IF(A58&lt;'Données projet'!$A$88,$BA$205^A58,IF(A58='Données projet'!$A$88,'Données projet'!$B$88,BD57+BC58-BL57)))</f>
        <v>174.99999999999997</v>
      </c>
      <c r="BE58" s="13">
        <f>BD58*VLOOKUP('Données projet'!$B$11,Paramètres!$A$1:$I$89,3,0)*VLOOKUP('Données projet'!$B$11,Paramètres!$A$1:$I$89,5,0)</f>
        <v>128.30999999999997</v>
      </c>
      <c r="BF58" s="13">
        <f t="shared" si="37"/>
        <v>33.605553053308043</v>
      </c>
      <c r="BG58" s="20">
        <f t="shared" si="7"/>
        <v>282.00292156784479</v>
      </c>
      <c r="BH58" s="59">
        <f t="shared" si="8"/>
        <v>575.33625490117811</v>
      </c>
      <c r="BI58" s="59">
        <f ca="1">AVERAGE(OFFSET($BH$3,0,0,'Données projet'!$E$11+1,1))-AVERAGE(OFFSET($H$3,0,0,'Données projet'!$E$11+1,1))</f>
        <v>146.45728988963538</v>
      </c>
      <c r="BJ58" s="59">
        <f t="shared" si="38"/>
        <v>156.91778940341118</v>
      </c>
      <c r="BK58" s="15">
        <f>IF(ISNA(VLOOKUP(A58,'Données projet'!$A$87:$I$107,3,0)),0,VLOOKUP(A58,'Données projet'!$A$87:$I$107,3,0))</f>
        <v>6</v>
      </c>
      <c r="BL58" s="15">
        <f>IF(ISNA(VLOOKUP(A58,'Données projet'!$A$87:$I$107,4,0)),0,VLOOKUP(A58,'Données projet'!$A$87:$I$107,4,0))</f>
        <v>21</v>
      </c>
      <c r="BM58" s="16">
        <f>IF(ISNA(VLOOKUP(A58,'Données projet'!$A$87:$I$107,5,0)),0%,VLOOKUP(A58,'Données projet'!$A$87:$I$107,5,0)*VLOOKUP('Données projet'!$B$11,Paramètres!$A$1:$I$89,7,0))</f>
        <v>0.34400000000000003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19.224664991302127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19.224664991302127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6.2</v>
      </c>
      <c r="BX58" s="12">
        <f t="array" ref="BX58">INDEX(BW:BW,MIN(IF(ISNUMBER(BW58:BW254),ROW(BW58:BW254),"")))</f>
        <v>6.2</v>
      </c>
      <c r="BY58" s="12">
        <f>IF('Données projet'!$A$114&gt;35,BY57+BX58-CG57,IF(A58&lt;'Données projet'!$A$114,$BV$205^A58,IF(A58='Données projet'!$A$114,'Données projet'!$B$114,BY57+BX58-CG57)))</f>
        <v>231.99999999999994</v>
      </c>
      <c r="BZ58" s="13">
        <f>BY58*VLOOKUP('Données projet'!$B$12,Paramètres!$A$1:$I$89,3,0)*VLOOKUP('Données projet'!$B$12,Paramètres!$A$1:$I$89,5,0)</f>
        <v>184.57919999999999</v>
      </c>
      <c r="CA58" s="13">
        <f t="shared" si="39"/>
        <v>46.339479465836618</v>
      </c>
      <c r="CB58" s="20">
        <f t="shared" si="10"/>
        <v>402.18336673633206</v>
      </c>
      <c r="CC58" s="59">
        <f t="shared" si="11"/>
        <v>695.51670006966538</v>
      </c>
      <c r="CD58" s="59">
        <f ca="1">AVERAGE(OFFSET($CC$3,0,0,'Données projet'!$E$12+1,1))-AVERAGE(OFFSET($H$3,0,0,'Données projet'!$E$12+1,1))</f>
        <v>238.71022302719206</v>
      </c>
      <c r="CE58" s="59">
        <f t="shared" si="40"/>
        <v>294.28794439094878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0.42400000000000004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30.347881095010429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30.347881095010429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232</v>
      </c>
      <c r="CR58" s="12">
        <f>VLOOKUP(A58,'Données projet'!$A$139:$I$159,9,0)</f>
        <v>6.2</v>
      </c>
      <c r="CS58" s="12">
        <f t="array" ref="CS58">INDEX(CR:CR,MIN(IF(ISNUMBER(CR58:CR254),ROW(CR58:CR254),"")))</f>
        <v>6.2</v>
      </c>
      <c r="CT58" s="12">
        <f>IF('Données projet'!$A$140&gt;35,CT57+CS58-DB57,IF(A58&lt;'Données projet'!$A$140,$CQ$205^A58,IF(A58='Données projet'!$A$140,'Données projet'!$B$140,CT57+CS58-DB57)))</f>
        <v>231.99999999999994</v>
      </c>
      <c r="CU58" s="17">
        <f>CT58*VLOOKUP('Données projet'!$B$13,Paramètres!$A$1:$I$89,3,0)*VLOOKUP('Données projet'!$B$13,Paramètres!$A$1:$I$89,5,0)</f>
        <v>184.57919999999999</v>
      </c>
      <c r="CV58" s="13">
        <f t="shared" si="41"/>
        <v>46.339479465836618</v>
      </c>
      <c r="CW58" s="20">
        <f t="shared" si="13"/>
        <v>402.18336673633206</v>
      </c>
      <c r="CX58" s="59">
        <f t="shared" si="14"/>
        <v>695.51670006966538</v>
      </c>
      <c r="CY58" s="59">
        <f ca="1">AVERAGE(OFFSET($CX$3,0,0,'Données projet'!$E$13+1,1))-AVERAGE(OFFSET($H$3,0,0,'Données projet'!$E$13+1,1))</f>
        <v>238.71022302719206</v>
      </c>
      <c r="CZ58" s="59">
        <f t="shared" si="42"/>
        <v>294.28794439094878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13</v>
      </c>
      <c r="DC58" s="16">
        <f>IF(ISNA(VLOOKUP(A58,'Données projet'!$A$139:$I$159,5,0)),0%,VLOOKUP(A58,'Données projet'!$A$139:$I$159,5,0)*VLOOKUP('Données projet'!$B$13,Paramètres!$A$1:$I$89,7,0))</f>
        <v>0.42400000000000004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30.347881095010429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30.347881095010429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175</v>
      </c>
      <c r="DM58" s="12">
        <f>VLOOKUP(A58,'Données projet'!$A$165:$I$185,9,0)</f>
        <v>8.4</v>
      </c>
      <c r="DN58" s="12">
        <f t="array" ref="DN58">INDEX(DM:DM,MIN(IF(ISNUMBER(DM58:DM254),ROW(DM58:DM254),"")))</f>
        <v>8.4</v>
      </c>
      <c r="DO58" s="12">
        <f>IF('Données projet'!$A$166&gt;35,DO57+DN58-DW57,IF(A58&lt;'Données projet'!$A$166,$DL$205^A58,IF(A58='Données projet'!$A$166,'Données projet'!$B$166,DO57+DN58-DW57)))</f>
        <v>174.99999999999997</v>
      </c>
      <c r="DP58" s="17">
        <f>DO58*VLOOKUP('Données projet'!$B$14,Paramètres!$A$1:$I$89,3,0)*VLOOKUP('Données projet'!$B$14,Paramètres!$A$1:$I$89,5,0)</f>
        <v>150.14999999999998</v>
      </c>
      <c r="DQ58" s="13">
        <f t="shared" si="43"/>
        <v>38.612671675922336</v>
      </c>
      <c r="DR58" s="20">
        <f t="shared" si="16"/>
        <v>328.76165316889802</v>
      </c>
      <c r="DS58" s="59">
        <f t="shared" si="17"/>
        <v>622.09498650223134</v>
      </c>
      <c r="DT58" s="59">
        <f ca="1">AVERAGE(OFFSET($DS$3,0,0,'Données projet'!$E$14+1,1))-AVERAGE(OFFSET($H$3,0,0,'Données projet'!$E$14+1,1))</f>
        <v>203.34232675618244</v>
      </c>
      <c r="DU58" s="59">
        <f t="shared" si="44"/>
        <v>176.81257896138806</v>
      </c>
      <c r="DV58" s="15">
        <f>IF(ISNA(VLOOKUP(A58,'Données projet'!$A$165:$I$185,3,0)),0,VLOOKUP(A58,'Données projet'!$A$165:$I$185,3,0))</f>
        <v>6</v>
      </c>
      <c r="DW58" s="15">
        <f>IF(ISNA(VLOOKUP(A58,'Données projet'!$A$165:$I$185,4,0)),0,VLOOKUP(A58,'Données projet'!$A$165:$I$185,4,0))</f>
        <v>21</v>
      </c>
      <c r="DX58" s="16">
        <f>IF(ISNA(VLOOKUP(A58,'Données projet'!$A$165:$I$185,5,0)),0%,VLOOKUP(A58,'Données projet'!$A$165:$I$185,5,0)*VLOOKUP('Données projet'!$B$14,Paramètres!$A$1:$I$89,7,0))</f>
        <v>0.42400000000000004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27.728796857815798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27.728796857815798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198</v>
      </c>
      <c r="EH58" s="12">
        <f>VLOOKUP(A58,'Données projet'!$A$191:$I$211,9,0)</f>
        <v>8</v>
      </c>
      <c r="EI58" s="12">
        <f t="array" ref="EI58">INDEX(EH:EH,MIN(IF(ISNUMBER(EH58:EH254),ROW(EH58:EH254),"")))</f>
        <v>8</v>
      </c>
      <c r="EJ58" s="12">
        <f>IF('Données projet'!$A$192&gt;35,EJ57+EI58-ER57,IF(A58&lt;'Données projet'!$A$192,$EG$205^A58,IF(A58='Données projet'!$A$192,'Données projet'!$B$192,EJ57+EI58-ER57)))</f>
        <v>198.00000000000006</v>
      </c>
      <c r="EK58" s="17">
        <f>EJ58*VLOOKUP('Données projet'!$B$15,Paramètres!$A$1:$I$89,3,0)*VLOOKUP('Données projet'!$B$15,Paramètres!$A$1:$I$89,5,0)</f>
        <v>191.50560000000007</v>
      </c>
      <c r="EL58" s="13">
        <f t="shared" si="45"/>
        <v>47.872666570685276</v>
      </c>
      <c r="EM58" s="20">
        <f t="shared" si="19"/>
        <v>416.9171476106103</v>
      </c>
      <c r="EN58" s="59">
        <f t="shared" si="20"/>
        <v>710.25048094394356</v>
      </c>
      <c r="EO58" s="59">
        <f ca="1">AVERAGE(OFFSET($EN$3,0,0,'Données projet'!$E$15+1,1))-AVERAGE(OFFSET($H$3,0,0,'Données projet'!$E$15+1,1))</f>
        <v>218.78765033569107</v>
      </c>
      <c r="EP58" s="59">
        <f t="shared" si="46"/>
        <v>246.54010105494137</v>
      </c>
      <c r="EQ58" s="15">
        <f>IF(ISNA(VLOOKUP(A58,'Données projet'!$A$191:$I$211,3,0)),0,VLOOKUP(A58,'Données projet'!$A$191:$I$211,3,0))</f>
        <v>7</v>
      </c>
      <c r="ER58" s="15">
        <f>IF(ISNA(VLOOKUP(A58,'Données projet'!$A$191:$I$211,4,0)),0,VLOOKUP(A58,'Données projet'!$A$191:$I$211,4,0))</f>
        <v>21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>
        <f>FE58*VLOOKUP('Données projet'!$B$16,Paramètres!$A$1:$I$89,3,0)*VLOOKUP('Données projet'!$B$16,Paramètres!$A$1:$I$89,5,0)</f>
        <v>0</v>
      </c>
      <c r="FG58" s="13" t="e">
        <f t="shared" si="47"/>
        <v>#NUM!</v>
      </c>
      <c r="FH58" s="20" t="e">
        <f t="shared" si="22"/>
        <v>#NUM!</v>
      </c>
      <c r="FI58" s="59" t="e">
        <f t="shared" si="23"/>
        <v>#NUM!</v>
      </c>
      <c r="FJ58" s="59">
        <f ca="1">AVERAGE(OFFSET($FI$3,0,0,'Données projet'!$E$16+1,1))-AVERAGE(OFFSET($H$3,0,0,'Données projet'!$E$16+1,1))</f>
        <v>170.80796812111521</v>
      </c>
      <c r="FK58" s="59">
        <f t="shared" si="48"/>
        <v>249.84047400410321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333.02360594713667</v>
      </c>
      <c r="T59" s="59">
        <f t="shared" si="34"/>
        <v>546.58234447298014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139.14387403526817</v>
      </c>
      <c r="AA59" s="21">
        <f>EXP(-LN(2)/25)*AA58+(1-EXP(-LN(2)/25))/(LN(2)/25)*Calculateur!V59*Calculateur!X59*VLOOKUP('Données projet'!$B$9,Paramètres!$A$1:$I$89,3,0)*0.475*44/12</f>
        <v>65.116137932926208</v>
      </c>
      <c r="AB59" s="21">
        <f>EXP(-LN(2)/2)*AB58+(1-EXP(-LN(2)/2))/(LN(2)/2)*V59*Y59*VLOOKUP('Données projet'!$B$9,Paramètres!$A$1:$I$89,3,0)*0.475*44/12</f>
        <v>0.91459730432392838</v>
      </c>
      <c r="AC59" s="22">
        <f t="shared" si="3"/>
        <v>205.1746092725183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8.6</v>
      </c>
      <c r="AI59" s="13">
        <f>IF('Données projet'!$A$62&gt;35,AI58+AH59-AQ58,IF(A59&lt;'Données projet'!$A$62,$AF$205^A59,IF(A59='Données projet'!$A$62,'Données projet'!$B$62,AI58+AH59-AQ58)))</f>
        <v>162.59999999999997</v>
      </c>
      <c r="AJ59" s="13">
        <f>AI59*VLOOKUP('Données projet'!$B$10,Paramètres!$A$1:$I$89,3,0)*VLOOKUP('Données projet'!$B$10,Paramètres!$A$1:$I$89,5,0)</f>
        <v>142.04735999999997</v>
      </c>
      <c r="AK59" s="13">
        <f t="shared" si="35"/>
        <v>36.765629884795146</v>
      </c>
      <c r="AL59" s="20">
        <f t="shared" si="4"/>
        <v>311.43262404935149</v>
      </c>
      <c r="AM59" s="59">
        <f t="shared" si="5"/>
        <v>604.76595738268475</v>
      </c>
      <c r="AN59" s="59">
        <f ca="1">AVERAGE(OFFSET($AM$3,0,0,'Données projet'!$E$10+1,1))-AVERAGE(OFFSET($H$3,0,0,'Données projet'!$E$10+1,1))</f>
        <v>243.26825841283591</v>
      </c>
      <c r="AO59" s="59">
        <f t="shared" si="36"/>
        <v>179.2944312100729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13.492960408493163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13.492960408493163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8.6</v>
      </c>
      <c r="BD59" s="12">
        <f>IF('Données projet'!$A$88&gt;35,BD58+BC59-BL58,IF(A59&lt;'Données projet'!$A$88,$BA$205^A59,IF(A59='Données projet'!$A$88,'Données projet'!$B$88,BD58+BC59-BL58)))</f>
        <v>162.59999999999997</v>
      </c>
      <c r="BE59" s="13">
        <f>BD59*VLOOKUP('Données projet'!$B$11,Paramètres!$A$1:$I$89,3,0)*VLOOKUP('Données projet'!$B$11,Paramètres!$A$1:$I$89,5,0)</f>
        <v>119.21831999999998</v>
      </c>
      <c r="BF59" s="13">
        <f t="shared" si="37"/>
        <v>31.492615984694421</v>
      </c>
      <c r="BG59" s="20">
        <f t="shared" si="7"/>
        <v>262.48821350667606</v>
      </c>
      <c r="BH59" s="59">
        <f t="shared" si="8"/>
        <v>555.82154684000943</v>
      </c>
      <c r="BI59" s="59">
        <f ca="1">AVERAGE(OFFSET($BH$3,0,0,'Données projet'!$E$11+1,1))-AVERAGE(OFFSET($H$3,0,0,'Données projet'!$E$11+1,1))</f>
        <v>146.45728988963538</v>
      </c>
      <c r="BJ59" s="59">
        <f t="shared" si="38"/>
        <v>156.91778940341118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18.847681036710501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18.847681036710501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224.19999999999993</v>
      </c>
      <c r="BZ59" s="13">
        <f>BY59*VLOOKUP('Données projet'!$B$12,Paramètres!$A$1:$I$89,3,0)*VLOOKUP('Données projet'!$B$12,Paramètres!$A$1:$I$89,5,0)</f>
        <v>178.37351999999996</v>
      </c>
      <c r="CA59" s="13">
        <f t="shared" si="39"/>
        <v>44.960133388294842</v>
      </c>
      <c r="CB59" s="20">
        <f t="shared" si="10"/>
        <v>388.97277965128006</v>
      </c>
      <c r="CC59" s="59">
        <f t="shared" si="11"/>
        <v>682.30611298461338</v>
      </c>
      <c r="CD59" s="59">
        <f ca="1">AVERAGE(OFFSET($CC$3,0,0,'Données projet'!$E$12+1,1))-AVERAGE(OFFSET($H$3,0,0,'Données projet'!$E$12+1,1))</f>
        <v>238.71022302719206</v>
      </c>
      <c r="CE59" s="59">
        <f t="shared" si="40"/>
        <v>294.28794439094878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29.752777657116994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29.752777657116994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5.2</v>
      </c>
      <c r="CT59" s="12">
        <f>IF('Données projet'!$A$140&gt;35,CT58+CS59-DB58,IF(A59&lt;'Données projet'!$A$140,$CQ$205^A59,IF(A59='Données projet'!$A$140,'Données projet'!$B$140,CT58+CS59-DB58)))</f>
        <v>224.19999999999993</v>
      </c>
      <c r="CU59" s="17">
        <f>CT59*VLOOKUP('Données projet'!$B$13,Paramètres!$A$1:$I$89,3,0)*VLOOKUP('Données projet'!$B$13,Paramètres!$A$1:$I$89,5,0)</f>
        <v>178.37351999999996</v>
      </c>
      <c r="CV59" s="13">
        <f t="shared" si="41"/>
        <v>44.960133388294842</v>
      </c>
      <c r="CW59" s="20">
        <f t="shared" si="13"/>
        <v>388.97277965128006</v>
      </c>
      <c r="CX59" s="59">
        <f t="shared" si="14"/>
        <v>682.30611298461338</v>
      </c>
      <c r="CY59" s="59">
        <f ca="1">AVERAGE(OFFSET($CX$3,0,0,'Données projet'!$E$13+1,1))-AVERAGE(OFFSET($H$3,0,0,'Données projet'!$E$13+1,1))</f>
        <v>238.71022302719206</v>
      </c>
      <c r="CZ59" s="59">
        <f t="shared" si="42"/>
        <v>294.28794439094878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29.752777657116994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29.752777657116994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8.6</v>
      </c>
      <c r="DO59" s="12">
        <f>IF('Données projet'!$A$166&gt;35,DO58+DN59-DW58,IF(A59&lt;'Données projet'!$A$166,$DL$205^A59,IF(A59='Données projet'!$A$166,'Données projet'!$B$166,DO58+DN59-DW58)))</f>
        <v>162.59999999999997</v>
      </c>
      <c r="DP59" s="17">
        <f>DO59*VLOOKUP('Données projet'!$B$14,Paramètres!$A$1:$I$89,3,0)*VLOOKUP('Données projet'!$B$14,Paramètres!$A$1:$I$89,5,0)</f>
        <v>139.51079999999999</v>
      </c>
      <c r="DQ59" s="13">
        <f t="shared" si="43"/>
        <v>36.184913823735059</v>
      </c>
      <c r="DR59" s="20">
        <f t="shared" si="16"/>
        <v>306.00336824300524</v>
      </c>
      <c r="DS59" s="59">
        <f t="shared" si="17"/>
        <v>599.33670157633856</v>
      </c>
      <c r="DT59" s="59">
        <f ca="1">AVERAGE(OFFSET($DS$3,0,0,'Données projet'!$E$14+1,1))-AVERAGE(OFFSET($H$3,0,0,'Données projet'!$E$14+1,1))</f>
        <v>203.34232675618244</v>
      </c>
      <c r="DU59" s="59">
        <f t="shared" si="44"/>
        <v>176.81257896138806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27.185052064330105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27.185052064330105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7.6</v>
      </c>
      <c r="EJ59" s="12">
        <f>IF('Données projet'!$A$192&gt;35,EJ58+EI59-ER58,IF(A59&lt;'Données projet'!$A$192,$EG$205^A59,IF(A59='Données projet'!$A$192,'Données projet'!$B$192,EJ58+EI59-ER58)))</f>
        <v>184.60000000000005</v>
      </c>
      <c r="EK59" s="17">
        <f>EJ59*VLOOKUP('Données projet'!$B$15,Paramètres!$A$1:$I$89,3,0)*VLOOKUP('Données projet'!$B$15,Paramètres!$A$1:$I$89,5,0)</f>
        <v>178.54512000000005</v>
      </c>
      <c r="EL59" s="13">
        <f t="shared" si="45"/>
        <v>44.99834944660644</v>
      </c>
      <c r="EM59" s="20">
        <f t="shared" si="19"/>
        <v>389.33820928617291</v>
      </c>
      <c r="EN59" s="59">
        <f t="shared" si="20"/>
        <v>682.67154261950623</v>
      </c>
      <c r="EO59" s="59">
        <f ca="1">AVERAGE(OFFSET($EN$3,0,0,'Données projet'!$E$15+1,1))-AVERAGE(OFFSET($H$3,0,0,'Données projet'!$E$15+1,1))</f>
        <v>218.78765033569107</v>
      </c>
      <c r="EP59" s="59">
        <f t="shared" si="46"/>
        <v>246.54010105494137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>
        <f>FE59*VLOOKUP('Données projet'!$B$16,Paramètres!$A$1:$I$89,3,0)*VLOOKUP('Données projet'!$B$16,Paramètres!$A$1:$I$89,5,0)</f>
        <v>0</v>
      </c>
      <c r="FG59" s="13" t="e">
        <f t="shared" si="47"/>
        <v>#NUM!</v>
      </c>
      <c r="FH59" s="20" t="e">
        <f t="shared" si="22"/>
        <v>#NUM!</v>
      </c>
      <c r="FI59" s="59" t="e">
        <f t="shared" si="23"/>
        <v>#NUM!</v>
      </c>
      <c r="FJ59" s="59">
        <f ca="1">AVERAGE(OFFSET($FI$3,0,0,'Données projet'!$E$16+1,1))-AVERAGE(OFFSET($H$3,0,0,'Données projet'!$E$16+1,1))</f>
        <v>170.80796812111521</v>
      </c>
      <c r="FK59" s="59">
        <f t="shared" si="48"/>
        <v>249.84047400410321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333.02360594713667</v>
      </c>
      <c r="T60" s="59">
        <f t="shared" si="34"/>
        <v>546.58234447298014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136.41534753481957</v>
      </c>
      <c r="AA60" s="21">
        <f>EXP(-LN(2)/25)*AA59+(1-EXP(-LN(2)/25))/(LN(2)/25)*Calculateur!V60*Calculateur!X60*VLOOKUP('Données projet'!$B$9,Paramètres!$A$1:$I$89,3,0)*0.475*44/12</f>
        <v>63.335533716841475</v>
      </c>
      <c r="AB60" s="21">
        <f>EXP(-LN(2)/2)*AB59+(1-EXP(-LN(2)/2))/(LN(2)/2)*V60*Y60*VLOOKUP('Données projet'!$B$9,Paramètres!$A$1:$I$89,3,0)*0.475*44/12</f>
        <v>0.64671795594238624</v>
      </c>
      <c r="AC60" s="22">
        <f t="shared" si="3"/>
        <v>200.39759920760343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8.6</v>
      </c>
      <c r="AI60" s="13">
        <f>IF('Données projet'!$A$62&gt;35,AI59+AH60-AQ59,IF(A60&lt;'Données projet'!$A$62,$AF$205^A60,IF(A60='Données projet'!$A$62,'Données projet'!$B$62,AI59+AH60-AQ59)))</f>
        <v>171.19999999999996</v>
      </c>
      <c r="AJ60" s="13">
        <f>AI60*VLOOKUP('Données projet'!$B$10,Paramètres!$A$1:$I$89,3,0)*VLOOKUP('Données projet'!$B$10,Paramètres!$A$1:$I$89,5,0)</f>
        <v>149.56031999999999</v>
      </c>
      <c r="AK60" s="13">
        <f t="shared" si="35"/>
        <v>38.478649698758041</v>
      </c>
      <c r="AL60" s="20">
        <f t="shared" si="4"/>
        <v>327.50120555867016</v>
      </c>
      <c r="AM60" s="59">
        <f t="shared" si="5"/>
        <v>620.83453889200348</v>
      </c>
      <c r="AN60" s="59">
        <f ca="1">AVERAGE(OFFSET($AM$3,0,0,'Données projet'!$E$10+1,1))-AVERAGE(OFFSET($H$3,0,0,'Données projet'!$E$10+1,1))</f>
        <v>243.26825841283591</v>
      </c>
      <c r="AO60" s="59">
        <f t="shared" si="36"/>
        <v>179.2944312100729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13.228371684775826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13.228371684775826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8.6</v>
      </c>
      <c r="BD60" s="12">
        <f>IF('Données projet'!$A$88&gt;35,BD59+BC60-BL59,IF(A60&lt;'Données projet'!$A$88,$BA$205^A60,IF(A60='Données projet'!$A$88,'Données projet'!$B$88,BD59+BC60-BL59)))</f>
        <v>171.19999999999996</v>
      </c>
      <c r="BE60" s="13">
        <f>BD60*VLOOKUP('Données projet'!$B$11,Paramètres!$A$1:$I$89,3,0)*VLOOKUP('Données projet'!$B$11,Paramètres!$A$1:$I$89,5,0)</f>
        <v>125.52383999999996</v>
      </c>
      <c r="BF60" s="13">
        <f t="shared" si="37"/>
        <v>32.959950431142069</v>
      </c>
      <c r="BG60" s="20">
        <f t="shared" si="7"/>
        <v>276.02593500090569</v>
      </c>
      <c r="BH60" s="59">
        <f t="shared" si="8"/>
        <v>569.359268334239</v>
      </c>
      <c r="BI60" s="59">
        <f ca="1">AVERAGE(OFFSET($BH$3,0,0,'Données projet'!$E$11+1,1))-AVERAGE(OFFSET($H$3,0,0,'Données projet'!$E$11+1,1))</f>
        <v>146.45728988963538</v>
      </c>
      <c r="BJ60" s="59">
        <f t="shared" si="38"/>
        <v>156.91778940341118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18.47808950753091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18.47808950753091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229.39999999999992</v>
      </c>
      <c r="BZ60" s="13">
        <f>BY60*VLOOKUP('Données projet'!$B$12,Paramètres!$A$1:$I$89,3,0)*VLOOKUP('Données projet'!$B$12,Paramètres!$A$1:$I$89,5,0)</f>
        <v>182.51063999999994</v>
      </c>
      <c r="CA60" s="13">
        <f t="shared" si="39"/>
        <v>45.880306213791414</v>
      </c>
      <c r="CB60" s="20">
        <f t="shared" si="10"/>
        <v>397.78089798901993</v>
      </c>
      <c r="CC60" s="59">
        <f t="shared" si="11"/>
        <v>691.11423132235325</v>
      </c>
      <c r="CD60" s="59">
        <f ca="1">AVERAGE(OFFSET($CC$3,0,0,'Données projet'!$E$12+1,1))-AVERAGE(OFFSET($H$3,0,0,'Données projet'!$E$12+1,1))</f>
        <v>238.71022302719206</v>
      </c>
      <c r="CE60" s="59">
        <f t="shared" si="40"/>
        <v>294.28794439094878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29.169343834663394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29.169343834663394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5.2</v>
      </c>
      <c r="CT60" s="12">
        <f>IF('Données projet'!$A$140&gt;35,CT59+CS60-DB59,IF(A60&lt;'Données projet'!$A$140,$CQ$205^A60,IF(A60='Données projet'!$A$140,'Données projet'!$B$140,CT59+CS60-DB59)))</f>
        <v>229.39999999999992</v>
      </c>
      <c r="CU60" s="17">
        <f>CT60*VLOOKUP('Données projet'!$B$13,Paramètres!$A$1:$I$89,3,0)*VLOOKUP('Données projet'!$B$13,Paramètres!$A$1:$I$89,5,0)</f>
        <v>182.51063999999994</v>
      </c>
      <c r="CV60" s="13">
        <f t="shared" si="41"/>
        <v>45.880306213791414</v>
      </c>
      <c r="CW60" s="20">
        <f t="shared" si="13"/>
        <v>397.78089798901993</v>
      </c>
      <c r="CX60" s="59">
        <f t="shared" si="14"/>
        <v>691.11423132235325</v>
      </c>
      <c r="CY60" s="59">
        <f ca="1">AVERAGE(OFFSET($CX$3,0,0,'Données projet'!$E$13+1,1))-AVERAGE(OFFSET($H$3,0,0,'Données projet'!$E$13+1,1))</f>
        <v>238.71022302719206</v>
      </c>
      <c r="CZ60" s="59">
        <f t="shared" si="42"/>
        <v>294.28794439094878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29.169343834663394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29.169343834663394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8.6</v>
      </c>
      <c r="DO60" s="12">
        <f>IF('Données projet'!$A$166&gt;35,DO59+DN60-DW59,IF(A60&lt;'Données projet'!$A$166,$DL$205^A60,IF(A60='Données projet'!$A$166,'Données projet'!$B$166,DO59+DN60-DW59)))</f>
        <v>171.19999999999996</v>
      </c>
      <c r="DP60" s="17">
        <f>DO60*VLOOKUP('Données projet'!$B$14,Paramètres!$A$1:$I$89,3,0)*VLOOKUP('Données projet'!$B$14,Paramètres!$A$1:$I$89,5,0)</f>
        <v>146.88959999999997</v>
      </c>
      <c r="DQ60" s="13">
        <f t="shared" si="43"/>
        <v>37.870876352891472</v>
      </c>
      <c r="DR60" s="20">
        <f t="shared" si="16"/>
        <v>321.79116298128594</v>
      </c>
      <c r="DS60" s="59">
        <f t="shared" si="17"/>
        <v>615.12449631461925</v>
      </c>
      <c r="DT60" s="59">
        <f ca="1">AVERAGE(OFFSET($DS$3,0,0,'Données projet'!$E$14+1,1))-AVERAGE(OFFSET($H$3,0,0,'Données projet'!$E$14+1,1))</f>
        <v>203.34232675618244</v>
      </c>
      <c r="DU60" s="59">
        <f t="shared" si="44"/>
        <v>176.81257896138806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26.651969774593088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26.651969774593088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7.6</v>
      </c>
      <c r="EJ60" s="12">
        <f>IF('Données projet'!$A$192&gt;35,EJ59+EI60-ER59,IF(A60&lt;'Données projet'!$A$192,$EG$205^A60,IF(A60='Données projet'!$A$192,'Données projet'!$B$192,EJ59+EI60-ER59)))</f>
        <v>192.20000000000005</v>
      </c>
      <c r="EK60" s="17">
        <f>EJ60*VLOOKUP('Données projet'!$B$15,Paramètres!$A$1:$I$89,3,0)*VLOOKUP('Données projet'!$B$15,Paramètres!$A$1:$I$89,5,0)</f>
        <v>185.89584000000005</v>
      </c>
      <c r="EL60" s="13">
        <f t="shared" si="45"/>
        <v>46.63143135185193</v>
      </c>
      <c r="EM60" s="20">
        <f t="shared" si="19"/>
        <v>404.9849976044755</v>
      </c>
      <c r="EN60" s="59">
        <f t="shared" si="20"/>
        <v>698.31833093780881</v>
      </c>
      <c r="EO60" s="59">
        <f ca="1">AVERAGE(OFFSET($EN$3,0,0,'Données projet'!$E$15+1,1))-AVERAGE(OFFSET($H$3,0,0,'Données projet'!$E$15+1,1))</f>
        <v>218.78765033569107</v>
      </c>
      <c r="EP60" s="59">
        <f t="shared" si="46"/>
        <v>246.54010105494137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>
        <f>FE60*VLOOKUP('Données projet'!$B$16,Paramètres!$A$1:$I$89,3,0)*VLOOKUP('Données projet'!$B$16,Paramètres!$A$1:$I$89,5,0)</f>
        <v>0</v>
      </c>
      <c r="FG60" s="13" t="e">
        <f t="shared" si="47"/>
        <v>#NUM!</v>
      </c>
      <c r="FH60" s="20" t="e">
        <f t="shared" si="22"/>
        <v>#NUM!</v>
      </c>
      <c r="FI60" s="59" t="e">
        <f t="shared" si="23"/>
        <v>#NUM!</v>
      </c>
      <c r="FJ60" s="59">
        <f ca="1">AVERAGE(OFFSET($FI$3,0,0,'Données projet'!$E$16+1,1))-AVERAGE(OFFSET($H$3,0,0,'Données projet'!$E$16+1,1))</f>
        <v>170.80796812111521</v>
      </c>
      <c r="FK60" s="59">
        <f t="shared" si="48"/>
        <v>249.84047400410321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333.02360594713667</v>
      </c>
      <c r="T61" s="59">
        <f t="shared" si="34"/>
        <v>546.58234447298014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133.74032577480793</v>
      </c>
      <c r="AA61" s="21">
        <f>EXP(-LN(2)/25)*AA60+(1-EXP(-LN(2)/25))/(LN(2)/25)*Calculateur!V61*Calculateur!X61*VLOOKUP('Données projet'!$B$9,Paramètres!$A$1:$I$89,3,0)*0.475*44/12</f>
        <v>61.603620216683481</v>
      </c>
      <c r="AB61" s="21">
        <f>EXP(-LN(2)/2)*AB60+(1-EXP(-LN(2)/2))/(LN(2)/2)*V61*Y61*VLOOKUP('Données projet'!$B$9,Paramètres!$A$1:$I$89,3,0)*0.475*44/12</f>
        <v>0.45729865216196419</v>
      </c>
      <c r="AC61" s="22">
        <f t="shared" si="3"/>
        <v>195.80124464365338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8.6</v>
      </c>
      <c r="AI61" s="13">
        <f>IF('Données projet'!$A$62&gt;35,AI60+AH61-AQ60,IF(A61&lt;'Données projet'!$A$62,$AF$205^A61,IF(A61='Données projet'!$A$62,'Données projet'!$B$62,AI60+AH61-AQ60)))</f>
        <v>179.79999999999995</v>
      </c>
      <c r="AJ61" s="13">
        <f>AI61*VLOOKUP('Données projet'!$B$10,Paramètres!$A$1:$I$89,3,0)*VLOOKUP('Données projet'!$B$10,Paramètres!$A$1:$I$89,5,0)</f>
        <v>157.07327999999998</v>
      </c>
      <c r="AK61" s="13">
        <f t="shared" si="35"/>
        <v>40.181677940049241</v>
      </c>
      <c r="AL61" s="20">
        <f t="shared" si="4"/>
        <v>343.55238507891909</v>
      </c>
      <c r="AM61" s="59">
        <f t="shared" si="5"/>
        <v>636.88571841225234</v>
      </c>
      <c r="AN61" s="59">
        <f ca="1">AVERAGE(OFFSET($AM$3,0,0,'Données projet'!$E$10+1,1))-AVERAGE(OFFSET($H$3,0,0,'Données projet'!$E$10+1,1))</f>
        <v>243.26825841283591</v>
      </c>
      <c r="AO61" s="59">
        <f t="shared" si="36"/>
        <v>179.2944312100729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12.968971384547402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12.968971384547402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8.6</v>
      </c>
      <c r="BD61" s="12">
        <f>IF('Données projet'!$A$88&gt;35,BD60+BC61-BL60,IF(A61&lt;'Données projet'!$A$88,$BA$205^A61,IF(A61='Données projet'!$A$88,'Données projet'!$B$88,BD60+BC61-BL60)))</f>
        <v>179.79999999999995</v>
      </c>
      <c r="BE61" s="13">
        <f>BD61*VLOOKUP('Données projet'!$B$11,Paramètres!$A$1:$I$89,3,0)*VLOOKUP('Données projet'!$B$11,Paramètres!$A$1:$I$89,5,0)</f>
        <v>131.82935999999995</v>
      </c>
      <c r="BF61" s="13">
        <f t="shared" si="37"/>
        <v>34.418726319985296</v>
      </c>
      <c r="BG61" s="20">
        <f t="shared" si="7"/>
        <v>289.54875034064099</v>
      </c>
      <c r="BH61" s="59">
        <f t="shared" si="8"/>
        <v>582.88208367397431</v>
      </c>
      <c r="BI61" s="59">
        <f ca="1">AVERAGE(OFFSET($BH$3,0,0,'Données projet'!$E$11+1,1))-AVERAGE(OFFSET($H$3,0,0,'Données projet'!$E$11+1,1))</f>
        <v>146.45728988963538</v>
      </c>
      <c r="BJ61" s="59">
        <f t="shared" si="38"/>
        <v>156.91778940341118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18.115745442809956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18.115745442809956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234.59999999999991</v>
      </c>
      <c r="BZ61" s="13">
        <f>BY61*VLOOKUP('Données projet'!$B$12,Paramètres!$A$1:$I$89,3,0)*VLOOKUP('Données projet'!$B$12,Paramètres!$A$1:$I$89,5,0)</f>
        <v>186.64775999999995</v>
      </c>
      <c r="CA61" s="13">
        <f t="shared" si="39"/>
        <v>46.79805411155214</v>
      </c>
      <c r="CB61" s="20">
        <f t="shared" si="10"/>
        <v>406.58479291095324</v>
      </c>
      <c r="CC61" s="59">
        <f t="shared" si="11"/>
        <v>699.91812624428655</v>
      </c>
      <c r="CD61" s="59">
        <f ca="1">AVERAGE(OFFSET($CC$3,0,0,'Données projet'!$E$12+1,1))-AVERAGE(OFFSET($H$3,0,0,'Données projet'!$E$12+1,1))</f>
        <v>238.71022302719206</v>
      </c>
      <c r="CE61" s="59">
        <f t="shared" si="40"/>
        <v>294.28794439094878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28.597350793608616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28.597350793608616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5.2</v>
      </c>
      <c r="CT61" s="12">
        <f>IF('Données projet'!$A$140&gt;35,CT60+CS61-DB60,IF(A61&lt;'Données projet'!$A$140,$CQ$205^A61,IF(A61='Données projet'!$A$140,'Données projet'!$B$140,CT60+CS61-DB60)))</f>
        <v>234.59999999999991</v>
      </c>
      <c r="CU61" s="17">
        <f>CT61*VLOOKUP('Données projet'!$B$13,Paramètres!$A$1:$I$89,3,0)*VLOOKUP('Données projet'!$B$13,Paramètres!$A$1:$I$89,5,0)</f>
        <v>186.64775999999995</v>
      </c>
      <c r="CV61" s="13">
        <f t="shared" si="41"/>
        <v>46.79805411155214</v>
      </c>
      <c r="CW61" s="20">
        <f t="shared" si="13"/>
        <v>406.58479291095324</v>
      </c>
      <c r="CX61" s="59">
        <f t="shared" si="14"/>
        <v>699.91812624428655</v>
      </c>
      <c r="CY61" s="59">
        <f ca="1">AVERAGE(OFFSET($CX$3,0,0,'Données projet'!$E$13+1,1))-AVERAGE(OFFSET($H$3,0,0,'Données projet'!$E$13+1,1))</f>
        <v>238.71022302719206</v>
      </c>
      <c r="CZ61" s="59">
        <f t="shared" si="42"/>
        <v>294.28794439094878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28.597350793608616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28.597350793608616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8.6</v>
      </c>
      <c r="DO61" s="12">
        <f>IF('Données projet'!$A$166&gt;35,DO60+DN61-DW60,IF(A61&lt;'Données projet'!$A$166,$DL$205^A61,IF(A61='Données projet'!$A$166,'Données projet'!$B$166,DO60+DN61-DW60)))</f>
        <v>179.79999999999995</v>
      </c>
      <c r="DP61" s="17">
        <f>DO61*VLOOKUP('Données projet'!$B$14,Paramètres!$A$1:$I$89,3,0)*VLOOKUP('Données projet'!$B$14,Paramètres!$A$1:$I$89,5,0)</f>
        <v>154.26839999999999</v>
      </c>
      <c r="DQ61" s="13">
        <f t="shared" si="43"/>
        <v>39.547005127064722</v>
      </c>
      <c r="DR61" s="20">
        <f t="shared" si="16"/>
        <v>337.56183059630439</v>
      </c>
      <c r="DS61" s="59">
        <f t="shared" si="17"/>
        <v>630.89516392963765</v>
      </c>
      <c r="DT61" s="59">
        <f ca="1">AVERAGE(OFFSET($DS$3,0,0,'Données projet'!$E$14+1,1))-AVERAGE(OFFSET($H$3,0,0,'Données projet'!$E$14+1,1))</f>
        <v>203.34232675618244</v>
      </c>
      <c r="DU61" s="59">
        <f t="shared" si="44"/>
        <v>176.81257896138806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26.129340903409723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26.129340903409723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7.6</v>
      </c>
      <c r="EJ61" s="12">
        <f>IF('Données projet'!$A$192&gt;35,EJ60+EI61-ER60,IF(A61&lt;'Données projet'!$A$192,$EG$205^A61,IF(A61='Données projet'!$A$192,'Données projet'!$B$192,EJ60+EI61-ER60)))</f>
        <v>199.80000000000004</v>
      </c>
      <c r="EK61" s="17">
        <f>EJ61*VLOOKUP('Données projet'!$B$15,Paramètres!$A$1:$I$89,3,0)*VLOOKUP('Données projet'!$B$15,Paramètres!$A$1:$I$89,5,0)</f>
        <v>193.24656000000004</v>
      </c>
      <c r="EL61" s="13">
        <f t="shared" si="45"/>
        <v>48.257011869197775</v>
      </c>
      <c r="EM61" s="20">
        <f t="shared" si="19"/>
        <v>420.61872100551955</v>
      </c>
      <c r="EN61" s="59">
        <f t="shared" si="20"/>
        <v>713.9520543388528</v>
      </c>
      <c r="EO61" s="59">
        <f ca="1">AVERAGE(OFFSET($EN$3,0,0,'Données projet'!$E$15+1,1))-AVERAGE(OFFSET($H$3,0,0,'Données projet'!$E$15+1,1))</f>
        <v>218.78765033569107</v>
      </c>
      <c r="EP61" s="59">
        <f t="shared" si="46"/>
        <v>246.54010105494137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>
        <f>FE61*VLOOKUP('Données projet'!$B$16,Paramètres!$A$1:$I$89,3,0)*VLOOKUP('Données projet'!$B$16,Paramètres!$A$1:$I$89,5,0)</f>
        <v>0</v>
      </c>
      <c r="FG61" s="13" t="e">
        <f t="shared" si="47"/>
        <v>#NUM!</v>
      </c>
      <c r="FH61" s="20" t="e">
        <f t="shared" si="22"/>
        <v>#NUM!</v>
      </c>
      <c r="FI61" s="59" t="e">
        <f t="shared" si="23"/>
        <v>#NUM!</v>
      </c>
      <c r="FJ61" s="59">
        <f ca="1">AVERAGE(OFFSET($FI$3,0,0,'Données projet'!$E$16+1,1))-AVERAGE(OFFSET($H$3,0,0,'Données projet'!$E$16+1,1))</f>
        <v>170.80796812111521</v>
      </c>
      <c r="FK61" s="59">
        <f t="shared" si="48"/>
        <v>249.84047400410321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333.02360594713667</v>
      </c>
      <c r="T62" s="59">
        <f t="shared" si="34"/>
        <v>546.58234447298014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131.11775955990794</v>
      </c>
      <c r="AA62" s="21">
        <f>EXP(-LN(2)/25)*AA61+(1-EXP(-LN(2)/25))/(LN(2)/25)*Calculateur!V62*Calculateur!X62*VLOOKUP('Données projet'!$B$9,Paramètres!$A$1:$I$89,3,0)*0.475*44/12</f>
        <v>59.919065982264684</v>
      </c>
      <c r="AB62" s="21">
        <f>EXP(-LN(2)/2)*AB61+(1-EXP(-LN(2)/2))/(LN(2)/2)*V62*Y62*VLOOKUP('Données projet'!$B$9,Paramètres!$A$1:$I$89,3,0)*0.475*44/12</f>
        <v>0.32335897797119312</v>
      </c>
      <c r="AC62" s="22">
        <f t="shared" si="3"/>
        <v>191.3601845201438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8.6</v>
      </c>
      <c r="AI62" s="13">
        <f>IF('Données projet'!$A$62&gt;35,AI61+AH62-AQ61,IF(A62&lt;'Données projet'!$A$62,$AF$205^A62,IF(A62='Données projet'!$A$62,'Données projet'!$B$62,AI61+AH62-AQ61)))</f>
        <v>188.39999999999995</v>
      </c>
      <c r="AJ62" s="13">
        <f>AI62*VLOOKUP('Données projet'!$B$10,Paramètres!$A$1:$I$89,3,0)*VLOOKUP('Données projet'!$B$10,Paramètres!$A$1:$I$89,5,0)</f>
        <v>164.58623999999998</v>
      </c>
      <c r="AK62" s="13">
        <f t="shared" si="35"/>
        <v>41.875247075991844</v>
      </c>
      <c r="AL62" s="20">
        <f t="shared" si="4"/>
        <v>359.58708999068568</v>
      </c>
      <c r="AM62" s="59">
        <f t="shared" si="5"/>
        <v>652.920423324019</v>
      </c>
      <c r="AN62" s="59">
        <f ca="1">AVERAGE(OFFSET($AM$3,0,0,'Données projet'!$E$10+1,1))-AVERAGE(OFFSET($H$3,0,0,'Données projet'!$E$10+1,1))</f>
        <v>243.26825841283591</v>
      </c>
      <c r="AO62" s="59">
        <f t="shared" si="36"/>
        <v>179.2944312100729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12.714657765987896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12.714657765987896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8.6</v>
      </c>
      <c r="BD62" s="12">
        <f>IF('Données projet'!$A$88&gt;35,BD61+BC62-BL61,IF(A62&lt;'Données projet'!$A$88,$BA$205^A62,IF(A62='Données projet'!$A$88,'Données projet'!$B$88,BD61+BC62-BL61)))</f>
        <v>188.39999999999995</v>
      </c>
      <c r="BE62" s="13">
        <f>BD62*VLOOKUP('Données projet'!$B$11,Paramètres!$A$1:$I$89,3,0)*VLOOKUP('Données projet'!$B$11,Paramètres!$A$1:$I$89,5,0)</f>
        <v>138.13487999999995</v>
      </c>
      <c r="BF62" s="13">
        <f t="shared" si="37"/>
        <v>35.869399750819937</v>
      </c>
      <c r="BG62" s="20">
        <f t="shared" si="7"/>
        <v>303.05745389934464</v>
      </c>
      <c r="BH62" s="59">
        <f t="shared" si="8"/>
        <v>596.39078723267789</v>
      </c>
      <c r="BI62" s="59">
        <f ca="1">AVERAGE(OFFSET($BH$3,0,0,'Données projet'!$E$11+1,1))-AVERAGE(OFFSET($H$3,0,0,'Données projet'!$E$11+1,1))</f>
        <v>146.45728988963538</v>
      </c>
      <c r="BJ62" s="59">
        <f t="shared" si="38"/>
        <v>156.91778940341118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17.760506724190126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17.760506724190126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239.7999999999999</v>
      </c>
      <c r="BZ62" s="13">
        <f>BY62*VLOOKUP('Données projet'!$B$12,Paramètres!$A$1:$I$89,3,0)*VLOOKUP('Données projet'!$B$12,Paramètres!$A$1:$I$89,5,0)</f>
        <v>190.78487999999993</v>
      </c>
      <c r="CA62" s="13">
        <f t="shared" si="39"/>
        <v>47.713437020051622</v>
      </c>
      <c r="CB62" s="20">
        <f t="shared" si="10"/>
        <v>415.38456880992311</v>
      </c>
      <c r="CC62" s="59">
        <f t="shared" si="11"/>
        <v>708.71790214325642</v>
      </c>
      <c r="CD62" s="59">
        <f ca="1">AVERAGE(OFFSET($CC$3,0,0,'Données projet'!$E$12+1,1))-AVERAGE(OFFSET($H$3,0,0,'Données projet'!$E$12+1,1))</f>
        <v>238.71022302719206</v>
      </c>
      <c r="CE62" s="59">
        <f t="shared" si="40"/>
        <v>294.28794439094878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28.036574187207616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28.036574187207616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5.2</v>
      </c>
      <c r="CT62" s="12">
        <f>IF('Données projet'!$A$140&gt;35,CT61+CS62-DB61,IF(A62&lt;'Données projet'!$A$140,$CQ$205^A62,IF(A62='Données projet'!$A$140,'Données projet'!$B$140,CT61+CS62-DB61)))</f>
        <v>239.7999999999999</v>
      </c>
      <c r="CU62" s="17">
        <f>CT62*VLOOKUP('Données projet'!$B$13,Paramètres!$A$1:$I$89,3,0)*VLOOKUP('Données projet'!$B$13,Paramètres!$A$1:$I$89,5,0)</f>
        <v>190.78487999999993</v>
      </c>
      <c r="CV62" s="13">
        <f t="shared" si="41"/>
        <v>47.713437020051622</v>
      </c>
      <c r="CW62" s="20">
        <f t="shared" si="13"/>
        <v>415.38456880992311</v>
      </c>
      <c r="CX62" s="59">
        <f t="shared" si="14"/>
        <v>708.71790214325642</v>
      </c>
      <c r="CY62" s="59">
        <f ca="1">AVERAGE(OFFSET($CX$3,0,0,'Données projet'!$E$13+1,1))-AVERAGE(OFFSET($H$3,0,0,'Données projet'!$E$13+1,1))</f>
        <v>238.71022302719206</v>
      </c>
      <c r="CZ62" s="59">
        <f t="shared" si="42"/>
        <v>294.28794439094878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28.036574187207616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28.036574187207616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8.6</v>
      </c>
      <c r="DO62" s="12">
        <f>IF('Données projet'!$A$166&gt;35,DO61+DN62-DW61,IF(A62&lt;'Données projet'!$A$166,$DL$205^A62,IF(A62='Données projet'!$A$166,'Données projet'!$B$166,DO61+DN62-DW61)))</f>
        <v>188.39999999999995</v>
      </c>
      <c r="DP62" s="17">
        <f>DO62*VLOOKUP('Données projet'!$B$14,Paramètres!$A$1:$I$89,3,0)*VLOOKUP('Données projet'!$B$14,Paramètres!$A$1:$I$89,5,0)</f>
        <v>161.64719999999997</v>
      </c>
      <c r="DQ62" s="13">
        <f t="shared" si="43"/>
        <v>41.213824203214038</v>
      </c>
      <c r="DR62" s="20">
        <f t="shared" si="16"/>
        <v>353.31628382059779</v>
      </c>
      <c r="DS62" s="59">
        <f t="shared" si="17"/>
        <v>646.6496171539311</v>
      </c>
      <c r="DT62" s="59">
        <f ca="1">AVERAGE(OFFSET($DS$3,0,0,'Données projet'!$E$14+1,1))-AVERAGE(OFFSET($H$3,0,0,'Données projet'!$E$14+1,1))</f>
        <v>203.34232675618244</v>
      </c>
      <c r="DU62" s="59">
        <f t="shared" si="44"/>
        <v>176.81257896138806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25.616960465618128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25.616960465618128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7.6</v>
      </c>
      <c r="EJ62" s="12">
        <f>IF('Données projet'!$A$192&gt;35,EJ61+EI62-ER61,IF(A62&lt;'Données projet'!$A$192,$EG$205^A62,IF(A62='Données projet'!$A$192,'Données projet'!$B$192,EJ61+EI62-ER61)))</f>
        <v>207.40000000000003</v>
      </c>
      <c r="EK62" s="17">
        <f>EJ62*VLOOKUP('Données projet'!$B$15,Paramètres!$A$1:$I$89,3,0)*VLOOKUP('Données projet'!$B$15,Paramètres!$A$1:$I$89,5,0)</f>
        <v>200.59728000000004</v>
      </c>
      <c r="EL62" s="13">
        <f t="shared" si="45"/>
        <v>49.875409002023019</v>
      </c>
      <c r="EM62" s="20">
        <f t="shared" si="19"/>
        <v>436.23993334519014</v>
      </c>
      <c r="EN62" s="59">
        <f t="shared" si="20"/>
        <v>729.5732666785234</v>
      </c>
      <c r="EO62" s="59">
        <f ca="1">AVERAGE(OFFSET($EN$3,0,0,'Données projet'!$E$15+1,1))-AVERAGE(OFFSET($H$3,0,0,'Données projet'!$E$15+1,1))</f>
        <v>218.78765033569107</v>
      </c>
      <c r="EP62" s="59">
        <f t="shared" si="46"/>
        <v>246.54010105494137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>
        <f>FE62*VLOOKUP('Données projet'!$B$16,Paramètres!$A$1:$I$89,3,0)*VLOOKUP('Données projet'!$B$16,Paramètres!$A$1:$I$89,5,0)</f>
        <v>0</v>
      </c>
      <c r="FG62" s="13" t="e">
        <f t="shared" si="47"/>
        <v>#NUM!</v>
      </c>
      <c r="FH62" s="20" t="e">
        <f t="shared" si="22"/>
        <v>#NUM!</v>
      </c>
      <c r="FI62" s="59" t="e">
        <f t="shared" si="23"/>
        <v>#NUM!</v>
      </c>
      <c r="FJ62" s="59">
        <f ca="1">AVERAGE(OFFSET($FI$3,0,0,'Données projet'!$E$16+1,1))-AVERAGE(OFFSET($H$3,0,0,'Données projet'!$E$16+1,1))</f>
        <v>170.80796812111521</v>
      </c>
      <c r="FK62" s="59">
        <f t="shared" si="48"/>
        <v>249.84047400410321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333.02360594713667</v>
      </c>
      <c r="T63" s="59">
        <f t="shared" si="34"/>
        <v>546.58234447298014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128.5466202688747</v>
      </c>
      <c r="AA63" s="21">
        <f>EXP(-LN(2)/25)*AA62+(1-EXP(-LN(2)/25))/(LN(2)/25)*Calculateur!V63*Calculateur!X63*VLOOKUP('Données projet'!$B$9,Paramètres!$A$1:$I$89,3,0)*0.475*44/12</f>
        <v>58.280575971972922</v>
      </c>
      <c r="AB63" s="21">
        <f>EXP(-LN(2)/2)*AB62+(1-EXP(-LN(2)/2))/(LN(2)/2)*V63*Y63*VLOOKUP('Données projet'!$B$9,Paramètres!$A$1:$I$89,3,0)*0.475*44/12</f>
        <v>0.2286493260809821</v>
      </c>
      <c r="AC63" s="22">
        <f t="shared" si="3"/>
        <v>187.05584556692861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197</v>
      </c>
      <c r="AG63" s="12">
        <f>VLOOKUP(A63,'Données projet'!$A$61:$I$81,9,0)</f>
        <v>8.6</v>
      </c>
      <c r="AH63" s="12">
        <f t="array" ref="AH63">INDEX(AG:AG,MIN(IF(ISNUMBER(AG63:AG259),ROW(AG63:AG259),"")))</f>
        <v>8.6</v>
      </c>
      <c r="AI63" s="13">
        <f>IF('Données projet'!$A$62&gt;35,AI62+AH63-AQ62,IF(A63&lt;'Données projet'!$A$62,$AF$205^A63,IF(A63='Données projet'!$A$62,'Données projet'!$B$62,AI62+AH63-AQ62)))</f>
        <v>196.99999999999994</v>
      </c>
      <c r="AJ63" s="13">
        <f>AI63*VLOOKUP('Données projet'!$B$10,Paramètres!$A$1:$I$89,3,0)*VLOOKUP('Données projet'!$B$10,Paramètres!$A$1:$I$89,5,0)</f>
        <v>172.09919999999997</v>
      </c>
      <c r="AK63" s="13">
        <f t="shared" si="35"/>
        <v>43.559838214506954</v>
      </c>
      <c r="AL63" s="20">
        <f t="shared" si="4"/>
        <v>375.60615822359955</v>
      </c>
      <c r="AM63" s="59">
        <f t="shared" si="5"/>
        <v>668.93949155693281</v>
      </c>
      <c r="AN63" s="59">
        <f ca="1">AVERAGE(OFFSET($AM$3,0,0,'Données projet'!$E$10+1,1))-AVERAGE(OFFSET($H$3,0,0,'Données projet'!$E$10+1,1))</f>
        <v>243.26825841283591</v>
      </c>
      <c r="AO63" s="59">
        <f t="shared" si="36"/>
        <v>179.2944312100729</v>
      </c>
      <c r="AP63" s="15">
        <f>IF(ISNA(VLOOKUP(A63,'Données projet'!$A$61:$I$81,3,0)),0,VLOOKUP(A63,'Données projet'!$A$61:$I$81,3,0))</f>
        <v>7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0.25800000000000001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17.697704570220353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17.697704570220353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197</v>
      </c>
      <c r="BB63" s="12">
        <f>VLOOKUP(A63,'Données projet'!$A$87:$I$107,9,0)</f>
        <v>8.6</v>
      </c>
      <c r="BC63" s="12">
        <f t="array" ref="BC63">INDEX(BB:BB,MIN(IF(ISNUMBER(BB63:BB259),ROW(BB63:BB259),"")))</f>
        <v>8.6</v>
      </c>
      <c r="BD63" s="12">
        <f>IF('Données projet'!$A$88&gt;35,BD62+BC63-BL62,IF(A63&lt;'Données projet'!$A$88,$BA$205^A63,IF(A63='Données projet'!$A$88,'Données projet'!$B$88,BD62+BC63-BL62)))</f>
        <v>196.99999999999994</v>
      </c>
      <c r="BE63" s="13">
        <f>BD63*VLOOKUP('Données projet'!$B$11,Paramètres!$A$1:$I$89,3,0)*VLOOKUP('Données projet'!$B$11,Paramètres!$A$1:$I$89,5,0)</f>
        <v>144.44039999999995</v>
      </c>
      <c r="BF63" s="13">
        <f t="shared" si="37"/>
        <v>37.312382829927081</v>
      </c>
      <c r="BG63" s="20">
        <f t="shared" si="7"/>
        <v>316.55276342878955</v>
      </c>
      <c r="BH63" s="59">
        <f t="shared" si="8"/>
        <v>609.88609676212286</v>
      </c>
      <c r="BI63" s="59">
        <f ca="1">AVERAGE(OFFSET($BH$3,0,0,'Données projet'!$E$11+1,1))-AVERAGE(OFFSET($H$3,0,0,'Données projet'!$E$11+1,1))</f>
        <v>146.45728988963538</v>
      </c>
      <c r="BJ63" s="59">
        <f t="shared" si="38"/>
        <v>156.91778940341118</v>
      </c>
      <c r="BK63" s="15">
        <f>IF(ISNA(VLOOKUP(A63,'Données projet'!$A$87:$I$107,3,0)),0,VLOOKUP(A63,'Données projet'!$A$87:$I$107,3,0))</f>
        <v>7</v>
      </c>
      <c r="BL63" s="15">
        <f>IF(ISNA(VLOOKUP(A63,'Données projet'!$A$87:$I$107,4,0)),0,VLOOKUP(A63,'Données projet'!$A$87:$I$107,4,0))</f>
        <v>197</v>
      </c>
      <c r="BM63" s="16">
        <f>IF(ISNA(VLOOKUP(A63,'Données projet'!$A$87:$I$107,5,0)),0%,VLOOKUP(A63,'Données projet'!$A$87:$I$107,5,0)*VLOOKUP('Données projet'!$B$11,Paramètres!$A$1:$I$89,7,0))</f>
        <v>0.34400000000000003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72.340290850082752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72.340290850082752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244.99999999999989</v>
      </c>
      <c r="BZ63" s="13">
        <f>BY63*VLOOKUP('Données projet'!$B$12,Paramètres!$A$1:$I$89,3,0)*VLOOKUP('Données projet'!$B$12,Paramètres!$A$1:$I$89,5,0)</f>
        <v>194.92199999999991</v>
      </c>
      <c r="CA63" s="13">
        <f t="shared" si="39"/>
        <v>48.626512129794925</v>
      </c>
      <c r="CB63" s="20">
        <f t="shared" si="10"/>
        <v>424.18032529272597</v>
      </c>
      <c r="CC63" s="59">
        <f t="shared" si="11"/>
        <v>717.51365862605928</v>
      </c>
      <c r="CD63" s="59">
        <f ca="1">AVERAGE(OFFSET($CC$3,0,0,'Données projet'!$E$12+1,1))-AVERAGE(OFFSET($H$3,0,0,'Données projet'!$E$12+1,1))</f>
        <v>238.71022302719206</v>
      </c>
      <c r="CE63" s="59">
        <f t="shared" si="40"/>
        <v>294.28794439094878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249</v>
      </c>
      <c r="CH63" s="16">
        <f>IF(ISNA(VLOOKUP(A63,'Données projet'!$A$113:$I$133,5,0)),0%,VLOOKUP(A63,'Données projet'!$A$113:$I$133,5,0)*VLOOKUP('Données projet'!$B$12,Paramètres!$A$1:$I$89,7,0))</f>
        <v>0.42400000000000004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120.34217768020068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120.34217768020068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245</v>
      </c>
      <c r="CR63" s="12">
        <f>VLOOKUP(A63,'Données projet'!$A$139:$I$159,9,0)</f>
        <v>5.2</v>
      </c>
      <c r="CS63" s="12">
        <f t="array" ref="CS63">INDEX(CR:CR,MIN(IF(ISNUMBER(CR63:CR259),ROW(CR63:CR259),"")))</f>
        <v>5.2</v>
      </c>
      <c r="CT63" s="12">
        <f>IF('Données projet'!$A$140&gt;35,CT62+CS63-DB62,IF(A63&lt;'Données projet'!$A$140,$CQ$205^A63,IF(A63='Données projet'!$A$140,'Données projet'!$B$140,CT62+CS63-DB62)))</f>
        <v>244.99999999999989</v>
      </c>
      <c r="CU63" s="17">
        <f>CT63*VLOOKUP('Données projet'!$B$13,Paramètres!$A$1:$I$89,3,0)*VLOOKUP('Données projet'!$B$13,Paramètres!$A$1:$I$89,5,0)</f>
        <v>194.92199999999991</v>
      </c>
      <c r="CV63" s="13">
        <f t="shared" si="41"/>
        <v>48.626512129794925</v>
      </c>
      <c r="CW63" s="20">
        <f t="shared" si="13"/>
        <v>424.18032529272597</v>
      </c>
      <c r="CX63" s="59">
        <f t="shared" si="14"/>
        <v>717.51365862605928</v>
      </c>
      <c r="CY63" s="59">
        <f ca="1">AVERAGE(OFFSET($CX$3,0,0,'Données projet'!$E$13+1,1))-AVERAGE(OFFSET($H$3,0,0,'Données projet'!$E$13+1,1))</f>
        <v>238.71022302719206</v>
      </c>
      <c r="CZ63" s="59">
        <f t="shared" si="42"/>
        <v>294.28794439094878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245</v>
      </c>
      <c r="DC63" s="16">
        <f>IF(ISNA(VLOOKUP(A63,'Données projet'!$A$139:$I$159,5,0)),0%,VLOOKUP(A63,'Données projet'!$A$139:$I$159,5,0)*VLOOKUP('Données projet'!$B$13,Paramètres!$A$1:$I$89,7,0))</f>
        <v>0.42400000000000004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118.85052493141062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118.85052493141062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197</v>
      </c>
      <c r="DM63" s="12">
        <f>VLOOKUP(A63,'Données projet'!$A$165:$I$185,9,0)</f>
        <v>8.6</v>
      </c>
      <c r="DN63" s="12">
        <f t="array" ref="DN63">INDEX(DM:DM,MIN(IF(ISNUMBER(DM63:DM259),ROW(DM63:DM259),"")))</f>
        <v>8.6</v>
      </c>
      <c r="DO63" s="12">
        <f>IF('Données projet'!$A$166&gt;35,DO62+DN63-DW62,IF(A63&lt;'Données projet'!$A$166,$DL$205^A63,IF(A63='Données projet'!$A$166,'Données projet'!$B$166,DO62+DN63-DW62)))</f>
        <v>196.99999999999994</v>
      </c>
      <c r="DP63" s="17">
        <f>DO63*VLOOKUP('Données projet'!$B$14,Paramètres!$A$1:$I$89,3,0)*VLOOKUP('Données projet'!$B$14,Paramètres!$A$1:$I$89,5,0)</f>
        <v>169.02599999999998</v>
      </c>
      <c r="DQ63" s="13">
        <f t="shared" si="43"/>
        <v>42.871807090122402</v>
      </c>
      <c r="DR63" s="20">
        <f t="shared" si="16"/>
        <v>369.05534734862982</v>
      </c>
      <c r="DS63" s="59">
        <f t="shared" si="17"/>
        <v>662.38868068196314</v>
      </c>
      <c r="DT63" s="59">
        <f ca="1">AVERAGE(OFFSET($DS$3,0,0,'Données projet'!$E$14+1,1))-AVERAGE(OFFSET($H$3,0,0,'Données projet'!$E$14+1,1))</f>
        <v>203.34232675618244</v>
      </c>
      <c r="DU63" s="59">
        <f t="shared" si="44"/>
        <v>176.81257896138806</v>
      </c>
      <c r="DV63" s="15">
        <f>IF(ISNA(VLOOKUP(A63,'Données projet'!$A$165:$I$185,3,0)),0,VLOOKUP(A63,'Données projet'!$A$165:$I$185,3,0))</f>
        <v>7</v>
      </c>
      <c r="DW63" s="15">
        <f>IF(ISNA(VLOOKUP(A63,'Données projet'!$A$165:$I$185,4,0)),0,VLOOKUP(A63,'Données projet'!$A$165:$I$185,4,0))</f>
        <v>21</v>
      </c>
      <c r="DX63" s="16">
        <f>IF(ISNA(VLOOKUP(A63,'Données projet'!$A$165:$I$185,5,0)),0%,VLOOKUP(A63,'Données projet'!$A$165:$I$185,5,0)*VLOOKUP('Données projet'!$B$14,Paramètres!$A$1:$I$89,7,0))</f>
        <v>0.42400000000000004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33.560014382222491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33.560014382222491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215</v>
      </c>
      <c r="EH63" s="12">
        <f>VLOOKUP(A63,'Données projet'!$A$191:$I$211,9,0)</f>
        <v>7.6</v>
      </c>
      <c r="EI63" s="12">
        <f t="array" ref="EI63">INDEX(EH:EH,MIN(IF(ISNUMBER(EH63:EH259),ROW(EH63:EH259),"")))</f>
        <v>7.6</v>
      </c>
      <c r="EJ63" s="12">
        <f>IF('Données projet'!$A$192&gt;35,EJ62+EI63-ER62,IF(A63&lt;'Données projet'!$A$192,$EG$205^A63,IF(A63='Données projet'!$A$192,'Données projet'!$B$192,EJ62+EI63-ER62)))</f>
        <v>215.00000000000003</v>
      </c>
      <c r="EK63" s="17">
        <f>EJ63*VLOOKUP('Données projet'!$B$15,Paramètres!$A$1:$I$89,3,0)*VLOOKUP('Données projet'!$B$15,Paramètres!$A$1:$I$89,5,0)</f>
        <v>207.94800000000004</v>
      </c>
      <c r="EL63" s="13">
        <f t="shared" si="45"/>
        <v>51.486916127068838</v>
      </c>
      <c r="EM63" s="20">
        <f t="shared" si="19"/>
        <v>451.84914558797823</v>
      </c>
      <c r="EN63" s="59">
        <f t="shared" si="20"/>
        <v>745.18247892131149</v>
      </c>
      <c r="EO63" s="59">
        <f ca="1">AVERAGE(OFFSET($EN$3,0,0,'Données projet'!$E$15+1,1))-AVERAGE(OFFSET($H$3,0,0,'Données projet'!$E$15+1,1))</f>
        <v>218.78765033569107</v>
      </c>
      <c r="EP63" s="59">
        <f t="shared" si="46"/>
        <v>246.54010105494137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215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>
        <f>FE63*VLOOKUP('Données projet'!$B$16,Paramètres!$A$1:$I$89,3,0)*VLOOKUP('Données projet'!$B$16,Paramètres!$A$1:$I$89,5,0)</f>
        <v>0</v>
      </c>
      <c r="FG63" s="13" t="e">
        <f t="shared" si="47"/>
        <v>#NUM!</v>
      </c>
      <c r="FH63" s="20" t="e">
        <f t="shared" si="22"/>
        <v>#NUM!</v>
      </c>
      <c r="FI63" s="59" t="e">
        <f t="shared" si="23"/>
        <v>#NUM!</v>
      </c>
      <c r="FJ63" s="59">
        <f ca="1">AVERAGE(OFFSET($FI$3,0,0,'Données projet'!$E$16+1,1))-AVERAGE(OFFSET($H$3,0,0,'Données projet'!$E$16+1,1))</f>
        <v>170.80796812111521</v>
      </c>
      <c r="FK63" s="59">
        <f t="shared" si="48"/>
        <v>249.84047400410321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333.02360594713667</v>
      </c>
      <c r="T64" s="59">
        <f t="shared" si="34"/>
        <v>546.58234447298014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126.02589945109851</v>
      </c>
      <c r="AA64" s="21">
        <f>EXP(-LN(2)/25)*AA63+(1-EXP(-LN(2)/25))/(LN(2)/25)*Calculateur!V64*Calculateur!X64*VLOOKUP('Données projet'!$B$9,Paramètres!$A$1:$I$89,3,0)*0.475*44/12</f>
        <v>56.686890557177037</v>
      </c>
      <c r="AB64" s="21">
        <f>EXP(-LN(2)/2)*AB63+(1-EXP(-LN(2)/2))/(LN(2)/2)*V64*Y64*VLOOKUP('Données projet'!$B$9,Paramètres!$A$1:$I$89,3,0)*0.475*44/12</f>
        <v>0.16167948898559656</v>
      </c>
      <c r="AC64" s="22">
        <f t="shared" si="3"/>
        <v>182.87446949726112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8.1999999999999993</v>
      </c>
      <c r="AI64" s="13">
        <f>IF('Données projet'!$A$62&gt;35,AI63+AH64-AQ63,IF(A64&lt;'Données projet'!$A$62,$AF$205^A64,IF(A64='Données projet'!$A$62,'Données projet'!$B$62,AI63+AH64-AQ63)))</f>
        <v>184.19999999999993</v>
      </c>
      <c r="AJ64" s="13">
        <f>AI64*VLOOKUP('Données projet'!$B$10,Paramètres!$A$1:$I$89,3,0)*VLOOKUP('Données projet'!$B$10,Paramètres!$A$1:$I$89,5,0)</f>
        <v>160.91711999999995</v>
      </c>
      <c r="AK64" s="13">
        <f t="shared" si="35"/>
        <v>41.049305520788053</v>
      </c>
      <c r="AL64" s="20">
        <f t="shared" si="4"/>
        <v>351.75819111537243</v>
      </c>
      <c r="AM64" s="59">
        <f t="shared" si="5"/>
        <v>645.09152444870574</v>
      </c>
      <c r="AN64" s="59">
        <f ca="1">AVERAGE(OFFSET($AM$3,0,0,'Données projet'!$E$10+1,1))-AVERAGE(OFFSET($H$3,0,0,'Données projet'!$E$10+1,1))</f>
        <v>243.26825841283591</v>
      </c>
      <c r="AO64" s="59">
        <f t="shared" si="36"/>
        <v>179.2944312100729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17.350663378132246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17.350663378132246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-5.6843418860808015E-14</v>
      </c>
      <c r="BE64" s="13">
        <f>BD64*VLOOKUP('Données projet'!$B$11,Paramètres!$A$1:$I$89,3,0)*VLOOKUP('Données projet'!$B$11,Paramètres!$A$1:$I$89,5,0)</f>
        <v>-4.1677594708744434E-14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146.45728988963538</v>
      </c>
      <c r="BJ64" s="59">
        <f t="shared" si="38"/>
        <v>156.91778940341118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70.921741869733239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70.921741869733239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-4.0000000000001137</v>
      </c>
      <c r="BZ64" s="13">
        <f>BY64*VLOOKUP('Données projet'!$B$12,Paramètres!$A$1:$I$89,3,0)*VLOOKUP('Données projet'!$B$12,Paramètres!$A$1:$I$89,5,0)</f>
        <v>-3.1824000000000909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238.71022302719206</v>
      </c>
      <c r="CE64" s="59">
        <f t="shared" si="40"/>
        <v>294.28794439094878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117.98234097737253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117.98234097737253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-1.1368683772161603E-13</v>
      </c>
      <c r="CU64" s="17">
        <f>CT64*VLOOKUP('Données projet'!$B$13,Paramètres!$A$1:$I$89,3,0)*VLOOKUP('Données projet'!$B$13,Paramètres!$A$1:$I$89,5,0)</f>
        <v>-9.0449248091317723E-14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238.71022302719206</v>
      </c>
      <c r="CZ64" s="59">
        <f t="shared" si="42"/>
        <v>294.28794439094878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116.51993862916791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116.51993862916791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8.1999999999999993</v>
      </c>
      <c r="DO64" s="12">
        <f>IF('Données projet'!$A$166&gt;35,DO63+DN64-DW63,IF(A64&lt;'Données projet'!$A$166,$DL$205^A64,IF(A64='Données projet'!$A$166,'Données projet'!$B$166,DO63+DN64-DW63)))</f>
        <v>184.19999999999993</v>
      </c>
      <c r="DP64" s="17">
        <f>DO64*VLOOKUP('Données projet'!$B$14,Paramètres!$A$1:$I$89,3,0)*VLOOKUP('Données projet'!$B$14,Paramètres!$A$1:$I$89,5,0)</f>
        <v>158.04359999999997</v>
      </c>
      <c r="DQ64" s="13">
        <f t="shared" si="43"/>
        <v>40.400928460855198</v>
      </c>
      <c r="DR64" s="20">
        <f t="shared" si="16"/>
        <v>345.62422040265614</v>
      </c>
      <c r="DS64" s="59">
        <f t="shared" si="17"/>
        <v>638.95755373598945</v>
      </c>
      <c r="DT64" s="59">
        <f ca="1">AVERAGE(OFFSET($DS$3,0,0,'Données projet'!$E$14+1,1))-AVERAGE(OFFSET($H$3,0,0,'Données projet'!$E$14+1,1))</f>
        <v>203.34232675618244</v>
      </c>
      <c r="DU64" s="59">
        <f t="shared" si="44"/>
        <v>176.81257896138806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32.901922969774674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32.901922969774674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2.8421709430404007E-14</v>
      </c>
      <c r="EK64" s="17">
        <f>EJ64*VLOOKUP('Données projet'!$B$15,Paramètres!$A$1:$I$89,3,0)*VLOOKUP('Données projet'!$B$15,Paramètres!$A$1:$I$89,5,0)</f>
        <v>2.7489477361086758E-14</v>
      </c>
      <c r="EL64" s="13">
        <f t="shared" si="45"/>
        <v>4.7995394886724981E-13</v>
      </c>
      <c r="EM64" s="20">
        <f t="shared" si="19"/>
        <v>8.8379730068101964E-13</v>
      </c>
      <c r="EN64" s="59">
        <f t="shared" si="20"/>
        <v>293.33333333333422</v>
      </c>
      <c r="EO64" s="59">
        <f ca="1">AVERAGE(OFFSET($EN$3,0,0,'Données projet'!$E$15+1,1))-AVERAGE(OFFSET($H$3,0,0,'Données projet'!$E$15+1,1))</f>
        <v>218.78765033569107</v>
      </c>
      <c r="EP64" s="59">
        <f t="shared" si="46"/>
        <v>246.54010105494137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>
        <f>FE64*VLOOKUP('Données projet'!$B$16,Paramètres!$A$1:$I$89,3,0)*VLOOKUP('Données projet'!$B$16,Paramètres!$A$1:$I$89,5,0)</f>
        <v>0</v>
      </c>
      <c r="FG64" s="13" t="e">
        <f t="shared" si="47"/>
        <v>#NUM!</v>
      </c>
      <c r="FH64" s="20" t="e">
        <f t="shared" si="22"/>
        <v>#NUM!</v>
      </c>
      <c r="FI64" s="59" t="e">
        <f t="shared" si="23"/>
        <v>#NUM!</v>
      </c>
      <c r="FJ64" s="59">
        <f ca="1">AVERAGE(OFFSET($FI$3,0,0,'Données projet'!$E$16+1,1))-AVERAGE(OFFSET($H$3,0,0,'Données projet'!$E$16+1,1))</f>
        <v>170.80796812111521</v>
      </c>
      <c r="FK64" s="59">
        <f t="shared" si="48"/>
        <v>249.84047400410321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333.02360594713667</v>
      </c>
      <c r="T65" s="59">
        <f t="shared" si="34"/>
        <v>546.58234447298014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123.55460843107103</v>
      </c>
      <c r="AA65" s="21">
        <f>EXP(-LN(2)/25)*AA64+(1-EXP(-LN(2)/25))/(LN(2)/25)*Calculateur!V65*Calculateur!X65*VLOOKUP('Données projet'!$B$9,Paramètres!$A$1:$I$89,3,0)*0.475*44/12</f>
        <v>55.136784553857019</v>
      </c>
      <c r="AB65" s="21">
        <f>EXP(-LN(2)/2)*AB64+(1-EXP(-LN(2)/2))/(LN(2)/2)*V65*Y65*VLOOKUP('Données projet'!$B$9,Paramètres!$A$1:$I$89,3,0)*0.475*44/12</f>
        <v>0.11432466304049105</v>
      </c>
      <c r="AC65" s="22">
        <f t="shared" si="3"/>
        <v>178.80571764796855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8.1999999999999993</v>
      </c>
      <c r="AI65" s="13">
        <f>IF('Données projet'!$A$62&gt;35,AI64+AH65-AQ64,IF(A65&lt;'Données projet'!$A$62,$AF$205^A65,IF(A65='Données projet'!$A$62,'Données projet'!$B$62,AI64+AH65-AQ64)))</f>
        <v>192.39999999999992</v>
      </c>
      <c r="AJ65" s="13">
        <f>AI65*VLOOKUP('Données projet'!$B$10,Paramètres!$A$1:$I$89,3,0)*VLOOKUP('Données projet'!$B$10,Paramètres!$A$1:$I$89,5,0)</f>
        <v>168.08063999999996</v>
      </c>
      <c r="AK65" s="13">
        <f t="shared" si="35"/>
        <v>42.659867131343425</v>
      </c>
      <c r="AL65" s="20">
        <f t="shared" si="4"/>
        <v>367.03971658708974</v>
      </c>
      <c r="AM65" s="59">
        <f t="shared" si="5"/>
        <v>660.373049920423</v>
      </c>
      <c r="AN65" s="59">
        <f ca="1">AVERAGE(OFFSET($AM$3,0,0,'Données projet'!$E$10+1,1))-AVERAGE(OFFSET($H$3,0,0,'Données projet'!$E$10+1,1))</f>
        <v>243.26825841283591</v>
      </c>
      <c r="AO65" s="59">
        <f t="shared" si="36"/>
        <v>179.2944312100729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17.010427452146764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17.010427452146764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-5.6843418860808015E-14</v>
      </c>
      <c r="BE65" s="13">
        <f>BD65*VLOOKUP('Données projet'!$B$11,Paramètres!$A$1:$I$89,3,0)*VLOOKUP('Données projet'!$B$11,Paramètres!$A$1:$I$89,5,0)</f>
        <v>-4.1677594708744434E-14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146.45728988963538</v>
      </c>
      <c r="BJ65" s="59">
        <f t="shared" si="38"/>
        <v>156.91778940341118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69.531009769658937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69.531009769658937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-4.0000000000001137</v>
      </c>
      <c r="BZ65" s="13">
        <f>BY65*VLOOKUP('Données projet'!$B$12,Paramètres!$A$1:$I$89,3,0)*VLOOKUP('Données projet'!$B$12,Paramètres!$A$1:$I$89,5,0)</f>
        <v>-3.1824000000000909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238.71022302719206</v>
      </c>
      <c r="CE65" s="59">
        <f t="shared" si="40"/>
        <v>294.28794439094878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115.66877923292859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115.66877923292859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-1.1368683772161603E-13</v>
      </c>
      <c r="CU65" s="17">
        <f>CT65*VLOOKUP('Données projet'!$B$13,Paramètres!$A$1:$I$89,3,0)*VLOOKUP('Données projet'!$B$13,Paramètres!$A$1:$I$89,5,0)</f>
        <v>-9.0449248091317723E-14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238.71022302719206</v>
      </c>
      <c r="CZ65" s="59">
        <f t="shared" si="42"/>
        <v>294.28794439094878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114.2350537027949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114.2350537027949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8.1999999999999993</v>
      </c>
      <c r="DO65" s="12">
        <f>IF('Données projet'!$A$166&gt;35,DO64+DN65-DW64,IF(A65&lt;'Données projet'!$A$166,$DL$205^A65,IF(A65='Données projet'!$A$166,'Données projet'!$B$166,DO64+DN65-DW64)))</f>
        <v>192.39999999999992</v>
      </c>
      <c r="DP65" s="17">
        <f>DO65*VLOOKUP('Données projet'!$B$14,Paramètres!$A$1:$I$89,3,0)*VLOOKUP('Données projet'!$B$14,Paramètres!$A$1:$I$89,5,0)</f>
        <v>165.07919999999996</v>
      </c>
      <c r="DQ65" s="13">
        <f t="shared" si="43"/>
        <v>41.986051122111817</v>
      </c>
      <c r="DR65" s="20">
        <f t="shared" si="16"/>
        <v>360.6386457043447</v>
      </c>
      <c r="DS65" s="59">
        <f t="shared" si="17"/>
        <v>653.97197903767801</v>
      </c>
      <c r="DT65" s="59">
        <f ca="1">AVERAGE(OFFSET($DS$3,0,0,'Données projet'!$E$14+1,1))-AVERAGE(OFFSET($H$3,0,0,'Données projet'!$E$14+1,1))</f>
        <v>203.34232675618244</v>
      </c>
      <c r="DU65" s="59">
        <f t="shared" si="44"/>
        <v>176.81257896138806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32.256736328528838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32.256736328528838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2.8421709430404007E-14</v>
      </c>
      <c r="EK65" s="17">
        <f>EJ65*VLOOKUP('Données projet'!$B$15,Paramètres!$A$1:$I$89,3,0)*VLOOKUP('Données projet'!$B$15,Paramètres!$A$1:$I$89,5,0)</f>
        <v>2.7489477361086758E-14</v>
      </c>
      <c r="EL65" s="13">
        <f t="shared" si="45"/>
        <v>4.7995394886724981E-13</v>
      </c>
      <c r="EM65" s="20">
        <f t="shared" si="19"/>
        <v>8.8379730068101964E-13</v>
      </c>
      <c r="EN65" s="59">
        <f t="shared" si="20"/>
        <v>293.33333333333422</v>
      </c>
      <c r="EO65" s="59">
        <f ca="1">AVERAGE(OFFSET($EN$3,0,0,'Données projet'!$E$15+1,1))-AVERAGE(OFFSET($H$3,0,0,'Données projet'!$E$15+1,1))</f>
        <v>218.78765033569107</v>
      </c>
      <c r="EP65" s="59">
        <f t="shared" si="46"/>
        <v>246.54010105494137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>
        <f>FE65*VLOOKUP('Données projet'!$B$16,Paramètres!$A$1:$I$89,3,0)*VLOOKUP('Données projet'!$B$16,Paramètres!$A$1:$I$89,5,0)</f>
        <v>0</v>
      </c>
      <c r="FG65" s="13" t="e">
        <f t="shared" si="47"/>
        <v>#NUM!</v>
      </c>
      <c r="FH65" s="20" t="e">
        <f t="shared" si="22"/>
        <v>#NUM!</v>
      </c>
      <c r="FI65" s="59" t="e">
        <f t="shared" si="23"/>
        <v>#NUM!</v>
      </c>
      <c r="FJ65" s="59">
        <f ca="1">AVERAGE(OFFSET($FI$3,0,0,'Données projet'!$E$16+1,1))-AVERAGE(OFFSET($H$3,0,0,'Données projet'!$E$16+1,1))</f>
        <v>170.80796812111521</v>
      </c>
      <c r="FK65" s="59">
        <f t="shared" si="48"/>
        <v>249.84047400410321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333.02360594713667</v>
      </c>
      <c r="T66" s="59">
        <f t="shared" si="34"/>
        <v>546.58234447298014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121.1317779206076</v>
      </c>
      <c r="AA66" s="21">
        <f>EXP(-LN(2)/25)*AA65+(1-EXP(-LN(2)/25))/(LN(2)/25)*Calculateur!V66*Calculateur!X66*VLOOKUP('Données projet'!$B$9,Paramètres!$A$1:$I$89,3,0)*0.475*44/12</f>
        <v>53.629066280714319</v>
      </c>
      <c r="AB66" s="21">
        <f>EXP(-LN(2)/2)*AB65+(1-EXP(-LN(2)/2))/(LN(2)/2)*V66*Y66*VLOOKUP('Données projet'!$B$9,Paramètres!$A$1:$I$89,3,0)*0.475*44/12</f>
        <v>8.0839744492798279E-2</v>
      </c>
      <c r="AC66" s="22">
        <f t="shared" si="3"/>
        <v>174.84168394581474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8.1999999999999993</v>
      </c>
      <c r="AI66" s="13">
        <f>IF('Données projet'!$A$62&gt;35,AI65+AH66-AQ65,IF(A66&lt;'Données projet'!$A$62,$AF$205^A66,IF(A66='Données projet'!$A$62,'Données projet'!$B$62,AI65+AH66-AQ65)))</f>
        <v>200.59999999999991</v>
      </c>
      <c r="AJ66" s="13">
        <f>AI66*VLOOKUP('Données projet'!$B$10,Paramètres!$A$1:$I$89,3,0)*VLOOKUP('Données projet'!$B$10,Paramètres!$A$1:$I$89,5,0)</f>
        <v>175.24415999999994</v>
      </c>
      <c r="AK66" s="13">
        <f t="shared" si="35"/>
        <v>44.262456119927037</v>
      </c>
      <c r="AL66" s="20">
        <f t="shared" si="4"/>
        <v>382.30735640887286</v>
      </c>
      <c r="AM66" s="59">
        <f t="shared" si="5"/>
        <v>675.64068974220618</v>
      </c>
      <c r="AN66" s="59">
        <f ca="1">AVERAGE(OFFSET($AM$3,0,0,'Données projet'!$E$10+1,1))-AVERAGE(OFFSET($H$3,0,0,'Données projet'!$E$10+1,1))</f>
        <v>243.26825841283591</v>
      </c>
      <c r="AO66" s="59">
        <f t="shared" si="36"/>
        <v>179.2944312100729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16.676863345146433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16.676863345146433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-5.6843418860808015E-14</v>
      </c>
      <c r="BE66" s="13">
        <f>BD66*VLOOKUP('Données projet'!$B$11,Paramètres!$A$1:$I$89,3,0)*VLOOKUP('Données projet'!$B$11,Paramètres!$A$1:$I$89,5,0)</f>
        <v>-4.1677594708744434E-14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146.45728988963538</v>
      </c>
      <c r="BJ66" s="59">
        <f t="shared" si="38"/>
        <v>156.91778940341118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68.167549077804267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68.167549077804267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-4.0000000000001137</v>
      </c>
      <c r="BZ66" s="13">
        <f>BY66*VLOOKUP('Données projet'!$B$12,Paramètres!$A$1:$I$89,3,0)*VLOOKUP('Données projet'!$B$12,Paramètres!$A$1:$I$89,5,0)</f>
        <v>-3.1824000000000909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238.71022302719206</v>
      </c>
      <c r="CE66" s="59">
        <f t="shared" si="40"/>
        <v>294.28794439094878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113.40058502315986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113.40058502315986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-1.1368683772161603E-13</v>
      </c>
      <c r="CU66" s="17">
        <f>CT66*VLOOKUP('Données projet'!$B$13,Paramètres!$A$1:$I$89,3,0)*VLOOKUP('Données projet'!$B$13,Paramètres!$A$1:$I$89,5,0)</f>
        <v>-9.0449248091317723E-14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238.71022302719206</v>
      </c>
      <c r="CZ66" s="59">
        <f t="shared" si="42"/>
        <v>294.28794439094878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111.99497397618586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111.99497397618586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8.1999999999999993</v>
      </c>
      <c r="DO66" s="12">
        <f>IF('Données projet'!$A$166&gt;35,DO65+DN66-DW65,IF(A66&lt;'Données projet'!$A$166,$DL$205^A66,IF(A66='Données projet'!$A$166,'Données projet'!$B$166,DO65+DN66-DW65)))</f>
        <v>200.59999999999991</v>
      </c>
      <c r="DP66" s="17">
        <f>DO66*VLOOKUP('Données projet'!$B$14,Paramètres!$A$1:$I$89,3,0)*VLOOKUP('Données projet'!$B$14,Paramètres!$A$1:$I$89,5,0)</f>
        <v>172.11479999999995</v>
      </c>
      <c r="DQ66" s="13">
        <f t="shared" si="43"/>
        <v>43.563327089597564</v>
      </c>
      <c r="DR66" s="20">
        <f t="shared" si="16"/>
        <v>375.63940468104903</v>
      </c>
      <c r="DS66" s="59">
        <f t="shared" si="17"/>
        <v>668.97273801438234</v>
      </c>
      <c r="DT66" s="59">
        <f ca="1">AVERAGE(OFFSET($DS$3,0,0,'Données projet'!$E$14+1,1))-AVERAGE(OFFSET($H$3,0,0,'Données projet'!$E$14+1,1))</f>
        <v>203.34232675618244</v>
      </c>
      <c r="DU66" s="59">
        <f t="shared" si="44"/>
        <v>176.81257896138806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31.624201403792835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31.624201403792835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2.8421709430404007E-14</v>
      </c>
      <c r="EK66" s="17">
        <f>EJ66*VLOOKUP('Données projet'!$B$15,Paramètres!$A$1:$I$89,3,0)*VLOOKUP('Données projet'!$B$15,Paramètres!$A$1:$I$89,5,0)</f>
        <v>2.7489477361086758E-14</v>
      </c>
      <c r="EL66" s="13">
        <f t="shared" si="45"/>
        <v>4.7995394886724981E-13</v>
      </c>
      <c r="EM66" s="20">
        <f t="shared" si="19"/>
        <v>8.8379730068101964E-13</v>
      </c>
      <c r="EN66" s="59">
        <f t="shared" si="20"/>
        <v>293.33333333333422</v>
      </c>
      <c r="EO66" s="59">
        <f ca="1">AVERAGE(OFFSET($EN$3,0,0,'Données projet'!$E$15+1,1))-AVERAGE(OFFSET($H$3,0,0,'Données projet'!$E$15+1,1))</f>
        <v>218.78765033569107</v>
      </c>
      <c r="EP66" s="59">
        <f t="shared" si="46"/>
        <v>246.54010105494137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>
        <f>FE66*VLOOKUP('Données projet'!$B$16,Paramètres!$A$1:$I$89,3,0)*VLOOKUP('Données projet'!$B$16,Paramètres!$A$1:$I$89,5,0)</f>
        <v>0</v>
      </c>
      <c r="FG66" s="13" t="e">
        <f t="shared" si="47"/>
        <v>#NUM!</v>
      </c>
      <c r="FH66" s="20" t="e">
        <f t="shared" si="22"/>
        <v>#NUM!</v>
      </c>
      <c r="FI66" s="59" t="e">
        <f t="shared" si="23"/>
        <v>#NUM!</v>
      </c>
      <c r="FJ66" s="59">
        <f ca="1">AVERAGE(OFFSET($FI$3,0,0,'Données projet'!$E$16+1,1))-AVERAGE(OFFSET($H$3,0,0,'Données projet'!$E$16+1,1))</f>
        <v>170.80796812111521</v>
      </c>
      <c r="FK66" s="59">
        <f t="shared" si="48"/>
        <v>249.84047400410321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0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333.02360594713667</v>
      </c>
      <c r="T67" s="59">
        <f t="shared" si="34"/>
        <v>546.58234447298014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118.75645763867367</v>
      </c>
      <c r="AA67" s="21">
        <f>EXP(-LN(2)/25)*AA66+(1-EXP(-LN(2)/25))/(LN(2)/25)*Calculateur!V67*Calculateur!X67*VLOOKUP('Données projet'!$B$9,Paramètres!$A$1:$I$89,3,0)*0.475*44/12</f>
        <v>52.162576643038165</v>
      </c>
      <c r="AB67" s="21">
        <f>EXP(-LN(2)/2)*AB66+(1-EXP(-LN(2)/2))/(LN(2)/2)*V67*Y67*VLOOKUP('Données projet'!$B$9,Paramètres!$A$1:$I$89,3,0)*0.475*44/12</f>
        <v>5.7162331520245524E-2</v>
      </c>
      <c r="AC67" s="22">
        <f t="shared" si="3"/>
        <v>170.97619661323208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8.1999999999999993</v>
      </c>
      <c r="AI67" s="13">
        <f>IF('Données projet'!$A$62&gt;35,AI66+AH67-AQ66,IF(A67&lt;'Données projet'!$A$62,$AF$205^A67,IF(A67='Données projet'!$A$62,'Données projet'!$B$62,AI66+AH67-AQ66)))</f>
        <v>208.7999999999999</v>
      </c>
      <c r="AJ67" s="13">
        <f>AI67*VLOOKUP('Données projet'!$B$10,Paramètres!$A$1:$I$89,3,0)*VLOOKUP('Données projet'!$B$10,Paramètres!$A$1:$I$89,5,0)</f>
        <v>182.40767999999994</v>
      </c>
      <c r="AK67" s="13">
        <f t="shared" si="35"/>
        <v>45.857435663065921</v>
      </c>
      <c r="AL67" s="20">
        <f t="shared" si="4"/>
        <v>397.56174311317301</v>
      </c>
      <c r="AM67" s="59">
        <f t="shared" si="5"/>
        <v>690.89507644650632</v>
      </c>
      <c r="AN67" s="59">
        <f ca="1">AVERAGE(OFFSET($AM$3,0,0,'Données projet'!$E$10+1,1))-AVERAGE(OFFSET($H$3,0,0,'Données projet'!$E$10+1,1))</f>
        <v>243.26825841283591</v>
      </c>
      <c r="AO67" s="59">
        <f t="shared" si="36"/>
        <v>179.2944312100729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16.349840226830363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16.349840226830363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-5.6843418860808015E-14</v>
      </c>
      <c r="BE67" s="13">
        <f>BD67*VLOOKUP('Données projet'!$B$11,Paramètres!$A$1:$I$89,3,0)*VLOOKUP('Données projet'!$B$11,Paramètres!$A$1:$I$89,5,0)</f>
        <v>-4.1677594708744434E-14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146.45728988963538</v>
      </c>
      <c r="BJ67" s="59">
        <f t="shared" si="38"/>
        <v>156.91778940341118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66.830825018487971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66.830825018487971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-4.0000000000001137</v>
      </c>
      <c r="BZ67" s="13">
        <f>BY67*VLOOKUP('Données projet'!$B$12,Paramètres!$A$1:$I$89,3,0)*VLOOKUP('Données projet'!$B$12,Paramètres!$A$1:$I$89,5,0)</f>
        <v>-3.1824000000000909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238.71022302719206</v>
      </c>
      <c r="CE67" s="59">
        <f t="shared" si="40"/>
        <v>294.28794439094878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111.17686871838283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111.17686871838283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-1.1368683772161603E-13</v>
      </c>
      <c r="CU67" s="17">
        <f>CT67*VLOOKUP('Données projet'!$B$13,Paramètres!$A$1:$I$89,3,0)*VLOOKUP('Données projet'!$B$13,Paramètres!$A$1:$I$89,5,0)</f>
        <v>-9.0449248091317723E-14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238.71022302719206</v>
      </c>
      <c r="CZ67" s="59">
        <f t="shared" si="42"/>
        <v>294.28794439094878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109.79882084670191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109.79882084670191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8.1999999999999993</v>
      </c>
      <c r="DO67" s="12">
        <f>IF('Données projet'!$A$166&gt;35,DO66+DN67-DW66,IF(A67&lt;'Données projet'!$A$166,$DL$205^A67,IF(A67='Données projet'!$A$166,'Données projet'!$B$166,DO66+DN67-DW66)))</f>
        <v>208.7999999999999</v>
      </c>
      <c r="DP67" s="17">
        <f>DO67*VLOOKUP('Données projet'!$B$14,Paramètres!$A$1:$I$89,3,0)*VLOOKUP('Données projet'!$B$14,Paramètres!$A$1:$I$89,5,0)</f>
        <v>179.15039999999993</v>
      </c>
      <c r="DQ67" s="13">
        <f t="shared" si="43"/>
        <v>45.133113803437304</v>
      </c>
      <c r="DR67" s="20">
        <f t="shared" si="16"/>
        <v>390.62711987431982</v>
      </c>
      <c r="DS67" s="59">
        <f t="shared" si="17"/>
        <v>683.96045320765313</v>
      </c>
      <c r="DT67" s="59">
        <f ca="1">AVERAGE(OFFSET($DS$3,0,0,'Données projet'!$E$14+1,1))-AVERAGE(OFFSET($H$3,0,0,'Données projet'!$E$14+1,1))</f>
        <v>203.34232675618244</v>
      </c>
      <c r="DU67" s="59">
        <f t="shared" si="44"/>
        <v>176.81257896138806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31.004070103122697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31.004070103122697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2.8421709430404007E-14</v>
      </c>
      <c r="EK67" s="17">
        <f>EJ67*VLOOKUP('Données projet'!$B$15,Paramètres!$A$1:$I$89,3,0)*VLOOKUP('Données projet'!$B$15,Paramètres!$A$1:$I$89,5,0)</f>
        <v>2.7489477361086758E-14</v>
      </c>
      <c r="EL67" s="13">
        <f t="shared" si="45"/>
        <v>4.7995394886724981E-13</v>
      </c>
      <c r="EM67" s="20">
        <f t="shared" si="19"/>
        <v>8.8379730068101964E-13</v>
      </c>
      <c r="EN67" s="59">
        <f t="shared" si="20"/>
        <v>293.33333333333422</v>
      </c>
      <c r="EO67" s="59">
        <f ca="1">AVERAGE(OFFSET($EN$3,0,0,'Données projet'!$E$15+1,1))-AVERAGE(OFFSET($H$3,0,0,'Données projet'!$E$15+1,1))</f>
        <v>218.78765033569107</v>
      </c>
      <c r="EP67" s="59">
        <f t="shared" si="46"/>
        <v>246.54010105494137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>
        <f>FE67*VLOOKUP('Données projet'!$B$16,Paramètres!$A$1:$I$89,3,0)*VLOOKUP('Données projet'!$B$16,Paramètres!$A$1:$I$89,5,0)</f>
        <v>0</v>
      </c>
      <c r="FG67" s="13" t="e">
        <f t="shared" si="47"/>
        <v>#NUM!</v>
      </c>
      <c r="FH67" s="20" t="e">
        <f t="shared" si="22"/>
        <v>#NUM!</v>
      </c>
      <c r="FI67" s="59" t="e">
        <f t="shared" si="23"/>
        <v>#NUM!</v>
      </c>
      <c r="FJ67" s="59">
        <f ca="1">AVERAGE(OFFSET($FI$3,0,0,'Données projet'!$E$16+1,1))-AVERAGE(OFFSET($H$3,0,0,'Données projet'!$E$16+1,1))</f>
        <v>170.80796812111521</v>
      </c>
      <c r="FK67" s="59">
        <f t="shared" si="48"/>
        <v>249.84047400410321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0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333.02360594713667</v>
      </c>
      <c r="T68" s="59">
        <f t="shared" si="34"/>
        <v>546.58234447298014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116.42771593866614</v>
      </c>
      <c r="AA68" s="21">
        <f>EXP(-LN(2)/25)*AA67+(1-EXP(-LN(2)/25))/(LN(2)/25)*Calculateur!V68*Calculateur!X68*VLOOKUP('Données projet'!$B$9,Paramètres!$A$1:$I$89,3,0)*0.475*44/12</f>
        <v>50.736188241623601</v>
      </c>
      <c r="AB68" s="21">
        <f>EXP(-LN(2)/2)*AB67+(1-EXP(-LN(2)/2))/(LN(2)/2)*V68*Y68*VLOOKUP('Données projet'!$B$9,Paramètres!$A$1:$I$89,3,0)*0.475*44/12</f>
        <v>4.041987224639914E-2</v>
      </c>
      <c r="AC68" s="22">
        <f t="shared" ref="AC68:AC131" si="57">SUM(Z68:AB68)</f>
        <v>167.20432405253612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217</v>
      </c>
      <c r="AG68" s="12">
        <f>VLOOKUP(A68,'Données projet'!$A$61:$I$81,9,0)</f>
        <v>8.1999999999999993</v>
      </c>
      <c r="AH68" s="12">
        <f t="array" ref="AH68">INDEX(AG:AG,MIN(IF(ISNUMBER(AG68:AG264),ROW(AG68:AG264),"")))</f>
        <v>8.1999999999999993</v>
      </c>
      <c r="AI68" s="13">
        <f>IF('Données projet'!$A$62&gt;35,AI67+AH68-AQ67,IF(A68&lt;'Données projet'!$A$62,$AF$205^A68,IF(A68='Données projet'!$A$62,'Données projet'!$B$62,AI67+AH68-AQ67)))</f>
        <v>216.99999999999989</v>
      </c>
      <c r="AJ68" s="13">
        <f>AI68*VLOOKUP('Données projet'!$B$10,Paramètres!$A$1:$I$89,3,0)*VLOOKUP('Données projet'!$B$10,Paramètres!$A$1:$I$89,5,0)</f>
        <v>189.57119999999995</v>
      </c>
      <c r="AK68" s="13">
        <f t="shared" si="35"/>
        <v>47.44513879693244</v>
      </c>
      <c r="AL68" s="20">
        <f t="shared" ref="AL68:AL131" si="58">(AJ68+AK68)*0.475*44/12</f>
        <v>412.80345673799053</v>
      </c>
      <c r="AM68" s="59">
        <f t="shared" ref="AM68:AM131" si="59">AL68+(AD68+AE68)*44/12</f>
        <v>706.13679007132384</v>
      </c>
      <c r="AN68" s="59">
        <f ca="1">AVERAGE(OFFSET($AM$3,0,0,'Données projet'!$E$10+1,1))-AVERAGE(OFFSET($H$3,0,0,'Données projet'!$E$10+1,1))</f>
        <v>243.26825841283591</v>
      </c>
      <c r="AO68" s="59">
        <f t="shared" si="36"/>
        <v>179.2944312100729</v>
      </c>
      <c r="AP68" s="15">
        <f>IF(ISNA(VLOOKUP(A68,'Données projet'!$A$61:$I$81,3,0)),0,VLOOKUP(A68,'Données projet'!$A$61:$I$81,3,0))</f>
        <v>8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0.25800000000000001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21.261603320248064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21.261603320248064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-5.6843418860808015E-14</v>
      </c>
      <c r="BE68" s="13">
        <f>BD68*VLOOKUP('Données projet'!$B$11,Paramètres!$A$1:$I$89,3,0)*VLOOKUP('Données projet'!$B$11,Paramètres!$A$1:$I$89,5,0)</f>
        <v>-4.1677594708744434E-14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146.45728988963538</v>
      </c>
      <c r="BJ68" s="59">
        <f t="shared" si="38"/>
        <v>156.91778940341118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65.52031330265369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65.52031330265369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-4.0000000000001137</v>
      </c>
      <c r="BZ68" s="13">
        <f>BY68*VLOOKUP('Données projet'!$B$12,Paramètres!$A$1:$I$89,3,0)*VLOOKUP('Données projet'!$B$12,Paramètres!$A$1:$I$89,5,0)</f>
        <v>-3.1824000000000909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238.71022302719206</v>
      </c>
      <c r="CE68" s="59">
        <f t="shared" si="40"/>
        <v>294.28794439094878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108.99675813400947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108.99675813400947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-1.1368683772161603E-13</v>
      </c>
      <c r="CU68" s="17">
        <f>CT68*VLOOKUP('Données projet'!$B$13,Paramètres!$A$1:$I$89,3,0)*VLOOKUP('Données projet'!$B$13,Paramètres!$A$1:$I$89,5,0)</f>
        <v>-9.0449248091317723E-14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238.71022302719206</v>
      </c>
      <c r="CZ68" s="59">
        <f t="shared" si="42"/>
        <v>294.28794439094878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107.64573294056601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107.64573294056601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217</v>
      </c>
      <c r="DM68" s="12">
        <f>VLOOKUP(A68,'Données projet'!$A$165:$I$185,9,0)</f>
        <v>8.1999999999999993</v>
      </c>
      <c r="DN68" s="12">
        <f t="array" ref="DN68">INDEX(DM:DM,MIN(IF(ISNUMBER(DM68:DM264),ROW(DM68:DM264),"")))</f>
        <v>8.1999999999999993</v>
      </c>
      <c r="DO68" s="12">
        <f>IF('Données projet'!$A$166&gt;35,DO67+DN68-DW67,IF(A68&lt;'Données projet'!$A$166,$DL$205^A68,IF(A68='Données projet'!$A$166,'Données projet'!$B$166,DO67+DN68-DW67)))</f>
        <v>216.99999999999989</v>
      </c>
      <c r="DP68" s="17">
        <f>DO68*VLOOKUP('Données projet'!$B$14,Paramètres!$A$1:$I$89,3,0)*VLOOKUP('Données projet'!$B$14,Paramètres!$A$1:$I$89,5,0)</f>
        <v>186.18599999999992</v>
      </c>
      <c r="DQ68" s="13">
        <f t="shared" si="43"/>
        <v>46.695739039470418</v>
      </c>
      <c r="DR68" s="20">
        <f t="shared" ref="DR68:DR131" si="70">(DP68+DQ68)*0.475*44/12</f>
        <v>405.60236216041085</v>
      </c>
      <c r="DS68" s="59">
        <f t="shared" ref="DS68:DS131" si="71">DR68+(DJ68+DK68)*44/12</f>
        <v>698.93569549374411</v>
      </c>
      <c r="DT68" s="59">
        <f ca="1">AVERAGE(OFFSET($DS$3,0,0,'Données projet'!$E$14+1,1))-AVERAGE(OFFSET($H$3,0,0,'Données projet'!$E$14+1,1))</f>
        <v>203.34232675618244</v>
      </c>
      <c r="DU68" s="59">
        <f t="shared" si="44"/>
        <v>176.81257896138806</v>
      </c>
      <c r="DV68" s="15">
        <f>IF(ISNA(VLOOKUP(A68,'Données projet'!$A$165:$I$185,3,0)),0,VLOOKUP(A68,'Données projet'!$A$165:$I$185,3,0))</f>
        <v>8</v>
      </c>
      <c r="DW68" s="15">
        <f>IF(ISNA(VLOOKUP(A68,'Données projet'!$A$165:$I$185,4,0)),0,VLOOKUP(A68,'Données projet'!$A$165:$I$185,4,0))</f>
        <v>21</v>
      </c>
      <c r="DX68" s="16">
        <f>IF(ISNA(VLOOKUP(A68,'Données projet'!$A$165:$I$185,5,0)),0%,VLOOKUP(A68,'Données projet'!$A$165:$I$185,5,0)*VLOOKUP('Données projet'!$B$14,Paramètres!$A$1:$I$89,7,0))</f>
        <v>0.42400000000000004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38.841486085548027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38.841486085548027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2.8421709430404007E-14</v>
      </c>
      <c r="EK68" s="17">
        <f>EJ68*VLOOKUP('Données projet'!$B$15,Paramètres!$A$1:$I$89,3,0)*VLOOKUP('Données projet'!$B$15,Paramètres!$A$1:$I$89,5,0)</f>
        <v>2.7489477361086758E-14</v>
      </c>
      <c r="EL68" s="13">
        <f t="shared" si="45"/>
        <v>4.7995394886724981E-13</v>
      </c>
      <c r="EM68" s="20">
        <f t="shared" ref="EM68:EM131" si="73">(EK68+EL68)*0.475*44/12</f>
        <v>8.8379730068101964E-13</v>
      </c>
      <c r="EN68" s="59">
        <f t="shared" ref="EN68:EN131" si="74">EM68+(EE68+EF68)*44/12</f>
        <v>293.33333333333422</v>
      </c>
      <c r="EO68" s="59">
        <f ca="1">AVERAGE(OFFSET($EN$3,0,0,'Données projet'!$E$15+1,1))-AVERAGE(OFFSET($H$3,0,0,'Données projet'!$E$15+1,1))</f>
        <v>218.78765033569107</v>
      </c>
      <c r="EP68" s="59">
        <f t="shared" si="46"/>
        <v>246.54010105494137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>
        <f>FE68*VLOOKUP('Données projet'!$B$16,Paramètres!$A$1:$I$89,3,0)*VLOOKUP('Données projet'!$B$16,Paramètres!$A$1:$I$89,5,0)</f>
        <v>0</v>
      </c>
      <c r="FG68" s="13" t="e">
        <f t="shared" si="47"/>
        <v>#NUM!</v>
      </c>
      <c r="FH68" s="20" t="e">
        <f t="shared" ref="FH68:FH131" si="76">(FF68+FG68)*0.475*44/12</f>
        <v>#NUM!</v>
      </c>
      <c r="FI68" s="59" t="e">
        <f t="shared" ref="FI68:FI131" si="77">FH68+(EZ68+FA68)*44/12</f>
        <v>#NUM!</v>
      </c>
      <c r="FJ68" s="59">
        <f ca="1">AVERAGE(OFFSET($FI$3,0,0,'Données projet'!$E$16+1,1))-AVERAGE(OFFSET($H$3,0,0,'Données projet'!$E$16+1,1))</f>
        <v>170.80796812111521</v>
      </c>
      <c r="FK68" s="59">
        <f t="shared" si="48"/>
        <v>249.84047400410321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0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333.02360594713667</v>
      </c>
      <c r="T69" s="59">
        <f t="shared" ref="T69:T132" si="88">$T$3</f>
        <v>546.58234447298014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114.14463944300358</v>
      </c>
      <c r="AA69" s="21">
        <f>EXP(-LN(2)/25)*AA68+(1-EXP(-LN(2)/25))/(LN(2)/25)*Calculateur!V69*Calculateur!X69*VLOOKUP('Données projet'!$B$9,Paramètres!$A$1:$I$89,3,0)*0.475*44/12</f>
        <v>49.348804506056226</v>
      </c>
      <c r="AB69" s="21">
        <f>EXP(-LN(2)/2)*AB68+(1-EXP(-LN(2)/2))/(LN(2)/2)*V69*Y69*VLOOKUP('Données projet'!$B$9,Paramètres!$A$1:$I$89,3,0)*0.475*44/12</f>
        <v>2.8581165760122762E-2</v>
      </c>
      <c r="AC69" s="22">
        <f t="shared" si="57"/>
        <v>163.52202511481994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</v>
      </c>
      <c r="AI69" s="13">
        <f>IF('Données projet'!$A$62&gt;35,AI68+AH69-AQ68,IF(A69&lt;'Données projet'!$A$62,$AF$205^A69,IF(A69='Données projet'!$A$62,'Données projet'!$B$62,AI68+AH69-AQ68)))</f>
        <v>203.99999999999989</v>
      </c>
      <c r="AJ69" s="13">
        <f>AI69*VLOOKUP('Données projet'!$B$10,Paramètres!$A$1:$I$89,3,0)*VLOOKUP('Données projet'!$B$10,Paramètres!$A$1:$I$89,5,0)</f>
        <v>178.21439999999993</v>
      </c>
      <c r="AK69" s="13">
        <f t="shared" ref="AK69:AK132" si="89">EXP(-1.0587+0.8836*LN(AJ69)+0.284)</f>
        <v>44.924692855664325</v>
      </c>
      <c r="AL69" s="20">
        <f t="shared" si="58"/>
        <v>388.63392005694851</v>
      </c>
      <c r="AM69" s="59">
        <f t="shared" si="59"/>
        <v>681.96725339028183</v>
      </c>
      <c r="AN69" s="59">
        <f ca="1">AVERAGE(OFFSET($AM$3,0,0,'Données projet'!$E$10+1,1))-AVERAGE(OFFSET($H$3,0,0,'Données projet'!$E$10+1,1))</f>
        <v>243.26825841283591</v>
      </c>
      <c r="AO69" s="59">
        <f t="shared" ref="AO69:AO132" si="90">$AO$3</f>
        <v>179.2944312100729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20.844676247435512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20.844676247435512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-5.6843418860808015E-14</v>
      </c>
      <c r="BE69" s="13">
        <f>BD69*VLOOKUP('Données projet'!$B$11,Paramètres!$A$1:$I$89,3,0)*VLOOKUP('Données projet'!$B$11,Paramètres!$A$1:$I$89,5,0)</f>
        <v>-4.1677594708744434E-14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146.45728988963538</v>
      </c>
      <c r="BJ69" s="59">
        <f t="shared" ref="BJ69:BJ132" si="92">$BJ$3</f>
        <v>156.91778940341118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64.2354999222337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64.2354999222337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-4.0000000000001137</v>
      </c>
      <c r="BZ69" s="13">
        <f>BY69*VLOOKUP('Données projet'!$B$12,Paramètres!$A$1:$I$89,3,0)*VLOOKUP('Données projet'!$B$12,Paramètres!$A$1:$I$89,5,0)</f>
        <v>-3.1824000000000909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238.71022302719206</v>
      </c>
      <c r="CE69" s="59">
        <f t="shared" ref="CE69:CE132" si="94">$CE$3</f>
        <v>294.28794439094878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106.85939818845951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106.85939818845951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-1.1368683772161603E-13</v>
      </c>
      <c r="CU69" s="17">
        <f>CT69*VLOOKUP('Données projet'!$B$13,Paramètres!$A$1:$I$89,3,0)*VLOOKUP('Données projet'!$B$13,Paramètres!$A$1:$I$89,5,0)</f>
        <v>-9.0449248091317723E-14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238.71022302719206</v>
      </c>
      <c r="CZ69" s="59">
        <f t="shared" ref="CZ69:CZ132" si="96">$CZ$3</f>
        <v>294.28794439094878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105.53486577501548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105.53486577501548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</v>
      </c>
      <c r="DO69" s="12">
        <f>IF('Données projet'!$A$166&gt;35,DO68+DN69-DW68,IF(A69&lt;'Données projet'!$A$166,$DL$205^A69,IF(A69='Données projet'!$A$166,'Données projet'!$B$166,DO68+DN69-DW68)))</f>
        <v>203.99999999999989</v>
      </c>
      <c r="DP69" s="17">
        <f>DO69*VLOOKUP('Données projet'!$B$14,Paramètres!$A$1:$I$89,3,0)*VLOOKUP('Données projet'!$B$14,Paramètres!$A$1:$I$89,5,0)</f>
        <v>175.03199999999993</v>
      </c>
      <c r="DQ69" s="13">
        <f t="shared" ref="DQ69:DQ132" si="97">EXP(-1.0587+0.8836*LN(DP69)+0.284)</f>
        <v>44.215103743191008</v>
      </c>
      <c r="DR69" s="20">
        <f t="shared" si="70"/>
        <v>381.85537235272426</v>
      </c>
      <c r="DS69" s="59">
        <f t="shared" si="71"/>
        <v>675.18870568605757</v>
      </c>
      <c r="DT69" s="59">
        <f ca="1">AVERAGE(OFFSET($DS$3,0,0,'Données projet'!$E$14+1,1))-AVERAGE(OFFSET($H$3,0,0,'Données projet'!$E$14+1,1))</f>
        <v>203.34232675618244</v>
      </c>
      <c r="DU69" s="59">
        <f t="shared" ref="DU69:DU132" si="98">$DU$3</f>
        <v>176.81257896138806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38.079828234377651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38.079828234377651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2.8421709430404007E-14</v>
      </c>
      <c r="EK69" s="17">
        <f>EJ69*VLOOKUP('Données projet'!$B$15,Paramètres!$A$1:$I$89,3,0)*VLOOKUP('Données projet'!$B$15,Paramètres!$A$1:$I$89,5,0)</f>
        <v>2.7489477361086758E-14</v>
      </c>
      <c r="EL69" s="13">
        <f t="shared" ref="EL69:EL132" si="99">EXP(-1.0587+0.8836*LN(EK69)+0.284)</f>
        <v>4.7995394886724981E-13</v>
      </c>
      <c r="EM69" s="20">
        <f t="shared" si="73"/>
        <v>8.8379730068101964E-13</v>
      </c>
      <c r="EN69" s="59">
        <f t="shared" si="74"/>
        <v>293.33333333333422</v>
      </c>
      <c r="EO69" s="59">
        <f ca="1">AVERAGE(OFFSET($EN$3,0,0,'Données projet'!$E$15+1,1))-AVERAGE(OFFSET($H$3,0,0,'Données projet'!$E$15+1,1))</f>
        <v>218.78765033569107</v>
      </c>
      <c r="EP69" s="59">
        <f t="shared" ref="EP69:EP132" si="100">$EP$3</f>
        <v>246.54010105494137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>
        <f>FE69*VLOOKUP('Données projet'!$B$16,Paramètres!$A$1:$I$89,3,0)*VLOOKUP('Données projet'!$B$16,Paramètres!$A$1:$I$89,5,0)</f>
        <v>0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9" t="e">
        <f t="shared" si="77"/>
        <v>#NUM!</v>
      </c>
      <c r="FJ69" s="59">
        <f ca="1">AVERAGE(OFFSET($FI$3,0,0,'Données projet'!$E$16+1,1))-AVERAGE(OFFSET($H$3,0,0,'Données projet'!$E$16+1,1))</f>
        <v>170.80796812111521</v>
      </c>
      <c r="FK69" s="59">
        <f t="shared" ref="FK69:FK132" si="102">$FK$3</f>
        <v>249.84047400410321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0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333.02360594713667</v>
      </c>
      <c r="T70" s="59">
        <f t="shared" si="88"/>
        <v>546.58234447298014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111.9063326848818</v>
      </c>
      <c r="AA70" s="21">
        <f>EXP(-LN(2)/25)*AA69+(1-EXP(-LN(2)/25))/(LN(2)/25)*Calculateur!V70*Calculateur!X70*VLOOKUP('Données projet'!$B$9,Paramètres!$A$1:$I$89,3,0)*0.475*44/12</f>
        <v>47.999358851697281</v>
      </c>
      <c r="AB70" s="21">
        <f>EXP(-LN(2)/2)*AB69+(1-EXP(-LN(2)/2))/(LN(2)/2)*V70*Y70*VLOOKUP('Données projet'!$B$9,Paramètres!$A$1:$I$89,3,0)*0.475*44/12</f>
        <v>2.020993612319957E-2</v>
      </c>
      <c r="AC70" s="22">
        <f t="shared" si="57"/>
        <v>159.92590147270226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</v>
      </c>
      <c r="AI70" s="13">
        <f>IF('Données projet'!$A$62&gt;35,AI69+AH70-AQ69,IF(A70&lt;'Données projet'!$A$62,$AF$205^A70,IF(A70='Données projet'!$A$62,'Données projet'!$B$62,AI69+AH70-AQ69)))</f>
        <v>211.99999999999989</v>
      </c>
      <c r="AJ70" s="13">
        <f>AI70*VLOOKUP('Données projet'!$B$10,Paramètres!$A$1:$I$89,3,0)*VLOOKUP('Données projet'!$B$10,Paramètres!$A$1:$I$89,5,0)</f>
        <v>185.20319999999992</v>
      </c>
      <c r="AK70" s="13">
        <f t="shared" si="89"/>
        <v>46.477875402099386</v>
      </c>
      <c r="AL70" s="20">
        <f t="shared" si="58"/>
        <v>403.51120632532292</v>
      </c>
      <c r="AM70" s="59">
        <f t="shared" si="59"/>
        <v>696.84453965865623</v>
      </c>
      <c r="AN70" s="59">
        <f ca="1">AVERAGE(OFFSET($AM$3,0,0,'Données projet'!$E$10+1,1))-AVERAGE(OFFSET($H$3,0,0,'Données projet'!$E$10+1,1))</f>
        <v>243.26825841283591</v>
      </c>
      <c r="AO70" s="59">
        <f t="shared" si="90"/>
        <v>179.2944312100729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20.43592486022041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20.43592486022041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-5.6843418860808015E-14</v>
      </c>
      <c r="BE70" s="13">
        <f>BD70*VLOOKUP('Données projet'!$B$11,Paramètres!$A$1:$I$89,3,0)*VLOOKUP('Données projet'!$B$11,Paramètres!$A$1:$I$89,5,0)</f>
        <v>-4.1677594708744434E-14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146.45728988963538</v>
      </c>
      <c r="BJ70" s="59">
        <f t="shared" si="92"/>
        <v>156.91778940341118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62.975880948544969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62.975880948544969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-4.0000000000001137</v>
      </c>
      <c r="BZ70" s="13">
        <f>BY70*VLOOKUP('Données projet'!$B$12,Paramètres!$A$1:$I$89,3,0)*VLOOKUP('Données projet'!$B$12,Paramètres!$A$1:$I$89,5,0)</f>
        <v>-3.1824000000000909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238.71022302719206</v>
      </c>
      <c r="CE70" s="59">
        <f t="shared" si="94"/>
        <v>294.28794439094878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104.76395056778094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104.76395056778094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-1.1368683772161603E-13</v>
      </c>
      <c r="CU70" s="17">
        <f>CT70*VLOOKUP('Données projet'!$B$13,Paramètres!$A$1:$I$89,3,0)*VLOOKUP('Données projet'!$B$13,Paramètres!$A$1:$I$89,5,0)</f>
        <v>-9.0449248091317723E-14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238.71022302719206</v>
      </c>
      <c r="CZ70" s="59">
        <f t="shared" si="96"/>
        <v>294.28794439094878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103.46539142707954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103.46539142707954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</v>
      </c>
      <c r="DO70" s="12">
        <f>IF('Données projet'!$A$166&gt;35,DO69+DN70-DW69,IF(A70&lt;'Données projet'!$A$166,$DL$205^A70,IF(A70='Données projet'!$A$166,'Données projet'!$B$166,DO69+DN70-DW69)))</f>
        <v>211.99999999999989</v>
      </c>
      <c r="DP70" s="17">
        <f>DO70*VLOOKUP('Données projet'!$B$14,Paramètres!$A$1:$I$89,3,0)*VLOOKUP('Données projet'!$B$14,Paramètres!$A$1:$I$89,5,0)</f>
        <v>181.89599999999993</v>
      </c>
      <c r="DQ70" s="13">
        <f t="shared" si="97"/>
        <v>45.743753647228786</v>
      </c>
      <c r="DR70" s="20">
        <f t="shared" si="70"/>
        <v>396.47257093559</v>
      </c>
      <c r="DS70" s="59">
        <f t="shared" si="71"/>
        <v>689.80590426892331</v>
      </c>
      <c r="DT70" s="59">
        <f ca="1">AVERAGE(OFFSET($DS$3,0,0,'Données projet'!$E$14+1,1))-AVERAGE(OFFSET($H$3,0,0,'Données projet'!$E$14+1,1))</f>
        <v>203.34232675618244</v>
      </c>
      <c r="DU70" s="59">
        <f t="shared" si="98"/>
        <v>176.81257896138806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37.333106029103313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37.333106029103313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2.8421709430404007E-14</v>
      </c>
      <c r="EK70" s="17">
        <f>EJ70*VLOOKUP('Données projet'!$B$15,Paramètres!$A$1:$I$89,3,0)*VLOOKUP('Données projet'!$B$15,Paramètres!$A$1:$I$89,5,0)</f>
        <v>2.7489477361086758E-14</v>
      </c>
      <c r="EL70" s="13">
        <f t="shared" si="99"/>
        <v>4.7995394886724981E-13</v>
      </c>
      <c r="EM70" s="20">
        <f t="shared" si="73"/>
        <v>8.8379730068101964E-13</v>
      </c>
      <c r="EN70" s="59">
        <f t="shared" si="74"/>
        <v>293.33333333333422</v>
      </c>
      <c r="EO70" s="59">
        <f ca="1">AVERAGE(OFFSET($EN$3,0,0,'Données projet'!$E$15+1,1))-AVERAGE(OFFSET($H$3,0,0,'Données projet'!$E$15+1,1))</f>
        <v>218.78765033569107</v>
      </c>
      <c r="EP70" s="59">
        <f t="shared" si="100"/>
        <v>246.54010105494137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>
        <f>FE70*VLOOKUP('Données projet'!$B$16,Paramètres!$A$1:$I$89,3,0)*VLOOKUP('Données projet'!$B$16,Paramètres!$A$1:$I$89,5,0)</f>
        <v>0</v>
      </c>
      <c r="FG70" s="13" t="e">
        <f t="shared" si="101"/>
        <v>#NUM!</v>
      </c>
      <c r="FH70" s="20" t="e">
        <f t="shared" si="76"/>
        <v>#NUM!</v>
      </c>
      <c r="FI70" s="59" t="e">
        <f t="shared" si="77"/>
        <v>#NUM!</v>
      </c>
      <c r="FJ70" s="59">
        <f ca="1">AVERAGE(OFFSET($FI$3,0,0,'Données projet'!$E$16+1,1))-AVERAGE(OFFSET($H$3,0,0,'Données projet'!$E$16+1,1))</f>
        <v>170.80796812111521</v>
      </c>
      <c r="FK70" s="59">
        <f t="shared" si="102"/>
        <v>249.84047400410321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0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333.02360594713667</v>
      </c>
      <c r="T71" s="59">
        <f t="shared" si="88"/>
        <v>546.58234447298014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109.71191775705448</v>
      </c>
      <c r="AA71" s="21">
        <f>EXP(-LN(2)/25)*AA70+(1-EXP(-LN(2)/25))/(LN(2)/25)*Calculateur!V71*Calculateur!X71*VLOOKUP('Données projet'!$B$9,Paramètres!$A$1:$I$89,3,0)*0.475*44/12</f>
        <v>46.686813859721042</v>
      </c>
      <c r="AB71" s="21">
        <f>EXP(-LN(2)/2)*AB70+(1-EXP(-LN(2)/2))/(LN(2)/2)*V71*Y71*VLOOKUP('Données projet'!$B$9,Paramètres!$A$1:$I$89,3,0)*0.475*44/12</f>
        <v>1.4290582880061381E-2</v>
      </c>
      <c r="AC71" s="22">
        <f t="shared" si="57"/>
        <v>156.41302219965559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</v>
      </c>
      <c r="AI71" s="13">
        <f>IF('Données projet'!$A$62&gt;35,AI70+AH71-AQ70,IF(A71&lt;'Données projet'!$A$62,$AF$205^A71,IF(A71='Données projet'!$A$62,'Données projet'!$B$62,AI70+AH71-AQ70)))</f>
        <v>219.99999999999989</v>
      </c>
      <c r="AJ71" s="13">
        <f>AI71*VLOOKUP('Données projet'!$B$10,Paramètres!$A$1:$I$89,3,0)*VLOOKUP('Données projet'!$B$10,Paramètres!$A$1:$I$89,5,0)</f>
        <v>192.19199999999992</v>
      </c>
      <c r="AK71" s="13">
        <f t="shared" si="89"/>
        <v>48.02424892193244</v>
      </c>
      <c r="AL71" s="20">
        <f t="shared" si="58"/>
        <v>418.37663353903218</v>
      </c>
      <c r="AM71" s="59">
        <f t="shared" si="59"/>
        <v>711.7099668723655</v>
      </c>
      <c r="AN71" s="59">
        <f ca="1">AVERAGE(OFFSET($AM$3,0,0,'Données projet'!$E$10+1,1))-AVERAGE(OFFSET($H$3,0,0,'Données projet'!$E$10+1,1))</f>
        <v>243.26825841283591</v>
      </c>
      <c r="AO71" s="59">
        <f t="shared" si="90"/>
        <v>179.2944312100729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20.035188838394866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20.035188838394866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-5.6843418860808015E-14</v>
      </c>
      <c r="BE71" s="13">
        <f>BD71*VLOOKUP('Données projet'!$B$11,Paramètres!$A$1:$I$89,3,0)*VLOOKUP('Données projet'!$B$11,Paramètres!$A$1:$I$89,5,0)</f>
        <v>-4.1677594708744434E-14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146.45728988963538</v>
      </c>
      <c r="BJ71" s="59">
        <f t="shared" si="92"/>
        <v>156.91778940341118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61.74096233463856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61.74096233463856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-4.0000000000001137</v>
      </c>
      <c r="BZ71" s="13">
        <f>BY71*VLOOKUP('Données projet'!$B$12,Paramètres!$A$1:$I$89,3,0)*VLOOKUP('Données projet'!$B$12,Paramètres!$A$1:$I$89,5,0)</f>
        <v>-3.1824000000000909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238.71022302719206</v>
      </c>
      <c r="CE71" s="59">
        <f t="shared" si="94"/>
        <v>294.28794439094878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102.70959339684703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102.70959339684703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-1.1368683772161603E-13</v>
      </c>
      <c r="CU71" s="17">
        <f>CT71*VLOOKUP('Données projet'!$B$13,Paramètres!$A$1:$I$89,3,0)*VLOOKUP('Données projet'!$B$13,Paramètres!$A$1:$I$89,5,0)</f>
        <v>-9.0449248091317723E-14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238.71022302719206</v>
      </c>
      <c r="CZ71" s="59">
        <f t="shared" si="96"/>
        <v>294.28794439094878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101.43649820885192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101.43649820885192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</v>
      </c>
      <c r="DO71" s="12">
        <f>IF('Données projet'!$A$166&gt;35,DO70+DN71-DW70,IF(A71&lt;'Données projet'!$A$166,$DL$205^A71,IF(A71='Données projet'!$A$166,'Données projet'!$B$166,DO70+DN71-DW70)))</f>
        <v>219.99999999999989</v>
      </c>
      <c r="DP71" s="17">
        <f>DO71*VLOOKUP('Données projet'!$B$14,Paramètres!$A$1:$I$89,3,0)*VLOOKUP('Données projet'!$B$14,Paramètres!$A$1:$I$89,5,0)</f>
        <v>188.75999999999991</v>
      </c>
      <c r="DQ71" s="13">
        <f t="shared" si="97"/>
        <v>47.265702073783714</v>
      </c>
      <c r="DR71" s="20">
        <f t="shared" si="70"/>
        <v>411.07809777850645</v>
      </c>
      <c r="DS71" s="59">
        <f t="shared" si="71"/>
        <v>704.41143111183976</v>
      </c>
      <c r="DT71" s="59">
        <f ca="1">AVERAGE(OFFSET($DS$3,0,0,'Données projet'!$E$14+1,1))-AVERAGE(OFFSET($H$3,0,0,'Données projet'!$E$14+1,1))</f>
        <v>203.34232675618244</v>
      </c>
      <c r="DU71" s="59">
        <f t="shared" si="98"/>
        <v>176.81257896138806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36.601026590818833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36.601026590818833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2.8421709430404007E-14</v>
      </c>
      <c r="EK71" s="17">
        <f>EJ71*VLOOKUP('Données projet'!$B$15,Paramètres!$A$1:$I$89,3,0)*VLOOKUP('Données projet'!$B$15,Paramètres!$A$1:$I$89,5,0)</f>
        <v>2.7489477361086758E-14</v>
      </c>
      <c r="EL71" s="13">
        <f t="shared" si="99"/>
        <v>4.7995394886724981E-13</v>
      </c>
      <c r="EM71" s="20">
        <f t="shared" si="73"/>
        <v>8.8379730068101964E-13</v>
      </c>
      <c r="EN71" s="59">
        <f t="shared" si="74"/>
        <v>293.33333333333422</v>
      </c>
      <c r="EO71" s="59">
        <f ca="1">AVERAGE(OFFSET($EN$3,0,0,'Données projet'!$E$15+1,1))-AVERAGE(OFFSET($H$3,0,0,'Données projet'!$E$15+1,1))</f>
        <v>218.78765033569107</v>
      </c>
      <c r="EP71" s="59">
        <f t="shared" si="100"/>
        <v>246.54010105494137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>
        <f>FE71*VLOOKUP('Données projet'!$B$16,Paramètres!$A$1:$I$89,3,0)*VLOOKUP('Données projet'!$B$16,Paramètres!$A$1:$I$89,5,0)</f>
        <v>0</v>
      </c>
      <c r="FG71" s="13" t="e">
        <f t="shared" si="101"/>
        <v>#NUM!</v>
      </c>
      <c r="FH71" s="20" t="e">
        <f t="shared" si="76"/>
        <v>#NUM!</v>
      </c>
      <c r="FI71" s="59" t="e">
        <f t="shared" si="77"/>
        <v>#NUM!</v>
      </c>
      <c r="FJ71" s="59">
        <f ca="1">AVERAGE(OFFSET($FI$3,0,0,'Données projet'!$E$16+1,1))-AVERAGE(OFFSET($H$3,0,0,'Données projet'!$E$16+1,1))</f>
        <v>170.80796812111521</v>
      </c>
      <c r="FK71" s="59">
        <f t="shared" si="102"/>
        <v>249.84047400410321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0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333.02360594713667</v>
      </c>
      <c r="T72" s="59">
        <f t="shared" si="88"/>
        <v>546.58234447298014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107.5605339675009</v>
      </c>
      <c r="AA72" s="21">
        <f>EXP(-LN(2)/25)*AA71+(1-EXP(-LN(2)/25))/(LN(2)/25)*Calculateur!V72*Calculateur!X72*VLOOKUP('Données projet'!$B$9,Paramètres!$A$1:$I$89,3,0)*0.475*44/12</f>
        <v>45.410160479574131</v>
      </c>
      <c r="AB72" s="21">
        <f>EXP(-LN(2)/2)*AB71+(1-EXP(-LN(2)/2))/(LN(2)/2)*V72*Y72*VLOOKUP('Données projet'!$B$9,Paramètres!$A$1:$I$89,3,0)*0.475*44/12</f>
        <v>1.0104968061599785E-2</v>
      </c>
      <c r="AC72" s="22">
        <f t="shared" si="57"/>
        <v>152.98079941513663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</v>
      </c>
      <c r="AI72" s="13">
        <f>IF('Données projet'!$A$62&gt;35,AI71+AH72-AQ71,IF(A72&lt;'Données projet'!$A$62,$AF$205^A72,IF(A72='Données projet'!$A$62,'Données projet'!$B$62,AI71+AH72-AQ71)))</f>
        <v>227.99999999999989</v>
      </c>
      <c r="AJ72" s="13">
        <f>AI72*VLOOKUP('Données projet'!$B$10,Paramètres!$A$1:$I$89,3,0)*VLOOKUP('Données projet'!$B$10,Paramètres!$A$1:$I$89,5,0)</f>
        <v>199.18079999999992</v>
      </c>
      <c r="AK72" s="13">
        <f t="shared" si="89"/>
        <v>49.564089376413683</v>
      </c>
      <c r="AL72" s="20">
        <f t="shared" si="58"/>
        <v>433.23068233058694</v>
      </c>
      <c r="AM72" s="59">
        <f t="shared" si="59"/>
        <v>726.56401566392026</v>
      </c>
      <c r="AN72" s="59">
        <f ca="1">AVERAGE(OFFSET($AM$3,0,0,'Données projet'!$E$10+1,1))-AVERAGE(OFFSET($H$3,0,0,'Données projet'!$E$10+1,1))</f>
        <v>243.26825841283591</v>
      </c>
      <c r="AO72" s="59">
        <f t="shared" si="90"/>
        <v>179.2944312100729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19.642311005532484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19.642311005532484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-5.6843418860808015E-14</v>
      </c>
      <c r="BE72" s="13">
        <f>BD72*VLOOKUP('Données projet'!$B$11,Paramètres!$A$1:$I$89,3,0)*VLOOKUP('Données projet'!$B$11,Paramètres!$A$1:$I$89,5,0)</f>
        <v>-4.1677594708744434E-14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146.45728988963538</v>
      </c>
      <c r="BJ72" s="59">
        <f t="shared" si="92"/>
        <v>156.91778940341118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60.530259721524878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60.530259721524878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-4.0000000000001137</v>
      </c>
      <c r="BZ72" s="13">
        <f>BY72*VLOOKUP('Données projet'!$B$12,Paramètres!$A$1:$I$89,3,0)*VLOOKUP('Données projet'!$B$12,Paramètres!$A$1:$I$89,5,0)</f>
        <v>-3.1824000000000909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238.71022302719206</v>
      </c>
      <c r="CE72" s="59">
        <f t="shared" si="94"/>
        <v>294.28794439094878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100.69552091700098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100.69552091700098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-1.1368683772161603E-13</v>
      </c>
      <c r="CU72" s="17">
        <f>CT72*VLOOKUP('Données projet'!$B$13,Paramètres!$A$1:$I$89,3,0)*VLOOKUP('Données projet'!$B$13,Paramètres!$A$1:$I$89,5,0)</f>
        <v>-9.0449248091317723E-14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238.71022302719206</v>
      </c>
      <c r="CZ72" s="59">
        <f t="shared" si="96"/>
        <v>294.28794439094878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99.447390349131069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99.447390349131069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</v>
      </c>
      <c r="DO72" s="12">
        <f>IF('Données projet'!$A$166&gt;35,DO71+DN72-DW71,IF(A72&lt;'Données projet'!$A$166,$DL$205^A72,IF(A72='Données projet'!$A$166,'Données projet'!$B$166,DO71+DN72-DW71)))</f>
        <v>227.99999999999989</v>
      </c>
      <c r="DP72" s="17">
        <f>DO72*VLOOKUP('Données projet'!$B$14,Paramètres!$A$1:$I$89,3,0)*VLOOKUP('Données projet'!$B$14,Paramètres!$A$1:$I$89,5,0)</f>
        <v>195.62399999999994</v>
      </c>
      <c r="DQ72" s="13">
        <f t="shared" si="97"/>
        <v>48.781220625276006</v>
      </c>
      <c r="DR72" s="20">
        <f t="shared" si="70"/>
        <v>425.67242592235556</v>
      </c>
      <c r="DS72" s="59">
        <f t="shared" si="71"/>
        <v>719.00575925568887</v>
      </c>
      <c r="DT72" s="59">
        <f ca="1">AVERAGE(OFFSET($DS$3,0,0,'Données projet'!$E$14+1,1))-AVERAGE(OFFSET($H$3,0,0,'Données projet'!$E$14+1,1))</f>
        <v>203.34232675618244</v>
      </c>
      <c r="DU72" s="59">
        <f t="shared" si="98"/>
        <v>176.81257896138806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35.88330278379474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35.88330278379474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2.8421709430404007E-14</v>
      </c>
      <c r="EK72" s="17">
        <f>EJ72*VLOOKUP('Données projet'!$B$15,Paramètres!$A$1:$I$89,3,0)*VLOOKUP('Données projet'!$B$15,Paramètres!$A$1:$I$89,5,0)</f>
        <v>2.7489477361086758E-14</v>
      </c>
      <c r="EL72" s="13">
        <f t="shared" si="99"/>
        <v>4.7995394886724981E-13</v>
      </c>
      <c r="EM72" s="20">
        <f t="shared" si="73"/>
        <v>8.8379730068101964E-13</v>
      </c>
      <c r="EN72" s="59">
        <f t="shared" si="74"/>
        <v>293.33333333333422</v>
      </c>
      <c r="EO72" s="59">
        <f ca="1">AVERAGE(OFFSET($EN$3,0,0,'Données projet'!$E$15+1,1))-AVERAGE(OFFSET($H$3,0,0,'Données projet'!$E$15+1,1))</f>
        <v>218.78765033569107</v>
      </c>
      <c r="EP72" s="59">
        <f t="shared" si="100"/>
        <v>246.54010105494137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>
        <f>FE72*VLOOKUP('Données projet'!$B$16,Paramètres!$A$1:$I$89,3,0)*VLOOKUP('Données projet'!$B$16,Paramètres!$A$1:$I$89,5,0)</f>
        <v>0</v>
      </c>
      <c r="FG72" s="13" t="e">
        <f t="shared" si="101"/>
        <v>#NUM!</v>
      </c>
      <c r="FH72" s="20" t="e">
        <f t="shared" si="76"/>
        <v>#NUM!</v>
      </c>
      <c r="FI72" s="59" t="e">
        <f t="shared" si="77"/>
        <v>#NUM!</v>
      </c>
      <c r="FJ72" s="59">
        <f ca="1">AVERAGE(OFFSET($FI$3,0,0,'Données projet'!$E$16+1,1))-AVERAGE(OFFSET($H$3,0,0,'Données projet'!$E$16+1,1))</f>
        <v>170.80796812111521</v>
      </c>
      <c r="FK72" s="59">
        <f t="shared" si="102"/>
        <v>249.84047400410321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0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333.02360594713667</v>
      </c>
      <c r="T73" s="59">
        <f t="shared" si="88"/>
        <v>546.58234447298014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105.45133750184593</v>
      </c>
      <c r="AA73" s="21">
        <f>EXP(-LN(2)/25)*AA72+(1-EXP(-LN(2)/25))/(LN(2)/25)*Calculateur!V73*Calculateur!X73*VLOOKUP('Données projet'!$B$9,Paramètres!$A$1:$I$89,3,0)*0.475*44/12</f>
        <v>44.168417253243625</v>
      </c>
      <c r="AB73" s="21">
        <f>EXP(-LN(2)/2)*AB72+(1-EXP(-LN(2)/2))/(LN(2)/2)*V73*Y73*VLOOKUP('Données projet'!$B$9,Paramètres!$A$1:$I$89,3,0)*0.475*44/12</f>
        <v>7.1452914400306905E-3</v>
      </c>
      <c r="AC73" s="22">
        <f t="shared" si="57"/>
        <v>149.62690004652958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236</v>
      </c>
      <c r="AG73" s="12">
        <f>VLOOKUP(A73,'Données projet'!$A$61:$I$81,9,0)</f>
        <v>8</v>
      </c>
      <c r="AH73" s="12">
        <f t="array" ref="AH73">INDEX(AG:AG,MIN(IF(ISNUMBER(AG73:AG269),ROW(AG73:AG269),"")))</f>
        <v>8</v>
      </c>
      <c r="AI73" s="13">
        <f>IF('Données projet'!$A$62&gt;35,AI72+AH73-AQ72,IF(A73&lt;'Données projet'!$A$62,$AF$205^A73,IF(A73='Données projet'!$A$62,'Données projet'!$B$62,AI72+AH73-AQ72)))</f>
        <v>235.99999999999989</v>
      </c>
      <c r="AJ73" s="13">
        <f>AI73*VLOOKUP('Données projet'!$B$10,Paramètres!$A$1:$I$89,3,0)*VLOOKUP('Données projet'!$B$10,Paramètres!$A$1:$I$89,5,0)</f>
        <v>206.16959999999992</v>
      </c>
      <c r="AK73" s="13">
        <f t="shared" si="89"/>
        <v>51.097652263007333</v>
      </c>
      <c r="AL73" s="20">
        <f t="shared" si="58"/>
        <v>448.07379769140431</v>
      </c>
      <c r="AM73" s="59">
        <f t="shared" si="59"/>
        <v>741.40713102473762</v>
      </c>
      <c r="AN73" s="59">
        <f ca="1">AVERAGE(OFFSET($AM$3,0,0,'Données projet'!$E$10+1,1))-AVERAGE(OFFSET($H$3,0,0,'Données projet'!$E$10+1,1))</f>
        <v>243.26825841283591</v>
      </c>
      <c r="AO73" s="59">
        <f t="shared" si="90"/>
        <v>179.2944312100729</v>
      </c>
      <c r="AP73" s="15">
        <f>IF(ISNA(VLOOKUP(A73,'Données projet'!$A$61:$I$81,3,0)),0,VLOOKUP(A73,'Données projet'!$A$61:$I$81,3,0))</f>
        <v>9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0.30099999999999999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25.361573003163382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25.361573003163382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-5.6843418860808015E-14</v>
      </c>
      <c r="BE73" s="13">
        <f>BD73*VLOOKUP('Données projet'!$B$11,Paramètres!$A$1:$I$89,3,0)*VLOOKUP('Données projet'!$B$11,Paramètres!$A$1:$I$89,5,0)</f>
        <v>-4.1677594708744434E-14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146.45728988963538</v>
      </c>
      <c r="BJ73" s="59">
        <f t="shared" si="92"/>
        <v>156.91778940341118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59.343298248198678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59.343298248198678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-4.0000000000001137</v>
      </c>
      <c r="BZ73" s="13">
        <f>BY73*VLOOKUP('Données projet'!$B$12,Paramètres!$A$1:$I$89,3,0)*VLOOKUP('Données projet'!$B$12,Paramètres!$A$1:$I$89,5,0)</f>
        <v>-3.1824000000000909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238.71022302719206</v>
      </c>
      <c r="CE73" s="59">
        <f t="shared" si="94"/>
        <v>294.28794439094878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98.720943170021798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98.720943170021798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-1.1368683772161603E-13</v>
      </c>
      <c r="CU73" s="17">
        <f>CT73*VLOOKUP('Données projet'!$B$13,Paramètres!$A$1:$I$89,3,0)*VLOOKUP('Données projet'!$B$13,Paramètres!$A$1:$I$89,5,0)</f>
        <v>-9.0449248091317723E-14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238.71022302719206</v>
      </c>
      <c r="CZ73" s="59">
        <f t="shared" si="96"/>
        <v>294.28794439094878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97.497287681303348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97.497287681303348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236</v>
      </c>
      <c r="DM73" s="12">
        <f>VLOOKUP(A73,'Données projet'!$A$165:$I$185,9,0)</f>
        <v>8</v>
      </c>
      <c r="DN73" s="12">
        <f t="array" ref="DN73">INDEX(DM:DM,MIN(IF(ISNUMBER(DM73:DM269),ROW(DM73:DM269),"")))</f>
        <v>8</v>
      </c>
      <c r="DO73" s="12">
        <f>IF('Données projet'!$A$166&gt;35,DO72+DN73-DW72,IF(A73&lt;'Données projet'!$A$166,$DL$205^A73,IF(A73='Données projet'!$A$166,'Données projet'!$B$166,DO72+DN73-DW72)))</f>
        <v>235.99999999999989</v>
      </c>
      <c r="DP73" s="17">
        <f>DO73*VLOOKUP('Données projet'!$B$14,Paramètres!$A$1:$I$89,3,0)*VLOOKUP('Données projet'!$B$14,Paramètres!$A$1:$I$89,5,0)</f>
        <v>202.48799999999994</v>
      </c>
      <c r="DQ73" s="13">
        <f t="shared" si="97"/>
        <v>50.290560763566887</v>
      </c>
      <c r="DR73" s="20">
        <f t="shared" si="70"/>
        <v>440.25599332987878</v>
      </c>
      <c r="DS73" s="59">
        <f t="shared" si="71"/>
        <v>733.58932666321209</v>
      </c>
      <c r="DT73" s="59">
        <f ca="1">AVERAGE(OFFSET($DS$3,0,0,'Données projet'!$E$14+1,1))-AVERAGE(OFFSET($H$3,0,0,'Données projet'!$E$14+1,1))</f>
        <v>203.34232675618244</v>
      </c>
      <c r="DU73" s="59">
        <f t="shared" si="98"/>
        <v>176.81257896138806</v>
      </c>
      <c r="DV73" s="15">
        <f>IF(ISNA(VLOOKUP(A73,'Données projet'!$A$165:$I$185,3,0)),0,VLOOKUP(A73,'Données projet'!$A$165:$I$185,3,0))</f>
        <v>9</v>
      </c>
      <c r="DW73" s="15">
        <f>IF(ISNA(VLOOKUP(A73,'Données projet'!$A$165:$I$185,4,0)),0,VLOOKUP(A73,'Données projet'!$A$165:$I$185,4,0))</f>
        <v>21</v>
      </c>
      <c r="DX73" s="16">
        <f>IF(ISNA(VLOOKUP(A73,'Données projet'!$A$165:$I$185,5,0)),0%,VLOOKUP(A73,'Données projet'!$A$165:$I$185,5,0)*VLOOKUP('Données projet'!$B$14,Paramètres!$A$1:$I$89,7,0))</f>
        <v>0.42400000000000004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43.625039989390174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43.625039989390174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2.8421709430404007E-14</v>
      </c>
      <c r="EK73" s="17">
        <f>EJ73*VLOOKUP('Données projet'!$B$15,Paramètres!$A$1:$I$89,3,0)*VLOOKUP('Données projet'!$B$15,Paramètres!$A$1:$I$89,5,0)</f>
        <v>2.7489477361086758E-14</v>
      </c>
      <c r="EL73" s="13">
        <f t="shared" si="99"/>
        <v>4.7995394886724981E-13</v>
      </c>
      <c r="EM73" s="20">
        <f t="shared" si="73"/>
        <v>8.8379730068101964E-13</v>
      </c>
      <c r="EN73" s="59">
        <f t="shared" si="74"/>
        <v>293.33333333333422</v>
      </c>
      <c r="EO73" s="59">
        <f ca="1">AVERAGE(OFFSET($EN$3,0,0,'Données projet'!$E$15+1,1))-AVERAGE(OFFSET($H$3,0,0,'Données projet'!$E$15+1,1))</f>
        <v>218.78765033569107</v>
      </c>
      <c r="EP73" s="59">
        <f t="shared" si="100"/>
        <v>246.54010105494137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>
        <f>FE73*VLOOKUP('Données projet'!$B$16,Paramètres!$A$1:$I$89,3,0)*VLOOKUP('Données projet'!$B$16,Paramètres!$A$1:$I$89,5,0)</f>
        <v>0</v>
      </c>
      <c r="FG73" s="13" t="e">
        <f t="shared" si="101"/>
        <v>#NUM!</v>
      </c>
      <c r="FH73" s="20" t="e">
        <f t="shared" si="76"/>
        <v>#NUM!</v>
      </c>
      <c r="FI73" s="59" t="e">
        <f t="shared" si="77"/>
        <v>#NUM!</v>
      </c>
      <c r="FJ73" s="59">
        <f ca="1">AVERAGE(OFFSET($FI$3,0,0,'Données projet'!$E$16+1,1))-AVERAGE(OFFSET($H$3,0,0,'Données projet'!$E$16+1,1))</f>
        <v>170.80796812111521</v>
      </c>
      <c r="FK73" s="59">
        <f t="shared" si="102"/>
        <v>249.84047400410321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0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333.02360594713667</v>
      </c>
      <c r="T74" s="59">
        <f t="shared" si="88"/>
        <v>546.58234447298014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103.38350109239964</v>
      </c>
      <c r="AA74" s="21">
        <f>EXP(-LN(2)/25)*AA73+(1-EXP(-LN(2)/25))/(LN(2)/25)*Calculateur!V74*Calculateur!X74*VLOOKUP('Données projet'!$B$9,Paramètres!$A$1:$I$89,3,0)*0.475*44/12</f>
        <v>42.960629560737566</v>
      </c>
      <c r="AB74" s="21">
        <f>EXP(-LN(2)/2)*AB73+(1-EXP(-LN(2)/2))/(LN(2)/2)*V74*Y74*VLOOKUP('Données projet'!$B$9,Paramètres!$A$1:$I$89,3,0)*0.475*44/12</f>
        <v>5.0524840307998925E-3</v>
      </c>
      <c r="AC74" s="22">
        <f t="shared" si="57"/>
        <v>146.34918313716801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7.8</v>
      </c>
      <c r="AI74" s="13">
        <f>IF('Données projet'!$A$62&gt;35,AI73+AH74-AQ73,IF(A74&lt;'Données projet'!$A$62,$AF$205^A74,IF(A74='Données projet'!$A$62,'Données projet'!$B$62,AI73+AH74-AQ73)))</f>
        <v>222.7999999999999</v>
      </c>
      <c r="AJ74" s="13">
        <f>AI74*VLOOKUP('Données projet'!$B$10,Paramètres!$A$1:$I$89,3,0)*VLOOKUP('Données projet'!$B$10,Paramètres!$A$1:$I$89,5,0)</f>
        <v>194.63807999999995</v>
      </c>
      <c r="AK74" s="13">
        <f t="shared" si="89"/>
        <v>48.56392272964456</v>
      </c>
      <c r="AL74" s="20">
        <f t="shared" si="58"/>
        <v>423.57682142079744</v>
      </c>
      <c r="AM74" s="59">
        <f t="shared" si="59"/>
        <v>716.91015475413076</v>
      </c>
      <c r="AN74" s="59">
        <f ca="1">AVERAGE(OFFSET($AM$3,0,0,'Données projet'!$E$10+1,1))-AVERAGE(OFFSET($H$3,0,0,'Données projet'!$E$10+1,1))</f>
        <v>243.26825841283591</v>
      </c>
      <c r="AO74" s="59">
        <f t="shared" si="90"/>
        <v>179.2944312100729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24.864248025603441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24.864248025603441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-5.6843418860808015E-14</v>
      </c>
      <c r="BE74" s="13">
        <f>BD74*VLOOKUP('Données projet'!$B$11,Paramètres!$A$1:$I$89,3,0)*VLOOKUP('Données projet'!$B$11,Paramètres!$A$1:$I$89,5,0)</f>
        <v>-4.1677594708744434E-14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146.45728988963538</v>
      </c>
      <c r="BJ74" s="59">
        <f t="shared" si="92"/>
        <v>156.91778940341118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58.179612365389389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58.179612365389389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-4.0000000000001137</v>
      </c>
      <c r="BZ74" s="13">
        <f>BY74*VLOOKUP('Données projet'!$B$12,Paramètres!$A$1:$I$89,3,0)*VLOOKUP('Données projet'!$B$12,Paramètres!$A$1:$I$89,5,0)</f>
        <v>-3.1824000000000909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238.71022302719206</v>
      </c>
      <c r="CE74" s="59">
        <f t="shared" si="94"/>
        <v>294.28794439094878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96.785085688287381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96.785085688287381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-1.1368683772161603E-13</v>
      </c>
      <c r="CU74" s="17">
        <f>CT74*VLOOKUP('Données projet'!$B$13,Paramètres!$A$1:$I$89,3,0)*VLOOKUP('Données projet'!$B$13,Paramètres!$A$1:$I$89,5,0)</f>
        <v>-9.0449248091317723E-14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238.71022302719206</v>
      </c>
      <c r="CZ74" s="59">
        <f t="shared" si="96"/>
        <v>294.28794439094878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95.58542533734655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95.58542533734655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7.8</v>
      </c>
      <c r="DO74" s="12">
        <f>IF('Données projet'!$A$166&gt;35,DO73+DN74-DW73,IF(A74&lt;'Données projet'!$A$166,$DL$205^A74,IF(A74='Données projet'!$A$166,'Données projet'!$B$166,DO73+DN74-DW73)))</f>
        <v>222.7999999999999</v>
      </c>
      <c r="DP74" s="17">
        <f>DO74*VLOOKUP('Données projet'!$B$14,Paramètres!$A$1:$I$89,3,0)*VLOOKUP('Données projet'!$B$14,Paramètres!$A$1:$I$89,5,0)</f>
        <v>191.16239999999993</v>
      </c>
      <c r="DQ74" s="13">
        <f t="shared" si="97"/>
        <v>47.796851690591076</v>
      </c>
      <c r="DR74" s="20">
        <f t="shared" si="70"/>
        <v>416.1873633611126</v>
      </c>
      <c r="DS74" s="59">
        <f t="shared" si="71"/>
        <v>709.52069669444586</v>
      </c>
      <c r="DT74" s="59">
        <f ca="1">AVERAGE(OFFSET($DS$3,0,0,'Données projet'!$E$14+1,1))-AVERAGE(OFFSET($H$3,0,0,'Données projet'!$E$14+1,1))</f>
        <v>203.34232675618244</v>
      </c>
      <c r="DU74" s="59">
        <f t="shared" si="98"/>
        <v>176.81257896138806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42.769579563845241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42.769579563845241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2.8421709430404007E-14</v>
      </c>
      <c r="EK74" s="17">
        <f>EJ74*VLOOKUP('Données projet'!$B$15,Paramètres!$A$1:$I$89,3,0)*VLOOKUP('Données projet'!$B$15,Paramètres!$A$1:$I$89,5,0)</f>
        <v>2.7489477361086758E-14</v>
      </c>
      <c r="EL74" s="13">
        <f t="shared" si="99"/>
        <v>4.7995394886724981E-13</v>
      </c>
      <c r="EM74" s="20">
        <f t="shared" si="73"/>
        <v>8.8379730068101964E-13</v>
      </c>
      <c r="EN74" s="59">
        <f t="shared" si="74"/>
        <v>293.33333333333422</v>
      </c>
      <c r="EO74" s="59">
        <f ca="1">AVERAGE(OFFSET($EN$3,0,0,'Données projet'!$E$15+1,1))-AVERAGE(OFFSET($H$3,0,0,'Données projet'!$E$15+1,1))</f>
        <v>218.78765033569107</v>
      </c>
      <c r="EP74" s="59">
        <f t="shared" si="100"/>
        <v>246.54010105494137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>
        <f>FE74*VLOOKUP('Données projet'!$B$16,Paramètres!$A$1:$I$89,3,0)*VLOOKUP('Données projet'!$B$16,Paramètres!$A$1:$I$89,5,0)</f>
        <v>0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170.80796812111521</v>
      </c>
      <c r="FK74" s="59">
        <f t="shared" si="102"/>
        <v>249.84047400410321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0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333.02360594713667</v>
      </c>
      <c r="T75" s="59">
        <f t="shared" si="88"/>
        <v>546.58234447298014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101.35621369368693</v>
      </c>
      <c r="AA75" s="21">
        <f>EXP(-LN(2)/25)*AA74+(1-EXP(-LN(2)/25))/(LN(2)/25)*Calculateur!V75*Calculateur!X75*VLOOKUP('Données projet'!$B$9,Paramètres!$A$1:$I$89,3,0)*0.475*44/12</f>
        <v>41.785868886197875</v>
      </c>
      <c r="AB75" s="21">
        <f>EXP(-LN(2)/2)*AB74+(1-EXP(-LN(2)/2))/(LN(2)/2)*V75*Y75*VLOOKUP('Données projet'!$B$9,Paramètres!$A$1:$I$89,3,0)*0.475*44/12</f>
        <v>3.5726457200153452E-3</v>
      </c>
      <c r="AC75" s="22">
        <f t="shared" si="57"/>
        <v>143.14565522560483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7.8</v>
      </c>
      <c r="AI75" s="13">
        <f>IF('Données projet'!$A$62&gt;35,AI74+AH75-AQ74,IF(A75&lt;'Données projet'!$A$62,$AF$205^A75,IF(A75='Données projet'!$A$62,'Données projet'!$B$62,AI74+AH75-AQ74)))</f>
        <v>230.59999999999991</v>
      </c>
      <c r="AJ75" s="13">
        <f>AI75*VLOOKUP('Données projet'!$B$10,Paramètres!$A$1:$I$89,3,0)*VLOOKUP('Données projet'!$B$10,Paramètres!$A$1:$I$89,5,0)</f>
        <v>201.45215999999996</v>
      </c>
      <c r="AK75" s="13">
        <f t="shared" si="89"/>
        <v>50.063174041807549</v>
      </c>
      <c r="AL75" s="20">
        <f t="shared" si="58"/>
        <v>438.05587345614805</v>
      </c>
      <c r="AM75" s="59">
        <f t="shared" si="59"/>
        <v>731.38920678948136</v>
      </c>
      <c r="AN75" s="59">
        <f ca="1">AVERAGE(OFFSET($AM$3,0,0,'Données projet'!$E$10+1,1))-AVERAGE(OFFSET($H$3,0,0,'Données projet'!$E$10+1,1))</f>
        <v>243.26825841283591</v>
      </c>
      <c r="AO75" s="59">
        <f t="shared" si="90"/>
        <v>179.2944312100729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24.376675287515166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24.376675287515166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-5.6843418860808015E-14</v>
      </c>
      <c r="BE75" s="13">
        <f>BD75*VLOOKUP('Données projet'!$B$11,Paramètres!$A$1:$I$89,3,0)*VLOOKUP('Données projet'!$B$11,Paramètres!$A$1:$I$89,5,0)</f>
        <v>-4.1677594708744434E-14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146.45728988963538</v>
      </c>
      <c r="BJ75" s="59">
        <f t="shared" si="92"/>
        <v>156.91778940341118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57.038745652963691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57.038745652963691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-4.0000000000001137</v>
      </c>
      <c r="BZ75" s="13">
        <f>BY75*VLOOKUP('Données projet'!$B$12,Paramètres!$A$1:$I$89,3,0)*VLOOKUP('Données projet'!$B$12,Paramètres!$A$1:$I$89,5,0)</f>
        <v>-3.1824000000000909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238.71022302719206</v>
      </c>
      <c r="CE75" s="59">
        <f t="shared" si="94"/>
        <v>294.28794439094878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94.887189191013306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94.887189191013306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-1.1368683772161603E-13</v>
      </c>
      <c r="CU75" s="17">
        <f>CT75*VLOOKUP('Données projet'!$B$13,Paramètres!$A$1:$I$89,3,0)*VLOOKUP('Données projet'!$B$13,Paramètres!$A$1:$I$89,5,0)</f>
        <v>-9.0449248091317723E-14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238.71022302719206</v>
      </c>
      <c r="CZ75" s="59">
        <f t="shared" si="96"/>
        <v>294.28794439094878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93.711053447833862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93.711053447833862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7.8</v>
      </c>
      <c r="DO75" s="12">
        <f>IF('Données projet'!$A$166&gt;35,DO74+DN75-DW74,IF(A75&lt;'Données projet'!$A$166,$DL$205^A75,IF(A75='Données projet'!$A$166,'Données projet'!$B$166,DO74+DN75-DW74)))</f>
        <v>230.59999999999991</v>
      </c>
      <c r="DP75" s="17">
        <f>DO75*VLOOKUP('Données projet'!$B$14,Paramètres!$A$1:$I$89,3,0)*VLOOKUP('Données projet'!$B$14,Paramètres!$A$1:$I$89,5,0)</f>
        <v>197.85479999999993</v>
      </c>
      <c r="DQ75" s="13">
        <f t="shared" si="97"/>
        <v>49.272422208510498</v>
      </c>
      <c r="DR75" s="20">
        <f t="shared" si="70"/>
        <v>430.41324534648902</v>
      </c>
      <c r="DS75" s="59">
        <f t="shared" si="71"/>
        <v>723.74657867982228</v>
      </c>
      <c r="DT75" s="59">
        <f ca="1">AVERAGE(OFFSET($DS$3,0,0,'Données projet'!$E$14+1,1))-AVERAGE(OFFSET($H$3,0,0,'Données projet'!$E$14+1,1))</f>
        <v>203.34232675618244</v>
      </c>
      <c r="DU75" s="59">
        <f t="shared" si="98"/>
        <v>176.81257896138806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41.930894195465903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41.930894195465903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2.8421709430404007E-14</v>
      </c>
      <c r="EK75" s="17">
        <f>EJ75*VLOOKUP('Données projet'!$B$15,Paramètres!$A$1:$I$89,3,0)*VLOOKUP('Données projet'!$B$15,Paramètres!$A$1:$I$89,5,0)</f>
        <v>2.7489477361086758E-14</v>
      </c>
      <c r="EL75" s="13">
        <f t="shared" si="99"/>
        <v>4.7995394886724981E-13</v>
      </c>
      <c r="EM75" s="20">
        <f t="shared" si="73"/>
        <v>8.8379730068101964E-13</v>
      </c>
      <c r="EN75" s="59">
        <f t="shared" si="74"/>
        <v>293.33333333333422</v>
      </c>
      <c r="EO75" s="59">
        <f ca="1">AVERAGE(OFFSET($EN$3,0,0,'Données projet'!$E$15+1,1))-AVERAGE(OFFSET($H$3,0,0,'Données projet'!$E$15+1,1))</f>
        <v>218.78765033569107</v>
      </c>
      <c r="EP75" s="59">
        <f t="shared" si="100"/>
        <v>246.54010105494137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>
        <f>FE75*VLOOKUP('Données projet'!$B$16,Paramètres!$A$1:$I$89,3,0)*VLOOKUP('Données projet'!$B$16,Paramètres!$A$1:$I$89,5,0)</f>
        <v>0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170.80796812111521</v>
      </c>
      <c r="FK75" s="59">
        <f t="shared" si="102"/>
        <v>249.84047400410321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0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333.02360594713667</v>
      </c>
      <c r="T76" s="59">
        <f t="shared" si="88"/>
        <v>546.58234447298014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99.368680164339736</v>
      </c>
      <c r="AA76" s="21">
        <f>EXP(-LN(2)/25)*AA75+(1-EXP(-LN(2)/25))/(LN(2)/25)*Calculateur!V76*Calculateur!X76*VLOOKUP('Données projet'!$B$9,Paramètres!$A$1:$I$89,3,0)*0.475*44/12</f>
        <v>40.643232104081456</v>
      </c>
      <c r="AB76" s="21">
        <f>EXP(-LN(2)/2)*AB75+(1-EXP(-LN(2)/2))/(LN(2)/2)*V76*Y76*VLOOKUP('Données projet'!$B$9,Paramètres!$A$1:$I$89,3,0)*0.475*44/12</f>
        <v>2.5262420153999462E-3</v>
      </c>
      <c r="AC76" s="22">
        <f t="shared" si="57"/>
        <v>140.01443851043658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7.8</v>
      </c>
      <c r="AI76" s="13">
        <f>IF('Données projet'!$A$62&gt;35,AI75+AH76-AQ75,IF(A76&lt;'Données projet'!$A$62,$AF$205^A76,IF(A76='Données projet'!$A$62,'Données projet'!$B$62,AI75+AH76-AQ75)))</f>
        <v>238.39999999999992</v>
      </c>
      <c r="AJ76" s="13">
        <f>AI76*VLOOKUP('Données projet'!$B$10,Paramètres!$A$1:$I$89,3,0)*VLOOKUP('Données projet'!$B$10,Paramètres!$A$1:$I$89,5,0)</f>
        <v>208.26623999999995</v>
      </c>
      <c r="AK76" s="13">
        <f t="shared" si="89"/>
        <v>51.556532908951887</v>
      </c>
      <c r="AL76" s="20">
        <f t="shared" si="58"/>
        <v>452.5246628164245</v>
      </c>
      <c r="AM76" s="59">
        <f t="shared" si="59"/>
        <v>745.85799614975781</v>
      </c>
      <c r="AN76" s="59">
        <f ca="1">AVERAGE(OFFSET($AM$3,0,0,'Données projet'!$E$10+1,1))-AVERAGE(OFFSET($H$3,0,0,'Données projet'!$E$10+1,1))</f>
        <v>243.26825841283591</v>
      </c>
      <c r="AO76" s="59">
        <f t="shared" si="90"/>
        <v>179.2944312100729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23.898663553430797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23.898663553430797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-5.6843418860808015E-14</v>
      </c>
      <c r="BE76" s="13">
        <f>BD76*VLOOKUP('Données projet'!$B$11,Paramètres!$A$1:$I$89,3,0)*VLOOKUP('Données projet'!$B$11,Paramètres!$A$1:$I$89,5,0)</f>
        <v>-4.1677594708744434E-14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146.45728988963538</v>
      </c>
      <c r="BJ76" s="59">
        <f t="shared" si="92"/>
        <v>156.91778940341118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55.920250640908677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55.920250640908677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-4.0000000000001137</v>
      </c>
      <c r="BZ76" s="13">
        <f>BY76*VLOOKUP('Données projet'!$B$12,Paramètres!$A$1:$I$89,3,0)*VLOOKUP('Données projet'!$B$12,Paramètres!$A$1:$I$89,5,0)</f>
        <v>-3.1824000000000909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238.71022302719206</v>
      </c>
      <c r="CE76" s="59">
        <f t="shared" si="94"/>
        <v>294.28794439094878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93.026509286448217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93.026509286448217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-1.1368683772161603E-13</v>
      </c>
      <c r="CU76" s="17">
        <f>CT76*VLOOKUP('Données projet'!$B$13,Paramètres!$A$1:$I$89,3,0)*VLOOKUP('Données projet'!$B$13,Paramètres!$A$1:$I$89,5,0)</f>
        <v>-9.0449248091317723E-14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238.71022302719206</v>
      </c>
      <c r="CZ76" s="59">
        <f t="shared" si="96"/>
        <v>294.28794439094878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91.873436847820557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91.873436847820557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7.8</v>
      </c>
      <c r="DO76" s="12">
        <f>IF('Données projet'!$A$166&gt;35,DO75+DN76-DW75,IF(A76&lt;'Données projet'!$A$166,$DL$205^A76,IF(A76='Données projet'!$A$166,'Données projet'!$B$166,DO75+DN76-DW75)))</f>
        <v>238.39999999999992</v>
      </c>
      <c r="DP76" s="17">
        <f>DO76*VLOOKUP('Données projet'!$B$14,Paramètres!$A$1:$I$89,3,0)*VLOOKUP('Données projet'!$B$14,Paramètres!$A$1:$I$89,5,0)</f>
        <v>204.54719999999998</v>
      </c>
      <c r="DQ76" s="13">
        <f t="shared" si="97"/>
        <v>50.742193353050972</v>
      </c>
      <c r="DR76" s="20">
        <f t="shared" si="70"/>
        <v>444.62902675656369</v>
      </c>
      <c r="DS76" s="59">
        <f t="shared" si="71"/>
        <v>737.96236008989695</v>
      </c>
      <c r="DT76" s="59">
        <f ca="1">AVERAGE(OFFSET($DS$3,0,0,'Données projet'!$E$14+1,1))-AVERAGE(OFFSET($H$3,0,0,'Données projet'!$E$14+1,1))</f>
        <v>203.34232675618244</v>
      </c>
      <c r="DU76" s="59">
        <f t="shared" si="98"/>
        <v>176.81257896138806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41.108654935612925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41.108654935612925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2.8421709430404007E-14</v>
      </c>
      <c r="EK76" s="17">
        <f>EJ76*VLOOKUP('Données projet'!$B$15,Paramètres!$A$1:$I$89,3,0)*VLOOKUP('Données projet'!$B$15,Paramètres!$A$1:$I$89,5,0)</f>
        <v>2.7489477361086758E-14</v>
      </c>
      <c r="EL76" s="13">
        <f t="shared" si="99"/>
        <v>4.7995394886724981E-13</v>
      </c>
      <c r="EM76" s="20">
        <f t="shared" si="73"/>
        <v>8.8379730068101964E-13</v>
      </c>
      <c r="EN76" s="59">
        <f t="shared" si="74"/>
        <v>293.33333333333422</v>
      </c>
      <c r="EO76" s="59">
        <f ca="1">AVERAGE(OFFSET($EN$3,0,0,'Données projet'!$E$15+1,1))-AVERAGE(OFFSET($H$3,0,0,'Données projet'!$E$15+1,1))</f>
        <v>218.78765033569107</v>
      </c>
      <c r="EP76" s="59">
        <f t="shared" si="100"/>
        <v>246.54010105494137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>
        <f>FE76*VLOOKUP('Données projet'!$B$16,Paramètres!$A$1:$I$89,3,0)*VLOOKUP('Données projet'!$B$16,Paramètres!$A$1:$I$89,5,0)</f>
        <v>0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170.80796812111521</v>
      </c>
      <c r="FK76" s="59">
        <f t="shared" si="102"/>
        <v>249.84047400410321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0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333.02360594713667</v>
      </c>
      <c r="T77" s="59">
        <f t="shared" si="88"/>
        <v>546.58234447298014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97.420120955227304</v>
      </c>
      <c r="AA77" s="21">
        <f>EXP(-LN(2)/25)*AA76+(1-EXP(-LN(2)/25))/(LN(2)/25)*Calculateur!V77*Calculateur!X77*VLOOKUP('Données projet'!$B$9,Paramètres!$A$1:$I$89,3,0)*0.475*44/12</f>
        <v>39.531840784860663</v>
      </c>
      <c r="AB77" s="21">
        <f>EXP(-LN(2)/2)*AB76+(1-EXP(-LN(2)/2))/(LN(2)/2)*V77*Y77*VLOOKUP('Données projet'!$B$9,Paramètres!$A$1:$I$89,3,0)*0.475*44/12</f>
        <v>1.7863228600076726E-3</v>
      </c>
      <c r="AC77" s="22">
        <f t="shared" si="57"/>
        <v>136.95374806294797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7.8</v>
      </c>
      <c r="AI77" s="13">
        <f>IF('Données projet'!$A$62&gt;35,AI76+AH77-AQ76,IF(A77&lt;'Données projet'!$A$62,$AF$205^A77,IF(A77='Données projet'!$A$62,'Données projet'!$B$62,AI76+AH77-AQ76)))</f>
        <v>246.19999999999993</v>
      </c>
      <c r="AJ77" s="13">
        <f>AI77*VLOOKUP('Données projet'!$B$10,Paramètres!$A$1:$I$89,3,0)*VLOOKUP('Données projet'!$B$10,Paramètres!$A$1:$I$89,5,0)</f>
        <v>215.08031999999997</v>
      </c>
      <c r="AK77" s="13">
        <f t="shared" si="89"/>
        <v>53.044214230061456</v>
      </c>
      <c r="AL77" s="20">
        <f t="shared" si="58"/>
        <v>466.98356378402372</v>
      </c>
      <c r="AM77" s="59">
        <f t="shared" si="59"/>
        <v>760.31689711735703</v>
      </c>
      <c r="AN77" s="59">
        <f ca="1">AVERAGE(OFFSET($AM$3,0,0,'Données projet'!$E$10+1,1))-AVERAGE(OFFSET($H$3,0,0,'Données projet'!$E$10+1,1))</f>
        <v>243.26825841283591</v>
      </c>
      <c r="AO77" s="59">
        <f t="shared" si="90"/>
        <v>179.2944312100729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23.430025337893454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23.430025337893454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-5.6843418860808015E-14</v>
      </c>
      <c r="BE77" s="13">
        <f>BD77*VLOOKUP('Données projet'!$B$11,Paramètres!$A$1:$I$89,3,0)*VLOOKUP('Données projet'!$B$11,Paramètres!$A$1:$I$89,5,0)</f>
        <v>-4.1677594708744434E-14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146.45728988963538</v>
      </c>
      <c r="BJ77" s="59">
        <f t="shared" si="92"/>
        <v>156.91778940341118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54.823688633825462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54.823688633825462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-4.0000000000001137</v>
      </c>
      <c r="BZ77" s="13">
        <f>BY77*VLOOKUP('Données projet'!$B$12,Paramètres!$A$1:$I$89,3,0)*VLOOKUP('Données projet'!$B$12,Paramètres!$A$1:$I$89,5,0)</f>
        <v>-3.1824000000000909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238.71022302719206</v>
      </c>
      <c r="CE77" s="59">
        <f t="shared" si="94"/>
        <v>294.28794439094878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91.202316179908962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91.202316179908962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-1.1368683772161603E-13</v>
      </c>
      <c r="CU77" s="17">
        <f>CT77*VLOOKUP('Données projet'!$B$13,Paramètres!$A$1:$I$89,3,0)*VLOOKUP('Données projet'!$B$13,Paramètres!$A$1:$I$89,5,0)</f>
        <v>-9.0449248091317723E-14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238.71022302719206</v>
      </c>
      <c r="CZ77" s="59">
        <f t="shared" si="96"/>
        <v>294.28794439094878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90.071854788498058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90.071854788498058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7.8</v>
      </c>
      <c r="DO77" s="12">
        <f>IF('Données projet'!$A$166&gt;35,DO76+DN77-DW76,IF(A77&lt;'Données projet'!$A$166,$DL$205^A77,IF(A77='Données projet'!$A$166,'Données projet'!$B$166,DO76+DN77-DW76)))</f>
        <v>246.19999999999993</v>
      </c>
      <c r="DP77" s="17">
        <f>DO77*VLOOKUP('Données projet'!$B$14,Paramètres!$A$1:$I$89,3,0)*VLOOKUP('Données projet'!$B$14,Paramètres!$A$1:$I$89,5,0)</f>
        <v>211.23959999999997</v>
      </c>
      <c r="DQ77" s="13">
        <f t="shared" si="97"/>
        <v>52.206376628849895</v>
      </c>
      <c r="DR77" s="20">
        <f t="shared" si="70"/>
        <v>458.83507596191345</v>
      </c>
      <c r="DS77" s="59">
        <f t="shared" si="71"/>
        <v>752.16840929524676</v>
      </c>
      <c r="DT77" s="59">
        <f ca="1">AVERAGE(OFFSET($DS$3,0,0,'Données projet'!$E$14+1,1))-AVERAGE(OFFSET($H$3,0,0,'Données projet'!$E$14+1,1))</f>
        <v>203.34232675618244</v>
      </c>
      <c r="DU77" s="59">
        <f t="shared" si="98"/>
        <v>176.81257896138806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40.302539286129232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40.302539286129232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2.8421709430404007E-14</v>
      </c>
      <c r="EK77" s="17">
        <f>EJ77*VLOOKUP('Données projet'!$B$15,Paramètres!$A$1:$I$89,3,0)*VLOOKUP('Données projet'!$B$15,Paramètres!$A$1:$I$89,5,0)</f>
        <v>2.7489477361086758E-14</v>
      </c>
      <c r="EL77" s="13">
        <f t="shared" si="99"/>
        <v>4.7995394886724981E-13</v>
      </c>
      <c r="EM77" s="20">
        <f t="shared" si="73"/>
        <v>8.8379730068101964E-13</v>
      </c>
      <c r="EN77" s="59">
        <f t="shared" si="74"/>
        <v>293.33333333333422</v>
      </c>
      <c r="EO77" s="59">
        <f ca="1">AVERAGE(OFFSET($EN$3,0,0,'Données projet'!$E$15+1,1))-AVERAGE(OFFSET($H$3,0,0,'Données projet'!$E$15+1,1))</f>
        <v>218.78765033569107</v>
      </c>
      <c r="EP77" s="59">
        <f t="shared" si="100"/>
        <v>246.54010105494137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>
        <f>FE77*VLOOKUP('Données projet'!$B$16,Paramètres!$A$1:$I$89,3,0)*VLOOKUP('Données projet'!$B$16,Paramètres!$A$1:$I$89,5,0)</f>
        <v>0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170.80796812111521</v>
      </c>
      <c r="FK77" s="59">
        <f t="shared" si="102"/>
        <v>249.84047400410321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0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333.02360594713667</v>
      </c>
      <c r="T78" s="59">
        <f t="shared" si="88"/>
        <v>546.58234447298014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95.509771803701796</v>
      </c>
      <c r="AA78" s="21">
        <f>EXP(-LN(2)/25)*AA77+(1-EXP(-LN(2)/25))/(LN(2)/25)*Calculateur!V78*Calculateur!X78*VLOOKUP('Données projet'!$B$9,Paramètres!$A$1:$I$89,3,0)*0.475*44/12</f>
        <v>38.450840519709494</v>
      </c>
      <c r="AB78" s="21">
        <f>EXP(-LN(2)/2)*AB77+(1-EXP(-LN(2)/2))/(LN(2)/2)*V78*Y78*VLOOKUP('Données projet'!$B$9,Paramètres!$A$1:$I$89,3,0)*0.475*44/12</f>
        <v>1.2631210076999731E-3</v>
      </c>
      <c r="AC78" s="22">
        <f t="shared" si="57"/>
        <v>133.96187544441898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254</v>
      </c>
      <c r="AG78" s="12">
        <f>VLOOKUP(A78,'Données projet'!$A$61:$I$81,9,0)</f>
        <v>7.8</v>
      </c>
      <c r="AH78" s="12">
        <f t="array" ref="AH78">INDEX(AG:AG,MIN(IF(ISNUMBER(AG78:AG274),ROW(AG78:AG274),"")))</f>
        <v>7.8</v>
      </c>
      <c r="AI78" s="13">
        <f>IF('Données projet'!$A$62&gt;35,AI77+AH78-AQ77,IF(A78&lt;'Données projet'!$A$62,$AF$205^A78,IF(A78='Données projet'!$A$62,'Données projet'!$B$62,AI77+AH78-AQ77)))</f>
        <v>253.99999999999994</v>
      </c>
      <c r="AJ78" s="13">
        <f>AI78*VLOOKUP('Données projet'!$B$10,Paramètres!$A$1:$I$89,3,0)*VLOOKUP('Données projet'!$B$10,Paramètres!$A$1:$I$89,5,0)</f>
        <v>221.89439999999999</v>
      </c>
      <c r="AK78" s="13">
        <f t="shared" si="89"/>
        <v>54.526418514188855</v>
      </c>
      <c r="AL78" s="20">
        <f t="shared" si="58"/>
        <v>481.43292557887889</v>
      </c>
      <c r="AM78" s="59">
        <f t="shared" si="59"/>
        <v>774.76625891221215</v>
      </c>
      <c r="AN78" s="59">
        <f ca="1">AVERAGE(OFFSET($AM$3,0,0,'Données projet'!$E$10+1,1))-AVERAGE(OFFSET($H$3,0,0,'Données projet'!$E$10+1,1))</f>
        <v>243.26825841283591</v>
      </c>
      <c r="AO78" s="59">
        <f t="shared" si="90"/>
        <v>179.2944312100729</v>
      </c>
      <c r="AP78" s="15">
        <f>IF(ISNA(VLOOKUP(A78,'Données projet'!$A$61:$I$81,3,0)),0,VLOOKUP(A78,'Données projet'!$A$61:$I$81,3,0))</f>
        <v>10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0.30099999999999999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29.075012567744377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29.075012567744377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-5.6843418860808015E-14</v>
      </c>
      <c r="BE78" s="13">
        <f>BD78*VLOOKUP('Données projet'!$B$11,Paramètres!$A$1:$I$89,3,0)*VLOOKUP('Données projet'!$B$11,Paramètres!$A$1:$I$89,5,0)</f>
        <v>-4.1677594708744434E-14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146.45728988963538</v>
      </c>
      <c r="BJ78" s="59">
        <f t="shared" si="92"/>
        <v>156.91778940341118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53.748629538864371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53.748629538864371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-4.0000000000001137</v>
      </c>
      <c r="BZ78" s="13">
        <f>BY78*VLOOKUP('Données projet'!$B$12,Paramètres!$A$1:$I$89,3,0)*VLOOKUP('Données projet'!$B$12,Paramètres!$A$1:$I$89,5,0)</f>
        <v>-3.1824000000000909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238.71022302719206</v>
      </c>
      <c r="CE78" s="59">
        <f t="shared" si="94"/>
        <v>294.28794439094878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89.413894387541021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89.413894387541021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-1.1368683772161603E-13</v>
      </c>
      <c r="CU78" s="17">
        <f>CT78*VLOOKUP('Données projet'!$B$13,Paramètres!$A$1:$I$89,3,0)*VLOOKUP('Données projet'!$B$13,Paramètres!$A$1:$I$89,5,0)</f>
        <v>-9.0449248091317723E-14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238.71022302719206</v>
      </c>
      <c r="CZ78" s="59">
        <f t="shared" si="96"/>
        <v>294.28794439094878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88.305600654502314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88.305600654502314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254</v>
      </c>
      <c r="DM78" s="12">
        <f>VLOOKUP(A78,'Données projet'!$A$165:$I$185,9,0)</f>
        <v>7.8</v>
      </c>
      <c r="DN78" s="12">
        <f t="array" ref="DN78">INDEX(DM:DM,MIN(IF(ISNUMBER(DM78:DM274),ROW(DM78:DM274),"")))</f>
        <v>7.8</v>
      </c>
      <c r="DO78" s="12">
        <f>IF('Données projet'!$A$166&gt;35,DO77+DN78-DW77,IF(A78&lt;'Données projet'!$A$166,$DL$205^A78,IF(A78='Données projet'!$A$166,'Données projet'!$B$166,DO77+DN78-DW77)))</f>
        <v>253.99999999999994</v>
      </c>
      <c r="DP78" s="17">
        <f>DO78*VLOOKUP('Données projet'!$B$14,Paramètres!$A$1:$I$89,3,0)*VLOOKUP('Données projet'!$B$14,Paramètres!$A$1:$I$89,5,0)</f>
        <v>217.93199999999999</v>
      </c>
      <c r="DQ78" s="13">
        <f t="shared" si="97"/>
        <v>53.665169377903354</v>
      </c>
      <c r="DR78" s="20">
        <f t="shared" si="70"/>
        <v>473.03173666651497</v>
      </c>
      <c r="DS78" s="59">
        <f t="shared" si="71"/>
        <v>766.36506999984829</v>
      </c>
      <c r="DT78" s="59">
        <f ca="1">AVERAGE(OFFSET($DS$3,0,0,'Données projet'!$E$14+1,1))-AVERAGE(OFFSET($H$3,0,0,'Données projet'!$E$14+1,1))</f>
        <v>203.34232675618244</v>
      </c>
      <c r="DU78" s="59">
        <f t="shared" si="98"/>
        <v>176.81257896138806</v>
      </c>
      <c r="DV78" s="15">
        <f>IF(ISNA(VLOOKUP(A78,'Données projet'!$A$165:$I$185,3,0)),0,VLOOKUP(A78,'Données projet'!$A$165:$I$185,3,0))</f>
        <v>10</v>
      </c>
      <c r="DW78" s="15">
        <f>IF(ISNA(VLOOKUP(A78,'Données projet'!$A$165:$I$185,4,0)),0,VLOOKUP(A78,'Données projet'!$A$165:$I$185,4,0))</f>
        <v>21</v>
      </c>
      <c r="DX78" s="16">
        <f>IF(ISNA(VLOOKUP(A78,'Données projet'!$A$165:$I$185,5,0)),0%,VLOOKUP(A78,'Données projet'!$A$165:$I$185,5,0)*VLOOKUP('Données projet'!$B$14,Paramètres!$A$1:$I$89,7,0))</f>
        <v>0.42400000000000004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47.957617959381992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47.957617959381992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2.8421709430404007E-14</v>
      </c>
      <c r="EK78" s="17">
        <f>EJ78*VLOOKUP('Données projet'!$B$15,Paramètres!$A$1:$I$89,3,0)*VLOOKUP('Données projet'!$B$15,Paramètres!$A$1:$I$89,5,0)</f>
        <v>2.7489477361086758E-14</v>
      </c>
      <c r="EL78" s="13">
        <f t="shared" si="99"/>
        <v>4.7995394886724981E-13</v>
      </c>
      <c r="EM78" s="20">
        <f t="shared" si="73"/>
        <v>8.8379730068101964E-13</v>
      </c>
      <c r="EN78" s="59">
        <f t="shared" si="74"/>
        <v>293.33333333333422</v>
      </c>
      <c r="EO78" s="59">
        <f ca="1">AVERAGE(OFFSET($EN$3,0,0,'Données projet'!$E$15+1,1))-AVERAGE(OFFSET($H$3,0,0,'Données projet'!$E$15+1,1))</f>
        <v>218.78765033569107</v>
      </c>
      <c r="EP78" s="59">
        <f t="shared" si="100"/>
        <v>246.54010105494137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>
        <f>FE78*VLOOKUP('Données projet'!$B$16,Paramètres!$A$1:$I$89,3,0)*VLOOKUP('Données projet'!$B$16,Paramètres!$A$1:$I$89,5,0)</f>
        <v>0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170.80796812111521</v>
      </c>
      <c r="FK78" s="59">
        <f t="shared" si="102"/>
        <v>249.84047400410321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0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333.02360594713667</v>
      </c>
      <c r="T79" s="59">
        <f t="shared" si="88"/>
        <v>546.58234447298014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93.636883433839785</v>
      </c>
      <c r="AA79" s="21">
        <f>EXP(-LN(2)/25)*AA78+(1-EXP(-LN(2)/25))/(LN(2)/25)*Calculateur!V79*Calculateur!X79*VLOOKUP('Données projet'!$B$9,Paramètres!$A$1:$I$89,3,0)*0.475*44/12</f>
        <v>37.399400263656219</v>
      </c>
      <c r="AB79" s="21">
        <f>EXP(-LN(2)/2)*AB78+(1-EXP(-LN(2)/2))/(LN(2)/2)*V79*Y79*VLOOKUP('Données projet'!$B$9,Paramètres!$A$1:$I$89,3,0)*0.475*44/12</f>
        <v>8.9316143000383631E-4</v>
      </c>
      <c r="AC79" s="22">
        <f t="shared" si="57"/>
        <v>131.03717685892602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240.39999999999992</v>
      </c>
      <c r="AJ79" s="13">
        <f>AI79*VLOOKUP('Données projet'!$B$10,Paramètres!$A$1:$I$89,3,0)*VLOOKUP('Données projet'!$B$10,Paramètres!$A$1:$I$89,5,0)</f>
        <v>210.01343999999995</v>
      </c>
      <c r="AK79" s="13">
        <f t="shared" si="89"/>
        <v>51.938522665506987</v>
      </c>
      <c r="AL79" s="20">
        <f t="shared" si="58"/>
        <v>456.23300164242454</v>
      </c>
      <c r="AM79" s="59">
        <f t="shared" si="59"/>
        <v>749.56633497575785</v>
      </c>
      <c r="AN79" s="59">
        <f ca="1">AVERAGE(OFFSET($AM$3,0,0,'Données projet'!$E$10+1,1))-AVERAGE(OFFSET($H$3,0,0,'Données projet'!$E$10+1,1))</f>
        <v>243.26825841283591</v>
      </c>
      <c r="AO79" s="59">
        <f t="shared" si="90"/>
        <v>179.2944312100729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28.50486930529749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28.50486930529749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-5.6843418860808015E-14</v>
      </c>
      <c r="BE79" s="13">
        <f>BD79*VLOOKUP('Données projet'!$B$11,Paramètres!$A$1:$I$89,3,0)*VLOOKUP('Données projet'!$B$11,Paramètres!$A$1:$I$89,5,0)</f>
        <v>-4.1677594708744434E-14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146.45728988963538</v>
      </c>
      <c r="BJ79" s="59">
        <f t="shared" si="92"/>
        <v>156.91778940341118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52.694651697034168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52.694651697034168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-4.0000000000001137</v>
      </c>
      <c r="BZ79" s="13">
        <f>BY79*VLOOKUP('Données projet'!$B$12,Paramètres!$A$1:$I$89,3,0)*VLOOKUP('Données projet'!$B$12,Paramètres!$A$1:$I$89,5,0)</f>
        <v>-3.1824000000000909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238.71022302719206</v>
      </c>
      <c r="CE79" s="59">
        <f t="shared" si="94"/>
        <v>294.28794439094878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87.660542455691825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87.660542455691825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-1.1368683772161603E-13</v>
      </c>
      <c r="CU79" s="17">
        <f>CT79*VLOOKUP('Données projet'!$B$13,Paramètres!$A$1:$I$89,3,0)*VLOOKUP('Données projet'!$B$13,Paramètres!$A$1:$I$89,5,0)</f>
        <v>-9.0449248091317723E-14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238.71022302719206</v>
      </c>
      <c r="CZ79" s="59">
        <f t="shared" si="96"/>
        <v>294.28794439094878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86.573981686765578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86.573981686765578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7.4</v>
      </c>
      <c r="DO79" s="12">
        <f>IF('Données projet'!$A$166&gt;35,DO78+DN79-DW78,IF(A79&lt;'Données projet'!$A$166,$DL$205^A79,IF(A79='Données projet'!$A$166,'Données projet'!$B$166,DO78+DN79-DW78)))</f>
        <v>240.39999999999992</v>
      </c>
      <c r="DP79" s="17">
        <f>DO79*VLOOKUP('Données projet'!$B$14,Paramètres!$A$1:$I$89,3,0)*VLOOKUP('Données projet'!$B$14,Paramètres!$A$1:$I$89,5,0)</f>
        <v>206.26319999999996</v>
      </c>
      <c r="DQ79" s="13">
        <f t="shared" si="97"/>
        <v>51.118149550886002</v>
      </c>
      <c r="DR79" s="20">
        <f t="shared" si="70"/>
        <v>448.27251713445963</v>
      </c>
      <c r="DS79" s="59">
        <f t="shared" si="71"/>
        <v>741.60585046779295</v>
      </c>
      <c r="DT79" s="59">
        <f ca="1">AVERAGE(OFFSET($DS$3,0,0,'Données projet'!$E$14+1,1))-AVERAGE(OFFSET($H$3,0,0,'Données projet'!$E$14+1,1))</f>
        <v>203.34232675618244</v>
      </c>
      <c r="DU79" s="59">
        <f t="shared" si="98"/>
        <v>176.81257896138806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47.017198322457141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47.017198322457141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2.8421709430404007E-14</v>
      </c>
      <c r="EK79" s="17">
        <f>EJ79*VLOOKUP('Données projet'!$B$15,Paramètres!$A$1:$I$89,3,0)*VLOOKUP('Données projet'!$B$15,Paramètres!$A$1:$I$89,5,0)</f>
        <v>2.7489477361086758E-14</v>
      </c>
      <c r="EL79" s="13">
        <f t="shared" si="99"/>
        <v>4.7995394886724981E-13</v>
      </c>
      <c r="EM79" s="20">
        <f t="shared" si="73"/>
        <v>8.8379730068101964E-13</v>
      </c>
      <c r="EN79" s="59">
        <f t="shared" si="74"/>
        <v>293.33333333333422</v>
      </c>
      <c r="EO79" s="59">
        <f ca="1">AVERAGE(OFFSET($EN$3,0,0,'Données projet'!$E$15+1,1))-AVERAGE(OFFSET($H$3,0,0,'Données projet'!$E$15+1,1))</f>
        <v>218.78765033569107</v>
      </c>
      <c r="EP79" s="59">
        <f t="shared" si="100"/>
        <v>246.54010105494137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>
        <f>FE79*VLOOKUP('Données projet'!$B$16,Paramètres!$A$1:$I$89,3,0)*VLOOKUP('Données projet'!$B$16,Paramètres!$A$1:$I$89,5,0)</f>
        <v>0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170.80796812111521</v>
      </c>
      <c r="FK79" s="59">
        <f t="shared" si="102"/>
        <v>249.84047400410321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0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333.02360594713667</v>
      </c>
      <c r="T80" s="59">
        <f t="shared" si="88"/>
        <v>546.58234447298014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91.800721262561652</v>
      </c>
      <c r="AA80" s="21">
        <f>EXP(-LN(2)/25)*AA79+(1-EXP(-LN(2)/25))/(LN(2)/25)*Calculateur!V80*Calculateur!X80*VLOOKUP('Données projet'!$B$9,Paramètres!$A$1:$I$89,3,0)*0.475*44/12</f>
        <v>36.376711696697555</v>
      </c>
      <c r="AB80" s="21">
        <f>EXP(-LN(2)/2)*AB79+(1-EXP(-LN(2)/2))/(LN(2)/2)*V80*Y80*VLOOKUP('Données projet'!$B$9,Paramètres!$A$1:$I$89,3,0)*0.475*44/12</f>
        <v>6.3156050384998656E-4</v>
      </c>
      <c r="AC80" s="22">
        <f t="shared" si="57"/>
        <v>128.17806451976304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247.79999999999993</v>
      </c>
      <c r="AJ80" s="13">
        <f>AI80*VLOOKUP('Données projet'!$B$10,Paramètres!$A$1:$I$89,3,0)*VLOOKUP('Données projet'!$B$10,Paramètres!$A$1:$I$89,5,0)</f>
        <v>216.47807999999998</v>
      </c>
      <c r="AK80" s="13">
        <f t="shared" si="89"/>
        <v>53.348696328338377</v>
      </c>
      <c r="AL80" s="20">
        <f t="shared" si="58"/>
        <v>469.94830210518927</v>
      </c>
      <c r="AM80" s="59">
        <f t="shared" si="59"/>
        <v>763.28163543852258</v>
      </c>
      <c r="AN80" s="59">
        <f ca="1">AVERAGE(OFFSET($AM$3,0,0,'Données projet'!$E$10+1,1))-AVERAGE(OFFSET($H$3,0,0,'Données projet'!$E$10+1,1))</f>
        <v>243.26825841283591</v>
      </c>
      <c r="AO80" s="59">
        <f t="shared" si="90"/>
        <v>179.2944312100729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27.945906204474131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27.945906204474131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-5.6843418860808015E-14</v>
      </c>
      <c r="BE80" s="13">
        <f>BD80*VLOOKUP('Données projet'!$B$11,Paramètres!$A$1:$I$89,3,0)*VLOOKUP('Données projet'!$B$11,Paramètres!$A$1:$I$89,5,0)</f>
        <v>-4.1677594708744434E-14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146.45728988963538</v>
      </c>
      <c r="BJ80" s="59">
        <f t="shared" si="92"/>
        <v>156.91778940341118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51.661341717819248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51.661341717819248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-4.0000000000001137</v>
      </c>
      <c r="BZ80" s="13">
        <f>BY80*VLOOKUP('Données projet'!$B$12,Paramètres!$A$1:$I$89,3,0)*VLOOKUP('Données projet'!$B$12,Paramètres!$A$1:$I$89,5,0)</f>
        <v>-3.1824000000000909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238.71022302719206</v>
      </c>
      <c r="CE80" s="59">
        <f t="shared" si="94"/>
        <v>294.28794439094878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85.941572685787108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85.941572685787108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-1.1368683772161603E-13</v>
      </c>
      <c r="CU80" s="17">
        <f>CT80*VLOOKUP('Données projet'!$B$13,Paramètres!$A$1:$I$89,3,0)*VLOOKUP('Données projet'!$B$13,Paramètres!$A$1:$I$89,5,0)</f>
        <v>-9.0449248091317723E-14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238.71022302719206</v>
      </c>
      <c r="CZ80" s="59">
        <f t="shared" si="96"/>
        <v>294.28794439094878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84.876318710802877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84.876318710802877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7.4</v>
      </c>
      <c r="DO80" s="12">
        <f>IF('Données projet'!$A$166&gt;35,DO79+DN80-DW79,IF(A80&lt;'Données projet'!$A$166,$DL$205^A80,IF(A80='Données projet'!$A$166,'Données projet'!$B$166,DO79+DN80-DW79)))</f>
        <v>247.79999999999993</v>
      </c>
      <c r="DP80" s="17">
        <f>DO80*VLOOKUP('Données projet'!$B$14,Paramètres!$A$1:$I$89,3,0)*VLOOKUP('Données projet'!$B$14,Paramètres!$A$1:$I$89,5,0)</f>
        <v>212.61239999999995</v>
      </c>
      <c r="DQ80" s="13">
        <f t="shared" si="97"/>
        <v>52.50604940806096</v>
      </c>
      <c r="DR80" s="20">
        <f t="shared" si="70"/>
        <v>461.7479660523727</v>
      </c>
      <c r="DS80" s="59">
        <f t="shared" si="71"/>
        <v>755.08129938570596</v>
      </c>
      <c r="DT80" s="59">
        <f ca="1">AVERAGE(OFFSET($DS$3,0,0,'Données projet'!$E$14+1,1))-AVERAGE(OFFSET($H$3,0,0,'Données projet'!$E$14+1,1))</f>
        <v>203.34232675618244</v>
      </c>
      <c r="DU80" s="59">
        <f t="shared" si="98"/>
        <v>176.81257896138806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46.095219741013047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46.095219741013047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2.8421709430404007E-14</v>
      </c>
      <c r="EK80" s="17">
        <f>EJ80*VLOOKUP('Données projet'!$B$15,Paramètres!$A$1:$I$89,3,0)*VLOOKUP('Données projet'!$B$15,Paramètres!$A$1:$I$89,5,0)</f>
        <v>2.7489477361086758E-14</v>
      </c>
      <c r="EL80" s="13">
        <f t="shared" si="99"/>
        <v>4.7995394886724981E-13</v>
      </c>
      <c r="EM80" s="20">
        <f t="shared" si="73"/>
        <v>8.8379730068101964E-13</v>
      </c>
      <c r="EN80" s="59">
        <f t="shared" si="74"/>
        <v>293.33333333333422</v>
      </c>
      <c r="EO80" s="59">
        <f ca="1">AVERAGE(OFFSET($EN$3,0,0,'Données projet'!$E$15+1,1))-AVERAGE(OFFSET($H$3,0,0,'Données projet'!$E$15+1,1))</f>
        <v>218.78765033569107</v>
      </c>
      <c r="EP80" s="59">
        <f t="shared" si="100"/>
        <v>246.54010105494137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>
        <f>FE80*VLOOKUP('Données projet'!$B$16,Paramètres!$A$1:$I$89,3,0)*VLOOKUP('Données projet'!$B$16,Paramètres!$A$1:$I$89,5,0)</f>
        <v>0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170.80796812111521</v>
      </c>
      <c r="FK80" s="59">
        <f t="shared" si="102"/>
        <v>249.84047400410321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0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333.02360594713667</v>
      </c>
      <c r="T81" s="59">
        <f t="shared" si="88"/>
        <v>546.58234447298014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90.00056511151395</v>
      </c>
      <c r="AA81" s="21">
        <f>EXP(-LN(2)/25)*AA80+(1-EXP(-LN(2)/25))/(LN(2)/25)*Calculateur!V81*Calculateur!X81*VLOOKUP('Données projet'!$B$9,Paramètres!$A$1:$I$89,3,0)*0.475*44/12</f>
        <v>35.381988602383231</v>
      </c>
      <c r="AB81" s="21">
        <f>EXP(-LN(2)/2)*AB80+(1-EXP(-LN(2)/2))/(LN(2)/2)*V81*Y81*VLOOKUP('Données projet'!$B$9,Paramètres!$A$1:$I$89,3,0)*0.475*44/12</f>
        <v>4.4658071500191816E-4</v>
      </c>
      <c r="AC81" s="22">
        <f t="shared" si="57"/>
        <v>125.38300029461219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255.19999999999993</v>
      </c>
      <c r="AJ81" s="13">
        <f>AI81*VLOOKUP('Données projet'!$B$10,Paramètres!$A$1:$I$89,3,0)*VLOOKUP('Données projet'!$B$10,Paramètres!$A$1:$I$89,5,0)</f>
        <v>222.94271999999998</v>
      </c>
      <c r="AK81" s="13">
        <f t="shared" si="89"/>
        <v>54.753975927514929</v>
      </c>
      <c r="AL81" s="20">
        <f t="shared" si="58"/>
        <v>483.65507874042174</v>
      </c>
      <c r="AM81" s="59">
        <f t="shared" si="59"/>
        <v>776.98841207375506</v>
      </c>
      <c r="AN81" s="59">
        <f ca="1">AVERAGE(OFFSET($AM$3,0,0,'Données projet'!$E$10+1,1))-AVERAGE(OFFSET($H$3,0,0,'Données projet'!$E$10+1,1))</f>
        <v>243.26825841283591</v>
      </c>
      <c r="AO81" s="59">
        <f t="shared" si="90"/>
        <v>179.2944312100729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27.397904029124092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27.397904029124092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-5.6843418860808015E-14</v>
      </c>
      <c r="BE81" s="13">
        <f>BD81*VLOOKUP('Données projet'!$B$11,Paramètres!$A$1:$I$89,3,0)*VLOOKUP('Données projet'!$B$11,Paramètres!$A$1:$I$89,5,0)</f>
        <v>-4.1677594708744434E-14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146.45728988963538</v>
      </c>
      <c r="BJ81" s="59">
        <f t="shared" si="92"/>
        <v>156.91778940341118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50.648294317039877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50.648294317039877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-4.0000000000001137</v>
      </c>
      <c r="BZ81" s="13">
        <f>BY81*VLOOKUP('Données projet'!$B$12,Paramètres!$A$1:$I$89,3,0)*VLOOKUP('Données projet'!$B$12,Paramètres!$A$1:$I$89,5,0)</f>
        <v>-3.1824000000000909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238.71022302719206</v>
      </c>
      <c r="CE81" s="59">
        <f t="shared" si="94"/>
        <v>294.28794439094878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84.256310864602199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84.256310864602199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-1.1368683772161603E-13</v>
      </c>
      <c r="CU81" s="17">
        <f>CT81*VLOOKUP('Données projet'!$B$13,Paramètres!$A$1:$I$89,3,0)*VLOOKUP('Données projet'!$B$13,Paramètres!$A$1:$I$89,5,0)</f>
        <v>-9.0449248091317723E-14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238.71022302719206</v>
      </c>
      <c r="CZ81" s="59">
        <f t="shared" si="96"/>
        <v>294.28794439094878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83.211945870326645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83.211945870326645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7.4</v>
      </c>
      <c r="DO81" s="12">
        <f>IF('Données projet'!$A$166&gt;35,DO80+DN81-DW80,IF(A81&lt;'Données projet'!$A$166,$DL$205^A81,IF(A81='Données projet'!$A$166,'Données projet'!$B$166,DO80+DN81-DW80)))</f>
        <v>255.19999999999993</v>
      </c>
      <c r="DP81" s="17">
        <f>DO81*VLOOKUP('Données projet'!$B$14,Paramètres!$A$1:$I$89,3,0)*VLOOKUP('Données projet'!$B$14,Paramètres!$A$1:$I$89,5,0)</f>
        <v>218.96159999999998</v>
      </c>
      <c r="DQ81" s="13">
        <f t="shared" si="97"/>
        <v>53.88913250370743</v>
      </c>
      <c r="DR81" s="20">
        <f t="shared" si="70"/>
        <v>475.21502577729035</v>
      </c>
      <c r="DS81" s="59">
        <f t="shared" si="71"/>
        <v>768.54835911062366</v>
      </c>
      <c r="DT81" s="59">
        <f ca="1">AVERAGE(OFFSET($DS$3,0,0,'Données projet'!$E$14+1,1))-AVERAGE(OFFSET($H$3,0,0,'Données projet'!$E$14+1,1))</f>
        <v>203.34232675618244</v>
      </c>
      <c r="DU81" s="59">
        <f t="shared" si="98"/>
        <v>176.81257896138806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45.191320597199663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45.191320597199663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2.8421709430404007E-14</v>
      </c>
      <c r="EK81" s="17">
        <f>EJ81*VLOOKUP('Données projet'!$B$15,Paramètres!$A$1:$I$89,3,0)*VLOOKUP('Données projet'!$B$15,Paramètres!$A$1:$I$89,5,0)</f>
        <v>2.7489477361086758E-14</v>
      </c>
      <c r="EL81" s="13">
        <f t="shared" si="99"/>
        <v>4.7995394886724981E-13</v>
      </c>
      <c r="EM81" s="20">
        <f t="shared" si="73"/>
        <v>8.8379730068101964E-13</v>
      </c>
      <c r="EN81" s="59">
        <f t="shared" si="74"/>
        <v>293.33333333333422</v>
      </c>
      <c r="EO81" s="59">
        <f ca="1">AVERAGE(OFFSET($EN$3,0,0,'Données projet'!$E$15+1,1))-AVERAGE(OFFSET($H$3,0,0,'Données projet'!$E$15+1,1))</f>
        <v>218.78765033569107</v>
      </c>
      <c r="EP81" s="59">
        <f t="shared" si="100"/>
        <v>246.54010105494137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>
        <f>FE81*VLOOKUP('Données projet'!$B$16,Paramètres!$A$1:$I$89,3,0)*VLOOKUP('Données projet'!$B$16,Paramètres!$A$1:$I$89,5,0)</f>
        <v>0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170.80796812111521</v>
      </c>
      <c r="FK81" s="59">
        <f t="shared" si="102"/>
        <v>249.84047400410321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0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333.02360594713667</v>
      </c>
      <c r="T82" s="59">
        <f t="shared" si="88"/>
        <v>546.58234447298014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88.235708924601454</v>
      </c>
      <c r="AA82" s="21">
        <f>EXP(-LN(2)/25)*AA81+(1-EXP(-LN(2)/25))/(LN(2)/25)*Calculateur!V82*Calculateur!X82*VLOOKUP('Données projet'!$B$9,Paramètres!$A$1:$I$89,3,0)*0.475*44/12</f>
        <v>34.414466263393145</v>
      </c>
      <c r="AB82" s="21">
        <f>EXP(-LN(2)/2)*AB81+(1-EXP(-LN(2)/2))/(LN(2)/2)*V82*Y82*VLOOKUP('Données projet'!$B$9,Paramètres!$A$1:$I$89,3,0)*0.475*44/12</f>
        <v>3.1578025192499328E-4</v>
      </c>
      <c r="AC82" s="22">
        <f t="shared" si="57"/>
        <v>122.65049096824652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262.59999999999991</v>
      </c>
      <c r="AJ82" s="13">
        <f>AI82*VLOOKUP('Données projet'!$B$10,Paramètres!$A$1:$I$89,3,0)*VLOOKUP('Données projet'!$B$10,Paramètres!$A$1:$I$89,5,0)</f>
        <v>229.40735999999993</v>
      </c>
      <c r="AK82" s="13">
        <f t="shared" si="89"/>
        <v>56.15451967202349</v>
      </c>
      <c r="AL82" s="20">
        <f t="shared" si="58"/>
        <v>497.35360709544074</v>
      </c>
      <c r="AM82" s="59">
        <f t="shared" si="59"/>
        <v>790.68694042877405</v>
      </c>
      <c r="AN82" s="59">
        <f ca="1">AVERAGE(OFFSET($AM$3,0,0,'Données projet'!$E$10+1,1))-AVERAGE(OFFSET($H$3,0,0,'Données projet'!$E$10+1,1))</f>
        <v>243.26825841283591</v>
      </c>
      <c r="AO82" s="59">
        <f t="shared" si="90"/>
        <v>179.2944312100729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26.860647842184346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26.860647842184346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-5.6843418860808015E-14</v>
      </c>
      <c r="BE82" s="13">
        <f>BD82*VLOOKUP('Données projet'!$B$11,Paramètres!$A$1:$I$89,3,0)*VLOOKUP('Données projet'!$B$11,Paramètres!$A$1:$I$89,5,0)</f>
        <v>-4.1677594708744434E-14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146.45728988963538</v>
      </c>
      <c r="BJ82" s="59">
        <f t="shared" si="92"/>
        <v>156.91778940341118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49.655112157891885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49.655112157891885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-4.0000000000001137</v>
      </c>
      <c r="BZ82" s="13">
        <f>BY82*VLOOKUP('Données projet'!$B$12,Paramètres!$A$1:$I$89,3,0)*VLOOKUP('Données projet'!$B$12,Paramètres!$A$1:$I$89,5,0)</f>
        <v>-3.1824000000000909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238.71022302719206</v>
      </c>
      <c r="CE82" s="59">
        <f t="shared" si="94"/>
        <v>294.28794439094878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82.604095999822505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82.604095999822505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-1.1368683772161603E-13</v>
      </c>
      <c r="CU82" s="17">
        <f>CT82*VLOOKUP('Données projet'!$B$13,Paramètres!$A$1:$I$89,3,0)*VLOOKUP('Données projet'!$B$13,Paramètres!$A$1:$I$89,5,0)</f>
        <v>-9.0449248091317723E-14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238.71022302719206</v>
      </c>
      <c r="CZ82" s="59">
        <f t="shared" si="96"/>
        <v>294.28794439094878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81.580210366084955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81.580210366084955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7.4</v>
      </c>
      <c r="DO82" s="12">
        <f>IF('Données projet'!$A$166&gt;35,DO81+DN82-DW81,IF(A82&lt;'Données projet'!$A$166,$DL$205^A82,IF(A82='Données projet'!$A$166,'Données projet'!$B$166,DO81+DN82-DW81)))</f>
        <v>262.59999999999991</v>
      </c>
      <c r="DP82" s="17">
        <f>DO82*VLOOKUP('Données projet'!$B$14,Paramètres!$A$1:$I$89,3,0)*VLOOKUP('Données projet'!$B$14,Paramètres!$A$1:$I$89,5,0)</f>
        <v>225.31079999999994</v>
      </c>
      <c r="DQ82" s="13">
        <f t="shared" si="97"/>
        <v>55.267554547888814</v>
      </c>
      <c r="DR82" s="20">
        <f t="shared" si="70"/>
        <v>488.6739675042395</v>
      </c>
      <c r="DS82" s="59">
        <f t="shared" si="71"/>
        <v>782.00730083757276</v>
      </c>
      <c r="DT82" s="59">
        <f ca="1">AVERAGE(OFFSET($DS$3,0,0,'Données projet'!$E$14+1,1))-AVERAGE(OFFSET($H$3,0,0,'Données projet'!$E$14+1,1))</f>
        <v>203.34232675618244</v>
      </c>
      <c r="DU82" s="59">
        <f t="shared" si="98"/>
        <v>176.81257896138806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44.305146364272424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44.305146364272424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2.8421709430404007E-14</v>
      </c>
      <c r="EK82" s="17">
        <f>EJ82*VLOOKUP('Données projet'!$B$15,Paramètres!$A$1:$I$89,3,0)*VLOOKUP('Données projet'!$B$15,Paramètres!$A$1:$I$89,5,0)</f>
        <v>2.7489477361086758E-14</v>
      </c>
      <c r="EL82" s="13">
        <f t="shared" si="99"/>
        <v>4.7995394886724981E-13</v>
      </c>
      <c r="EM82" s="20">
        <f t="shared" si="73"/>
        <v>8.8379730068101964E-13</v>
      </c>
      <c r="EN82" s="59">
        <f t="shared" si="74"/>
        <v>293.33333333333422</v>
      </c>
      <c r="EO82" s="59">
        <f ca="1">AVERAGE(OFFSET($EN$3,0,0,'Données projet'!$E$15+1,1))-AVERAGE(OFFSET($H$3,0,0,'Données projet'!$E$15+1,1))</f>
        <v>218.78765033569107</v>
      </c>
      <c r="EP82" s="59">
        <f t="shared" si="100"/>
        <v>246.54010105494137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>
        <f>FE82*VLOOKUP('Données projet'!$B$16,Paramètres!$A$1:$I$89,3,0)*VLOOKUP('Données projet'!$B$16,Paramètres!$A$1:$I$89,5,0)</f>
        <v>0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170.80796812111521</v>
      </c>
      <c r="FK82" s="59">
        <f t="shared" si="102"/>
        <v>249.84047400410321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0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333.02360594713667</v>
      </c>
      <c r="T83" s="59">
        <f t="shared" si="88"/>
        <v>546.58234447298014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86.505460491058329</v>
      </c>
      <c r="AA83" s="21">
        <f>EXP(-LN(2)/25)*AA82+(1-EXP(-LN(2)/25))/(LN(2)/25)*Calculateur!V83*Calculateur!X83*VLOOKUP('Données projet'!$B$9,Paramètres!$A$1:$I$89,3,0)*0.475*44/12</f>
        <v>33.473400873642532</v>
      </c>
      <c r="AB83" s="21">
        <f>EXP(-LN(2)/2)*AB82+(1-EXP(-LN(2)/2))/(LN(2)/2)*V83*Y83*VLOOKUP('Données projet'!$B$9,Paramètres!$A$1:$I$89,3,0)*0.475*44/12</f>
        <v>2.2329035750095908E-4</v>
      </c>
      <c r="AC83" s="22">
        <f t="shared" si="57"/>
        <v>119.97908465505836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270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269.99999999999989</v>
      </c>
      <c r="AJ83" s="13">
        <f>AI83*VLOOKUP('Données projet'!$B$10,Paramètres!$A$1:$I$89,3,0)*VLOOKUP('Données projet'!$B$10,Paramètres!$A$1:$I$89,5,0)</f>
        <v>235.87199999999996</v>
      </c>
      <c r="AK83" s="13">
        <f t="shared" si="89"/>
        <v>57.550476347015277</v>
      </c>
      <c r="AL83" s="20">
        <f t="shared" si="58"/>
        <v>511.04414630438487</v>
      </c>
      <c r="AM83" s="59">
        <f t="shared" si="59"/>
        <v>804.37747963771812</v>
      </c>
      <c r="AN83" s="59">
        <f ca="1">AVERAGE(OFFSET($AM$3,0,0,'Données projet'!$E$10+1,1))-AVERAGE(OFFSET($H$3,0,0,'Données projet'!$E$10+1,1))</f>
        <v>243.26825841283591</v>
      </c>
      <c r="AO83" s="59">
        <f t="shared" si="90"/>
        <v>179.2944312100729</v>
      </c>
      <c r="AP83" s="15">
        <f>IF(ISNA(VLOOKUP(A83,'Données projet'!$A$61:$I$81,3,0)),0,VLOOKUP(A83,'Données projet'!$A$61:$I$81,3,0))</f>
        <v>11</v>
      </c>
      <c r="AQ83" s="15">
        <f>IF(ISNA(VLOOKUP(A83,'Données projet'!$A$61:$I$81,4,0)),0,VLOOKUP(A83,'Données projet'!$A$61:$I$81,4,0))</f>
        <v>270</v>
      </c>
      <c r="AR83" s="16">
        <f>IF(ISNA(VLOOKUP(A83,'Données projet'!$A$61:$I$81,5,0)),0%,VLOOKUP(A83,'Données projet'!$A$61:$I$81,5,0)*VLOOKUP('Données projet'!$B$10,Paramètres!$A$1:$I$89,7,0))</f>
        <v>0.34400000000000003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116.03175814162802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116.03175814162802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-5.6843418860808015E-14</v>
      </c>
      <c r="BE83" s="13">
        <f>BD83*VLOOKUP('Données projet'!$B$11,Paramètres!$A$1:$I$89,3,0)*VLOOKUP('Données projet'!$B$11,Paramètres!$A$1:$I$89,5,0)</f>
        <v>-4.1677594708744434E-14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146.45728988963538</v>
      </c>
      <c r="BJ83" s="59">
        <f t="shared" si="92"/>
        <v>156.91778940341118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48.681405695103486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48.681405695103486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-4.0000000000001137</v>
      </c>
      <c r="BZ83" s="13">
        <f>BY83*VLOOKUP('Données projet'!$B$12,Paramètres!$A$1:$I$89,3,0)*VLOOKUP('Données projet'!$B$12,Paramètres!$A$1:$I$89,5,0)</f>
        <v>-3.1824000000000909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238.71022302719206</v>
      </c>
      <c r="CE83" s="59">
        <f t="shared" si="94"/>
        <v>294.28794439094878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80.984280060789587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80.984280060789587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-1.1368683772161603E-13</v>
      </c>
      <c r="CU83" s="17">
        <f>CT83*VLOOKUP('Données projet'!$B$13,Paramètres!$A$1:$I$89,3,0)*VLOOKUP('Données projet'!$B$13,Paramètres!$A$1:$I$89,5,0)</f>
        <v>-9.0449248091317723E-14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238.71022302719206</v>
      </c>
      <c r="CZ83" s="59">
        <f t="shared" si="96"/>
        <v>294.28794439094878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79.980472199821051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79.980472199821051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270</v>
      </c>
      <c r="DM83" s="12">
        <f>VLOOKUP(A83,'Données projet'!$A$165:$I$185,9,0)</f>
        <v>7.4</v>
      </c>
      <c r="DN83" s="12">
        <f t="array" ref="DN83">INDEX(DM:DM,MIN(IF(ISNUMBER(DM83:DM279),ROW(DM83:DM279),"")))</f>
        <v>7.4</v>
      </c>
      <c r="DO83" s="12">
        <f>IF('Données projet'!$A$166&gt;35,DO82+DN83-DW82,IF(A83&lt;'Données projet'!$A$166,$DL$205^A83,IF(A83='Données projet'!$A$166,'Données projet'!$B$166,DO82+DN83-DW82)))</f>
        <v>269.99999999999989</v>
      </c>
      <c r="DP83" s="17">
        <f>DO83*VLOOKUP('Données projet'!$B$14,Paramètres!$A$1:$I$89,3,0)*VLOOKUP('Données projet'!$B$14,Paramètres!$A$1:$I$89,5,0)</f>
        <v>231.65999999999991</v>
      </c>
      <c r="DQ83" s="13">
        <f t="shared" si="97"/>
        <v>56.641461975682766</v>
      </c>
      <c r="DR83" s="20">
        <f t="shared" si="70"/>
        <v>502.125046274314</v>
      </c>
      <c r="DS83" s="59">
        <f t="shared" si="71"/>
        <v>795.45837960764732</v>
      </c>
      <c r="DT83" s="59">
        <f ca="1">AVERAGE(OFFSET($DS$3,0,0,'Données projet'!$E$14+1,1))-AVERAGE(OFFSET($H$3,0,0,'Données projet'!$E$14+1,1))</f>
        <v>203.34232675618244</v>
      </c>
      <c r="DU83" s="59">
        <f t="shared" si="98"/>
        <v>176.81257896138806</v>
      </c>
      <c r="DV83" s="15">
        <f>IF(ISNA(VLOOKUP(A83,'Données projet'!$A$165:$I$185,3,0)),0,VLOOKUP(A83,'Données projet'!$A$165:$I$185,3,0))</f>
        <v>11</v>
      </c>
      <c r="DW83" s="15">
        <f>IF(ISNA(VLOOKUP(A83,'Données projet'!$A$165:$I$185,4,0)),0,VLOOKUP(A83,'Données projet'!$A$165:$I$185,4,0))</f>
        <v>270</v>
      </c>
      <c r="DX83" s="16">
        <f>IF(ISNA(VLOOKUP(A83,'Données projet'!$A$165:$I$185,5,0)),0%,VLOOKUP(A83,'Données projet'!$A$165:$I$185,5,0)*VLOOKUP('Données projet'!$B$14,Paramètres!$A$1:$I$89,7,0))</f>
        <v>0.42400000000000004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152.01989515152377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152.01989515152377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2.8421709430404007E-14</v>
      </c>
      <c r="EK83" s="17">
        <f>EJ83*VLOOKUP('Données projet'!$B$15,Paramètres!$A$1:$I$89,3,0)*VLOOKUP('Données projet'!$B$15,Paramètres!$A$1:$I$89,5,0)</f>
        <v>2.7489477361086758E-14</v>
      </c>
      <c r="EL83" s="13">
        <f t="shared" si="99"/>
        <v>4.7995394886724981E-13</v>
      </c>
      <c r="EM83" s="20">
        <f t="shared" si="73"/>
        <v>8.8379730068101964E-13</v>
      </c>
      <c r="EN83" s="59">
        <f t="shared" si="74"/>
        <v>293.33333333333422</v>
      </c>
      <c r="EO83" s="59">
        <f ca="1">AVERAGE(OFFSET($EN$3,0,0,'Données projet'!$E$15+1,1))-AVERAGE(OFFSET($H$3,0,0,'Données projet'!$E$15+1,1))</f>
        <v>218.78765033569107</v>
      </c>
      <c r="EP83" s="59">
        <f t="shared" si="100"/>
        <v>246.54010105494137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>
        <f>FE83*VLOOKUP('Données projet'!$B$16,Paramètres!$A$1:$I$89,3,0)*VLOOKUP('Données projet'!$B$16,Paramètres!$A$1:$I$89,5,0)</f>
        <v>0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170.80796812111521</v>
      </c>
      <c r="FK83" s="59">
        <f t="shared" si="102"/>
        <v>249.84047400410321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0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333.02360594713667</v>
      </c>
      <c r="T84" s="59">
        <f t="shared" si="88"/>
        <v>546.58234447298014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84.809141173949655</v>
      </c>
      <c r="AA84" s="21">
        <f>EXP(-LN(2)/25)*AA83+(1-EXP(-LN(2)/25))/(LN(2)/25)*Calculateur!V84*Calculateur!X84*VLOOKUP('Données projet'!$B$9,Paramètres!$A$1:$I$89,3,0)*0.475*44/12</f>
        <v>32.558068966463132</v>
      </c>
      <c r="AB84" s="21">
        <f>EXP(-LN(2)/2)*AB83+(1-EXP(-LN(2)/2))/(LN(2)/2)*V84*Y84*VLOOKUP('Données projet'!$B$9,Paramètres!$A$1:$I$89,3,0)*0.475*44/12</f>
        <v>1.5789012596249664E-4</v>
      </c>
      <c r="AC84" s="22">
        <f t="shared" si="57"/>
        <v>117.36736803053876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-9.9316821433603781E-14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243.26825841283591</v>
      </c>
      <c r="AO84" s="59">
        <f t="shared" si="90"/>
        <v>179.2944312100729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113.75644613685496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113.75644613685496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-5.6843418860808015E-14</v>
      </c>
      <c r="BE84" s="13">
        <f>BD84*VLOOKUP('Données projet'!$B$11,Paramètres!$A$1:$I$89,3,0)*VLOOKUP('Données projet'!$B$11,Paramètres!$A$1:$I$89,5,0)</f>
        <v>-4.1677594708744434E-14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146.45728988963538</v>
      </c>
      <c r="BJ84" s="59">
        <f t="shared" si="92"/>
        <v>156.91778940341118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47.726793022148065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47.726793022148065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-4.0000000000001137</v>
      </c>
      <c r="BZ84" s="13">
        <f>BY84*VLOOKUP('Données projet'!$B$12,Paramètres!$A$1:$I$89,3,0)*VLOOKUP('Données projet'!$B$12,Paramètres!$A$1:$I$89,5,0)</f>
        <v>-3.1824000000000909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238.71022302719206</v>
      </c>
      <c r="CE84" s="59">
        <f t="shared" si="94"/>
        <v>294.28794439094878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79.396227724330942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79.396227724330942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-1.1368683772161603E-13</v>
      </c>
      <c r="CU84" s="17">
        <f>CT84*VLOOKUP('Données projet'!$B$13,Paramètres!$A$1:$I$89,3,0)*VLOOKUP('Données projet'!$B$13,Paramètres!$A$1:$I$89,5,0)</f>
        <v>-9.0449248091317723E-14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238.71022302719206</v>
      </c>
      <c r="CZ84" s="59">
        <f t="shared" si="96"/>
        <v>294.28794439094878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78.412103923253653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78.412103923253653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-1.1368683772161603E-13</v>
      </c>
      <c r="DP84" s="17">
        <f>DO84*VLOOKUP('Données projet'!$B$14,Paramètres!$A$1:$I$89,3,0)*VLOOKUP('Données projet'!$B$14,Paramètres!$A$1:$I$89,5,0)</f>
        <v>-9.7543306765146564E-14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203.34232675618244</v>
      </c>
      <c r="DU84" s="59">
        <f t="shared" si="98"/>
        <v>176.81257896138806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149.03887773058278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149.03887773058278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2.8421709430404007E-14</v>
      </c>
      <c r="EK84" s="17">
        <f>EJ84*VLOOKUP('Données projet'!$B$15,Paramètres!$A$1:$I$89,3,0)*VLOOKUP('Données projet'!$B$15,Paramètres!$A$1:$I$89,5,0)</f>
        <v>2.7489477361086758E-14</v>
      </c>
      <c r="EL84" s="13">
        <f t="shared" si="99"/>
        <v>4.7995394886724981E-13</v>
      </c>
      <c r="EM84" s="20">
        <f t="shared" si="73"/>
        <v>8.8379730068101964E-13</v>
      </c>
      <c r="EN84" s="59">
        <f t="shared" si="74"/>
        <v>293.33333333333422</v>
      </c>
      <c r="EO84" s="59">
        <f ca="1">AVERAGE(OFFSET($EN$3,0,0,'Données projet'!$E$15+1,1))-AVERAGE(OFFSET($H$3,0,0,'Données projet'!$E$15+1,1))</f>
        <v>218.78765033569107</v>
      </c>
      <c r="EP84" s="59">
        <f t="shared" si="100"/>
        <v>246.54010105494137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170.80796812111521</v>
      </c>
      <c r="FK84" s="59">
        <f t="shared" si="102"/>
        <v>249.84047400410321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0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333.02360594713667</v>
      </c>
      <c r="T85" s="59">
        <f t="shared" si="88"/>
        <v>546.58234447298014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83.146085643996855</v>
      </c>
      <c r="AA85" s="21">
        <f>EXP(-LN(2)/25)*AA84+(1-EXP(-LN(2)/25))/(LN(2)/25)*Calculateur!V85*Calculateur!X85*VLOOKUP('Données projet'!$B$9,Paramètres!$A$1:$I$89,3,0)*0.475*44/12</f>
        <v>31.667766858420762</v>
      </c>
      <c r="AB85" s="21">
        <f>EXP(-LN(2)/2)*AB84+(1-EXP(-LN(2)/2))/(LN(2)/2)*V85*Y85*VLOOKUP('Données projet'!$B$9,Paramètres!$A$1:$I$89,3,0)*0.475*44/12</f>
        <v>1.1164517875047954E-4</v>
      </c>
      <c r="AC85" s="22">
        <f t="shared" si="57"/>
        <v>114.81396414759637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-9.9316821433603781E-14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243.26825841283591</v>
      </c>
      <c r="AO85" s="59">
        <f t="shared" si="90"/>
        <v>179.2944312100729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111.52575161269222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111.52575161269222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-5.6843418860808015E-14</v>
      </c>
      <c r="BE85" s="13">
        <f>BD85*VLOOKUP('Données projet'!$B$11,Paramètres!$A$1:$I$89,3,0)*VLOOKUP('Données projet'!$B$11,Paramètres!$A$1:$I$89,5,0)</f>
        <v>-4.1677594708744434E-14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146.45728988963538</v>
      </c>
      <c r="BJ85" s="59">
        <f t="shared" si="92"/>
        <v>156.91778940341118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46.790899721453066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46.790899721453066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-4.0000000000001137</v>
      </c>
      <c r="BZ85" s="13">
        <f>BY85*VLOOKUP('Données projet'!$B$12,Paramètres!$A$1:$I$89,3,0)*VLOOKUP('Données projet'!$B$12,Paramètres!$A$1:$I$89,5,0)</f>
        <v>-3.1824000000000909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238.71022302719206</v>
      </c>
      <c r="CE85" s="59">
        <f t="shared" si="94"/>
        <v>294.28794439094878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77.839316125573959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77.839316125573959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-1.1368683772161603E-13</v>
      </c>
      <c r="CU85" s="17">
        <f>CT85*VLOOKUP('Données projet'!$B$13,Paramètres!$A$1:$I$89,3,0)*VLOOKUP('Données projet'!$B$13,Paramètres!$A$1:$I$89,5,0)</f>
        <v>-9.0449248091317723E-14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238.71022302719206</v>
      </c>
      <c r="CZ85" s="59">
        <f t="shared" si="96"/>
        <v>294.28794439094878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76.874490391979549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76.874490391979549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-1.1368683772161603E-13</v>
      </c>
      <c r="DP85" s="17">
        <f>DO85*VLOOKUP('Données projet'!$B$14,Paramètres!$A$1:$I$89,3,0)*VLOOKUP('Données projet'!$B$14,Paramètres!$A$1:$I$89,5,0)</f>
        <v>-9.7543306765146564E-14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203.34232675618244</v>
      </c>
      <c r="DU85" s="59">
        <f t="shared" si="98"/>
        <v>176.81257896138806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146.11631624302538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146.11631624302538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2.8421709430404007E-14</v>
      </c>
      <c r="EK85" s="17">
        <f>EJ85*VLOOKUP('Données projet'!$B$15,Paramètres!$A$1:$I$89,3,0)*VLOOKUP('Données projet'!$B$15,Paramètres!$A$1:$I$89,5,0)</f>
        <v>2.7489477361086758E-14</v>
      </c>
      <c r="EL85" s="13">
        <f t="shared" si="99"/>
        <v>4.7995394886724981E-13</v>
      </c>
      <c r="EM85" s="20">
        <f t="shared" si="73"/>
        <v>8.8379730068101964E-13</v>
      </c>
      <c r="EN85" s="59">
        <f t="shared" si="74"/>
        <v>293.33333333333422</v>
      </c>
      <c r="EO85" s="59">
        <f ca="1">AVERAGE(OFFSET($EN$3,0,0,'Données projet'!$E$15+1,1))-AVERAGE(OFFSET($H$3,0,0,'Données projet'!$E$15+1,1))</f>
        <v>218.78765033569107</v>
      </c>
      <c r="EP85" s="59">
        <f t="shared" si="100"/>
        <v>246.54010105494137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170.80796812111521</v>
      </c>
      <c r="FK85" s="59">
        <f t="shared" si="102"/>
        <v>249.84047400410321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0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333.02360594713667</v>
      </c>
      <c r="T86" s="59">
        <f t="shared" si="88"/>
        <v>546.58234447298014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81.515641618622723</v>
      </c>
      <c r="AA86" s="21">
        <f>EXP(-LN(2)/25)*AA85+(1-EXP(-LN(2)/25))/(LN(2)/25)*Calculateur!V86*Calculateur!X86*VLOOKUP('Données projet'!$B$9,Paramètres!$A$1:$I$89,3,0)*0.475*44/12</f>
        <v>30.801810108341765</v>
      </c>
      <c r="AB86" s="21">
        <f>EXP(-LN(2)/2)*AB85+(1-EXP(-LN(2)/2))/(LN(2)/2)*V86*Y86*VLOOKUP('Données projet'!$B$9,Paramètres!$A$1:$I$89,3,0)*0.475*44/12</f>
        <v>7.894506298124832E-5</v>
      </c>
      <c r="AC86" s="22">
        <f t="shared" si="57"/>
        <v>112.31753067202747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-9.9316821433603781E-14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243.26825841283591</v>
      </c>
      <c r="AO86" s="59">
        <f t="shared" si="90"/>
        <v>179.2944312100729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109.338799647559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109.338799647559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-5.6843418860808015E-14</v>
      </c>
      <c r="BE86" s="13">
        <f>BD86*VLOOKUP('Données projet'!$B$11,Paramètres!$A$1:$I$89,3,0)*VLOOKUP('Données projet'!$B$11,Paramètres!$A$1:$I$89,5,0)</f>
        <v>-4.1677594708744434E-14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146.45728988963538</v>
      </c>
      <c r="BJ86" s="59">
        <f t="shared" si="92"/>
        <v>156.91778940341118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45.873358717546147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45.873358717546147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-4.0000000000001137</v>
      </c>
      <c r="BZ86" s="13">
        <f>BY86*VLOOKUP('Données projet'!$B$12,Paramètres!$A$1:$I$89,3,0)*VLOOKUP('Données projet'!$B$12,Paramètres!$A$1:$I$89,5,0)</f>
        <v>-3.1824000000000909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238.71022302719206</v>
      </c>
      <c r="CE86" s="59">
        <f t="shared" si="94"/>
        <v>294.28794439094878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76.312934613646291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76.312934613646291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-1.1368683772161603E-13</v>
      </c>
      <c r="CU86" s="17">
        <f>CT86*VLOOKUP('Données projet'!$B$13,Paramètres!$A$1:$I$89,3,0)*VLOOKUP('Données projet'!$B$13,Paramètres!$A$1:$I$89,5,0)</f>
        <v>-9.0449248091317723E-14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238.71022302719206</v>
      </c>
      <c r="CZ86" s="59">
        <f t="shared" si="96"/>
        <v>294.28794439094878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75.367028524202084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75.367028524202084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-1.1368683772161603E-13</v>
      </c>
      <c r="DP86" s="17">
        <f>DO86*VLOOKUP('Données projet'!$B$14,Paramètres!$A$1:$I$89,3,0)*VLOOKUP('Données projet'!$B$14,Paramètres!$A$1:$I$89,5,0)</f>
        <v>-9.7543306765146564E-14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203.34232675618244</v>
      </c>
      <c r="DU86" s="59">
        <f t="shared" si="98"/>
        <v>176.81257896138806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143.25106440365249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143.25106440365249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2.8421709430404007E-14</v>
      </c>
      <c r="EK86" s="17">
        <f>EJ86*VLOOKUP('Données projet'!$B$15,Paramètres!$A$1:$I$89,3,0)*VLOOKUP('Données projet'!$B$15,Paramètres!$A$1:$I$89,5,0)</f>
        <v>2.7489477361086758E-14</v>
      </c>
      <c r="EL86" s="13">
        <f t="shared" si="99"/>
        <v>4.7995394886724981E-13</v>
      </c>
      <c r="EM86" s="20">
        <f t="shared" si="73"/>
        <v>8.8379730068101964E-13</v>
      </c>
      <c r="EN86" s="59">
        <f t="shared" si="74"/>
        <v>293.33333333333422</v>
      </c>
      <c r="EO86" s="59">
        <f ca="1">AVERAGE(OFFSET($EN$3,0,0,'Données projet'!$E$15+1,1))-AVERAGE(OFFSET($H$3,0,0,'Données projet'!$E$15+1,1))</f>
        <v>218.78765033569107</v>
      </c>
      <c r="EP86" s="59">
        <f t="shared" si="100"/>
        <v>246.54010105494137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170.80796812111521</v>
      </c>
      <c r="FK86" s="59">
        <f t="shared" si="102"/>
        <v>249.84047400410321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0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333.02360594713667</v>
      </c>
      <c r="T87" s="59">
        <f t="shared" si="88"/>
        <v>546.58234447298014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79.917169606113518</v>
      </c>
      <c r="AA87" s="21">
        <f>EXP(-LN(2)/25)*AA86+(1-EXP(-LN(2)/25))/(LN(2)/25)*Calculateur!V87*Calculateur!X87*VLOOKUP('Données projet'!$B$9,Paramètres!$A$1:$I$89,3,0)*0.475*44/12</f>
        <v>29.959532991132363</v>
      </c>
      <c r="AB87" s="21">
        <f>EXP(-LN(2)/2)*AB86+(1-EXP(-LN(2)/2))/(LN(2)/2)*V87*Y87*VLOOKUP('Données projet'!$B$9,Paramètres!$A$1:$I$89,3,0)*0.475*44/12</f>
        <v>5.582258937523977E-5</v>
      </c>
      <c r="AC87" s="22">
        <f t="shared" si="57"/>
        <v>109.87675841983526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-9.9316821433603781E-14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243.26825841283591</v>
      </c>
      <c r="AO87" s="59">
        <f t="shared" si="90"/>
        <v>179.2944312100729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107.19473247655306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107.19473247655306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-5.6843418860808015E-14</v>
      </c>
      <c r="BE87" s="13">
        <f>BD87*VLOOKUP('Données projet'!$B$11,Paramètres!$A$1:$I$89,3,0)*VLOOKUP('Données projet'!$B$11,Paramètres!$A$1:$I$89,5,0)</f>
        <v>-4.1677594708744434E-14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146.45728988963538</v>
      </c>
      <c r="BJ87" s="59">
        <f t="shared" si="92"/>
        <v>156.91778940341118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44.973810133081088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44.973810133081088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-4.0000000000001137</v>
      </c>
      <c r="BZ87" s="13">
        <f>BY87*VLOOKUP('Données projet'!$B$12,Paramètres!$A$1:$I$89,3,0)*VLOOKUP('Données projet'!$B$12,Paramètres!$A$1:$I$89,5,0)</f>
        <v>-3.1824000000000909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238.71022302719206</v>
      </c>
      <c r="CE87" s="59">
        <f t="shared" si="94"/>
        <v>294.28794439094878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74.816484512166738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74.816484512166738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-1.1368683772161603E-13</v>
      </c>
      <c r="CU87" s="17">
        <f>CT87*VLOOKUP('Données projet'!$B$13,Paramètres!$A$1:$I$89,3,0)*VLOOKUP('Données projet'!$B$13,Paramètres!$A$1:$I$89,5,0)</f>
        <v>-9.0449248091317723E-14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238.71022302719206</v>
      </c>
      <c r="CZ87" s="59">
        <f t="shared" si="96"/>
        <v>294.28794439094878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73.889127064190788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73.889127064190788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-1.1368683772161603E-13</v>
      </c>
      <c r="DP87" s="17">
        <f>DO87*VLOOKUP('Données projet'!$B$14,Paramètres!$A$1:$I$89,3,0)*VLOOKUP('Données projet'!$B$14,Paramètres!$A$1:$I$89,5,0)</f>
        <v>-9.7543306765146564E-14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203.34232675618244</v>
      </c>
      <c r="DU87" s="59">
        <f t="shared" si="98"/>
        <v>176.81257896138806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140.44199840521864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140.44199840521864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2.8421709430404007E-14</v>
      </c>
      <c r="EK87" s="17">
        <f>EJ87*VLOOKUP('Données projet'!$B$15,Paramètres!$A$1:$I$89,3,0)*VLOOKUP('Données projet'!$B$15,Paramètres!$A$1:$I$89,5,0)</f>
        <v>2.7489477361086758E-14</v>
      </c>
      <c r="EL87" s="13">
        <f t="shared" si="99"/>
        <v>4.7995394886724981E-13</v>
      </c>
      <c r="EM87" s="20">
        <f t="shared" si="73"/>
        <v>8.8379730068101964E-13</v>
      </c>
      <c r="EN87" s="59">
        <f t="shared" si="74"/>
        <v>293.33333333333422</v>
      </c>
      <c r="EO87" s="59">
        <f ca="1">AVERAGE(OFFSET($EN$3,0,0,'Données projet'!$E$15+1,1))-AVERAGE(OFFSET($H$3,0,0,'Données projet'!$E$15+1,1))</f>
        <v>218.78765033569107</v>
      </c>
      <c r="EP87" s="59">
        <f t="shared" si="100"/>
        <v>246.54010105494137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170.80796812111521</v>
      </c>
      <c r="FK87" s="59">
        <f t="shared" si="102"/>
        <v>249.84047400410321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0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333.02360594713667</v>
      </c>
      <c r="T88" s="59">
        <f t="shared" si="88"/>
        <v>546.58234447298014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78.35004265479796</v>
      </c>
      <c r="AA88" s="21">
        <f>EXP(-LN(2)/25)*AA87+(1-EXP(-LN(2)/25))/(LN(2)/25)*Calculateur!V88*Calculateur!X88*VLOOKUP('Données projet'!$B$9,Paramètres!$A$1:$I$89,3,0)*0.475*44/12</f>
        <v>29.140287985986483</v>
      </c>
      <c r="AB88" s="21">
        <f>EXP(-LN(2)/2)*AB87+(1-EXP(-LN(2)/2))/(LN(2)/2)*V88*Y88*VLOOKUP('Données projet'!$B$9,Paramètres!$A$1:$I$89,3,0)*0.475*44/12</f>
        <v>3.947253149062416E-5</v>
      </c>
      <c r="AC88" s="22">
        <f t="shared" si="57"/>
        <v>107.49037011331593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-9.9316821433603781E-14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243.26825841283591</v>
      </c>
      <c r="AO88" s="59">
        <f t="shared" si="90"/>
        <v>179.2944312100729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105.0927091550187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105.0927091550187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-5.6843418860808015E-14</v>
      </c>
      <c r="BE88" s="13">
        <f>BD88*VLOOKUP('Données projet'!$B$11,Paramètres!$A$1:$I$89,3,0)*VLOOKUP('Données projet'!$B$11,Paramètres!$A$1:$I$89,5,0)</f>
        <v>-4.1677594708744434E-14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146.45728988963538</v>
      </c>
      <c r="BJ88" s="59">
        <f t="shared" si="92"/>
        <v>156.91778940341118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44.091901147686933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44.091901147686933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-4.0000000000001137</v>
      </c>
      <c r="BZ88" s="13">
        <f>BY88*VLOOKUP('Données projet'!$B$12,Paramètres!$A$1:$I$89,3,0)*VLOOKUP('Données projet'!$B$12,Paramètres!$A$1:$I$89,5,0)</f>
        <v>-3.1824000000000909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238.71022302719206</v>
      </c>
      <c r="CE88" s="59">
        <f t="shared" si="94"/>
        <v>294.28794439094878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73.349378884432767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73.349378884432767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-1.1368683772161603E-13</v>
      </c>
      <c r="CU88" s="17">
        <f>CT88*VLOOKUP('Données projet'!$B$13,Paramètres!$A$1:$I$89,3,0)*VLOOKUP('Données projet'!$B$13,Paramètres!$A$1:$I$89,5,0)</f>
        <v>-9.0449248091317723E-14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238.71022302719206</v>
      </c>
      <c r="CZ88" s="59">
        <f t="shared" si="96"/>
        <v>294.28794439094878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72.440206350379427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72.440206350379427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-1.1368683772161603E-13</v>
      </c>
      <c r="DP88" s="17">
        <f>DO88*VLOOKUP('Données projet'!$B$14,Paramètres!$A$1:$I$89,3,0)*VLOOKUP('Données projet'!$B$14,Paramètres!$A$1:$I$89,5,0)</f>
        <v>-9.7543306765146564E-14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203.34232675618244</v>
      </c>
      <c r="DU88" s="59">
        <f t="shared" si="98"/>
        <v>176.81257896138806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137.68801647765298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137.68801647765298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2.8421709430404007E-14</v>
      </c>
      <c r="EK88" s="17">
        <f>EJ88*VLOOKUP('Données projet'!$B$15,Paramètres!$A$1:$I$89,3,0)*VLOOKUP('Données projet'!$B$15,Paramètres!$A$1:$I$89,5,0)</f>
        <v>2.7489477361086758E-14</v>
      </c>
      <c r="EL88" s="13">
        <f t="shared" si="99"/>
        <v>4.7995394886724981E-13</v>
      </c>
      <c r="EM88" s="20">
        <f t="shared" si="73"/>
        <v>8.8379730068101964E-13</v>
      </c>
      <c r="EN88" s="59">
        <f t="shared" si="74"/>
        <v>293.33333333333422</v>
      </c>
      <c r="EO88" s="59">
        <f ca="1">AVERAGE(OFFSET($EN$3,0,0,'Données projet'!$E$15+1,1))-AVERAGE(OFFSET($H$3,0,0,'Données projet'!$E$15+1,1))</f>
        <v>218.78765033569107</v>
      </c>
      <c r="EP88" s="59">
        <f t="shared" si="100"/>
        <v>246.54010105494137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170.80796812111521</v>
      </c>
      <c r="FK88" s="59">
        <f t="shared" si="102"/>
        <v>249.84047400410321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0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333.02360594713667</v>
      </c>
      <c r="T89" s="59">
        <f t="shared" si="88"/>
        <v>546.58234447298014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76.813646107144635</v>
      </c>
      <c r="AA89" s="21">
        <f>EXP(-LN(2)/25)*AA88+(1-EXP(-LN(2)/25))/(LN(2)/25)*Calculateur!V89*Calculateur!X89*VLOOKUP('Données projet'!$B$9,Paramètres!$A$1:$I$89,3,0)*0.475*44/12</f>
        <v>28.343445278588536</v>
      </c>
      <c r="AB89" s="21">
        <f>EXP(-LN(2)/2)*AB88+(1-EXP(-LN(2)/2))/(LN(2)/2)*V89*Y89*VLOOKUP('Données projet'!$B$9,Paramètres!$A$1:$I$89,3,0)*0.475*44/12</f>
        <v>2.7911294687619885E-5</v>
      </c>
      <c r="AC89" s="22">
        <f t="shared" si="57"/>
        <v>105.15711929702786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-9.9316821433603781E-14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243.26825841283591</v>
      </c>
      <c r="AO89" s="59">
        <f t="shared" si="90"/>
        <v>179.2944312100729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103.03190522871199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103.03190522871199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-5.6843418860808015E-14</v>
      </c>
      <c r="BE89" s="13">
        <f>BD89*VLOOKUP('Données projet'!$B$11,Paramètres!$A$1:$I$89,3,0)*VLOOKUP('Données projet'!$B$11,Paramètres!$A$1:$I$89,5,0)</f>
        <v>-4.1677594708744434E-14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146.45728988963538</v>
      </c>
      <c r="BJ89" s="59">
        <f t="shared" si="92"/>
        <v>156.91778940341118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43.227285859584988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43.227285859584988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-4.0000000000001137</v>
      </c>
      <c r="BZ89" s="13">
        <f>BY89*VLOOKUP('Données projet'!$B$12,Paramètres!$A$1:$I$89,3,0)*VLOOKUP('Données projet'!$B$12,Paramètres!$A$1:$I$89,5,0)</f>
        <v>-3.1824000000000909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238.71022302719206</v>
      </c>
      <c r="CE89" s="59">
        <f t="shared" si="94"/>
        <v>294.28794439094878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71.911042303212582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71.911042303212582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-1.1368683772161603E-13</v>
      </c>
      <c r="CU89" s="17">
        <f>CT89*VLOOKUP('Données projet'!$B$13,Paramètres!$A$1:$I$89,3,0)*VLOOKUP('Données projet'!$B$13,Paramètres!$A$1:$I$89,5,0)</f>
        <v>-9.0449248091317723E-14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238.71022302719206</v>
      </c>
      <c r="CZ89" s="59">
        <f t="shared" si="96"/>
        <v>294.28794439094878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71.019698088011538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71.019698088011538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-1.1368683772161603E-13</v>
      </c>
      <c r="DP89" s="17">
        <f>DO89*VLOOKUP('Données projet'!$B$14,Paramètres!$A$1:$I$89,3,0)*VLOOKUP('Données projet'!$B$14,Paramètres!$A$1:$I$89,5,0)</f>
        <v>-9.7543306765146564E-14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203.34232675618244</v>
      </c>
      <c r="DU89" s="59">
        <f t="shared" si="98"/>
        <v>176.81257896138806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134.98803845592377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134.98803845592377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2.8421709430404007E-14</v>
      </c>
      <c r="EK89" s="17">
        <f>EJ89*VLOOKUP('Données projet'!$B$15,Paramètres!$A$1:$I$89,3,0)*VLOOKUP('Données projet'!$B$15,Paramètres!$A$1:$I$89,5,0)</f>
        <v>2.7489477361086758E-14</v>
      </c>
      <c r="EL89" s="13">
        <f t="shared" si="99"/>
        <v>4.7995394886724981E-13</v>
      </c>
      <c r="EM89" s="20">
        <f t="shared" si="73"/>
        <v>8.8379730068101964E-13</v>
      </c>
      <c r="EN89" s="59">
        <f t="shared" si="74"/>
        <v>293.33333333333422</v>
      </c>
      <c r="EO89" s="59">
        <f ca="1">AVERAGE(OFFSET($EN$3,0,0,'Données projet'!$E$15+1,1))-AVERAGE(OFFSET($H$3,0,0,'Données projet'!$E$15+1,1))</f>
        <v>218.78765033569107</v>
      </c>
      <c r="EP89" s="59">
        <f t="shared" si="100"/>
        <v>246.54010105494137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170.80796812111521</v>
      </c>
      <c r="FK89" s="59">
        <f t="shared" si="102"/>
        <v>249.84047400410321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0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333.02360594713667</v>
      </c>
      <c r="T90" s="59">
        <f t="shared" si="88"/>
        <v>546.58234447298014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75.307377358681435</v>
      </c>
      <c r="AA90" s="21">
        <f>EXP(-LN(2)/25)*AA89+(1-EXP(-LN(2)/25))/(LN(2)/25)*Calculateur!V90*Calculateur!X90*VLOOKUP('Données projet'!$B$9,Paramètres!$A$1:$I$89,3,0)*0.475*44/12</f>
        <v>27.568392276928524</v>
      </c>
      <c r="AB90" s="21">
        <f>EXP(-LN(2)/2)*AB89+(1-EXP(-LN(2)/2))/(LN(2)/2)*V90*Y90*VLOOKUP('Données projet'!$B$9,Paramètres!$A$1:$I$89,3,0)*0.475*44/12</f>
        <v>1.973626574531208E-5</v>
      </c>
      <c r="AC90" s="22">
        <f t="shared" si="57"/>
        <v>102.8757893718757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-9.9316821433603781E-14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243.26825841283591</v>
      </c>
      <c r="AO90" s="59">
        <f t="shared" si="90"/>
        <v>179.2944312100729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101.01151241043388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101.01151241043388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-5.6843418860808015E-14</v>
      </c>
      <c r="BE90" s="13">
        <f>BD90*VLOOKUP('Données projet'!$B$11,Paramètres!$A$1:$I$89,3,0)*VLOOKUP('Données projet'!$B$11,Paramètres!$A$1:$I$89,5,0)</f>
        <v>-4.1677594708744434E-14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146.45728988963538</v>
      </c>
      <c r="BJ90" s="59">
        <f t="shared" si="92"/>
        <v>156.91778940341118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42.37962514991947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42.37962514991947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-4.0000000000001137</v>
      </c>
      <c r="BZ90" s="13">
        <f>BY90*VLOOKUP('Données projet'!$B$12,Paramètres!$A$1:$I$89,3,0)*VLOOKUP('Données projet'!$B$12,Paramètres!$A$1:$I$89,5,0)</f>
        <v>-3.1824000000000909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238.71022302719206</v>
      </c>
      <c r="CE90" s="59">
        <f t="shared" si="94"/>
        <v>294.28794439094878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70.500910625051432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70.500910625051432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-1.1368683772161603E-13</v>
      </c>
      <c r="CU90" s="17">
        <f>CT90*VLOOKUP('Données projet'!$B$13,Paramètres!$A$1:$I$89,3,0)*VLOOKUP('Données projet'!$B$13,Paramètres!$A$1:$I$89,5,0)</f>
        <v>-9.0449248091317723E-14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238.71022302719206</v>
      </c>
      <c r="CZ90" s="59">
        <f t="shared" si="96"/>
        <v>294.28794439094878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69.627045126244198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69.627045126244198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-1.1368683772161603E-13</v>
      </c>
      <c r="DP90" s="17">
        <f>DO90*VLOOKUP('Données projet'!$B$14,Paramètres!$A$1:$I$89,3,0)*VLOOKUP('Données projet'!$B$14,Paramètres!$A$1:$I$89,5,0)</f>
        <v>-9.7543306765146564E-14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203.34232675618244</v>
      </c>
      <c r="DU90" s="59">
        <f t="shared" si="98"/>
        <v>176.81257896138806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132.34100535637671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132.34100535637671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2.8421709430404007E-14</v>
      </c>
      <c r="EK90" s="17">
        <f>EJ90*VLOOKUP('Données projet'!$B$15,Paramètres!$A$1:$I$89,3,0)*VLOOKUP('Données projet'!$B$15,Paramètres!$A$1:$I$89,5,0)</f>
        <v>2.7489477361086758E-14</v>
      </c>
      <c r="EL90" s="13">
        <f t="shared" si="99"/>
        <v>4.7995394886724981E-13</v>
      </c>
      <c r="EM90" s="20">
        <f t="shared" si="73"/>
        <v>8.8379730068101964E-13</v>
      </c>
      <c r="EN90" s="59">
        <f t="shared" si="74"/>
        <v>293.33333333333422</v>
      </c>
      <c r="EO90" s="59">
        <f ca="1">AVERAGE(OFFSET($EN$3,0,0,'Données projet'!$E$15+1,1))-AVERAGE(OFFSET($H$3,0,0,'Données projet'!$E$15+1,1))</f>
        <v>218.78765033569107</v>
      </c>
      <c r="EP90" s="59">
        <f t="shared" si="100"/>
        <v>246.54010105494137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170.80796812111521</v>
      </c>
      <c r="FK90" s="59">
        <f t="shared" si="102"/>
        <v>249.84047400410321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0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333.02360594713667</v>
      </c>
      <c r="T91" s="59">
        <f t="shared" si="88"/>
        <v>546.58234447298014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73.830645621642375</v>
      </c>
      <c r="AA91" s="21">
        <f>EXP(-LN(2)/25)*AA90+(1-EXP(-LN(2)/25))/(LN(2)/25)*Calculateur!V91*Calculateur!X91*VLOOKUP('Données projet'!$B$9,Paramètres!$A$1:$I$89,3,0)*0.475*44/12</f>
        <v>26.81453314035717</v>
      </c>
      <c r="AB91" s="21">
        <f>EXP(-LN(2)/2)*AB90+(1-EXP(-LN(2)/2))/(LN(2)/2)*V91*Y91*VLOOKUP('Données projet'!$B$9,Paramètres!$A$1:$I$89,3,0)*0.475*44/12</f>
        <v>1.3955647343809942E-5</v>
      </c>
      <c r="AC91" s="22">
        <f t="shared" si="57"/>
        <v>100.64519271764689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-9.9316821433603781E-14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243.26825841283591</v>
      </c>
      <c r="AO91" s="59">
        <f t="shared" si="90"/>
        <v>179.2944312100729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99.030738263004267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99.030738263004267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-5.6843418860808015E-14</v>
      </c>
      <c r="BE91" s="13">
        <f>BD91*VLOOKUP('Données projet'!$B$11,Paramètres!$A$1:$I$89,3,0)*VLOOKUP('Données projet'!$B$11,Paramètres!$A$1:$I$89,5,0)</f>
        <v>-4.1677594708744434E-14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146.45728988963538</v>
      </c>
      <c r="BJ91" s="59">
        <f t="shared" si="92"/>
        <v>156.91778940341118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41.548586549748514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41.548586549748514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-4.0000000000001137</v>
      </c>
      <c r="BZ91" s="13">
        <f>BY91*VLOOKUP('Données projet'!$B$12,Paramètres!$A$1:$I$89,3,0)*VLOOKUP('Données projet'!$B$12,Paramètres!$A$1:$I$89,5,0)</f>
        <v>-3.1824000000000909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238.71022302719206</v>
      </c>
      <c r="CE91" s="59">
        <f t="shared" si="94"/>
        <v>294.28794439094878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69.118430769003623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69.118430769003623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-1.1368683772161603E-13</v>
      </c>
      <c r="CU91" s="17">
        <f>CT91*VLOOKUP('Données projet'!$B$13,Paramètres!$A$1:$I$89,3,0)*VLOOKUP('Données projet'!$B$13,Paramètres!$A$1:$I$89,5,0)</f>
        <v>-9.0449248091317723E-14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238.71022302719206</v>
      </c>
      <c r="CZ91" s="59">
        <f t="shared" si="96"/>
        <v>294.28794439094878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68.261701239622681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68.261701239622681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-1.1368683772161603E-13</v>
      </c>
      <c r="DP91" s="17">
        <f>DO91*VLOOKUP('Données projet'!$B$14,Paramètres!$A$1:$I$89,3,0)*VLOOKUP('Données projet'!$B$14,Paramètres!$A$1:$I$89,5,0)</f>
        <v>-9.7543306765146564E-14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203.34232675618244</v>
      </c>
      <c r="DU91" s="59">
        <f t="shared" si="98"/>
        <v>176.81257896138806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129.74587896138098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129.74587896138098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2.8421709430404007E-14</v>
      </c>
      <c r="EK91" s="17">
        <f>EJ91*VLOOKUP('Données projet'!$B$15,Paramètres!$A$1:$I$89,3,0)*VLOOKUP('Données projet'!$B$15,Paramètres!$A$1:$I$89,5,0)</f>
        <v>2.7489477361086758E-14</v>
      </c>
      <c r="EL91" s="13">
        <f t="shared" si="99"/>
        <v>4.7995394886724981E-13</v>
      </c>
      <c r="EM91" s="20">
        <f t="shared" si="73"/>
        <v>8.8379730068101964E-13</v>
      </c>
      <c r="EN91" s="59">
        <f t="shared" si="74"/>
        <v>293.33333333333422</v>
      </c>
      <c r="EO91" s="59">
        <f ca="1">AVERAGE(OFFSET($EN$3,0,0,'Données projet'!$E$15+1,1))-AVERAGE(OFFSET($H$3,0,0,'Données projet'!$E$15+1,1))</f>
        <v>218.78765033569107</v>
      </c>
      <c r="EP91" s="59">
        <f t="shared" si="100"/>
        <v>246.54010105494137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170.80796812111521</v>
      </c>
      <c r="FK91" s="59">
        <f t="shared" si="102"/>
        <v>249.84047400410321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0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333.02360594713667</v>
      </c>
      <c r="T92" s="59">
        <f t="shared" si="88"/>
        <v>546.58234447298014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72.382871693249228</v>
      </c>
      <c r="AA92" s="21">
        <f>EXP(-LN(2)/25)*AA91+(1-EXP(-LN(2)/25))/(LN(2)/25)*Calculateur!V92*Calculateur!X92*VLOOKUP('Données projet'!$B$9,Paramètres!$A$1:$I$89,3,0)*0.475*44/12</f>
        <v>26.081288321519089</v>
      </c>
      <c r="AB92" s="21">
        <f>EXP(-LN(2)/2)*AB91+(1-EXP(-LN(2)/2))/(LN(2)/2)*V92*Y92*VLOOKUP('Données projet'!$B$9,Paramètres!$A$1:$I$89,3,0)*0.475*44/12</f>
        <v>9.86813287265604E-6</v>
      </c>
      <c r="AC92" s="22">
        <f t="shared" si="57"/>
        <v>98.464169882901189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-9.9316821433603781E-14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243.26825841283591</v>
      </c>
      <c r="AO92" s="59">
        <f t="shared" si="90"/>
        <v>179.2944312100729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97.088805888452811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97.088805888452811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-5.6843418860808015E-14</v>
      </c>
      <c r="BE92" s="13">
        <f>BD92*VLOOKUP('Données projet'!$B$11,Paramètres!$A$1:$I$89,3,0)*VLOOKUP('Données projet'!$B$11,Paramètres!$A$1:$I$89,5,0)</f>
        <v>-4.1677594708744434E-14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146.45728988963538</v>
      </c>
      <c r="BJ92" s="59">
        <f t="shared" si="92"/>
        <v>156.91778940341118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40.733844109643414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40.733844109643414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-4.0000000000001137</v>
      </c>
      <c r="BZ92" s="13">
        <f>BY92*VLOOKUP('Données projet'!$B$12,Paramètres!$A$1:$I$89,3,0)*VLOOKUP('Données projet'!$B$12,Paramètres!$A$1:$I$89,5,0)</f>
        <v>-3.1824000000000909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238.71022302719206</v>
      </c>
      <c r="CE92" s="59">
        <f t="shared" si="94"/>
        <v>294.28794439094878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67.763060499703471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67.763060499703471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-1.1368683772161603E-13</v>
      </c>
      <c r="CU92" s="17">
        <f>CT92*VLOOKUP('Données projet'!$B$13,Paramètres!$A$1:$I$89,3,0)*VLOOKUP('Données projet'!$B$13,Paramètres!$A$1:$I$89,5,0)</f>
        <v>-9.0449248091317723E-14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238.71022302719206</v>
      </c>
      <c r="CZ92" s="59">
        <f t="shared" si="96"/>
        <v>294.28794439094878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66.923130913840268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66.923130913840268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-1.1368683772161603E-13</v>
      </c>
      <c r="DP92" s="17">
        <f>DO92*VLOOKUP('Données projet'!$B$14,Paramètres!$A$1:$I$89,3,0)*VLOOKUP('Données projet'!$B$14,Paramètres!$A$1:$I$89,5,0)</f>
        <v>-9.7543306765146564E-14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203.34232675618244</v>
      </c>
      <c r="DU92" s="59">
        <f t="shared" si="98"/>
        <v>176.81257896138806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127.20164141212032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127.20164141212032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2.8421709430404007E-14</v>
      </c>
      <c r="EK92" s="17">
        <f>EJ92*VLOOKUP('Données projet'!$B$15,Paramètres!$A$1:$I$89,3,0)*VLOOKUP('Données projet'!$B$15,Paramètres!$A$1:$I$89,5,0)</f>
        <v>2.7489477361086758E-14</v>
      </c>
      <c r="EL92" s="13">
        <f t="shared" si="99"/>
        <v>4.7995394886724981E-13</v>
      </c>
      <c r="EM92" s="20">
        <f t="shared" si="73"/>
        <v>8.8379730068101964E-13</v>
      </c>
      <c r="EN92" s="59">
        <f t="shared" si="74"/>
        <v>293.33333333333422</v>
      </c>
      <c r="EO92" s="59">
        <f ca="1">AVERAGE(OFFSET($EN$3,0,0,'Données projet'!$E$15+1,1))-AVERAGE(OFFSET($H$3,0,0,'Données projet'!$E$15+1,1))</f>
        <v>218.78765033569107</v>
      </c>
      <c r="EP92" s="59">
        <f t="shared" si="100"/>
        <v>246.54010105494137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170.80796812111521</v>
      </c>
      <c r="FK92" s="59">
        <f t="shared" si="102"/>
        <v>249.84047400410321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0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333.02360594713667</v>
      </c>
      <c r="T93" s="59">
        <f t="shared" si="88"/>
        <v>546.58234447298014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70.963487728536975</v>
      </c>
      <c r="AA93" s="21">
        <f>EXP(-LN(2)/25)*AA92+(1-EXP(-LN(2)/25))/(LN(2)/25)*Calculateur!V93*Calculateur!X93*VLOOKUP('Données projet'!$B$9,Paramètres!$A$1:$I$89,3,0)*0.475*44/12</f>
        <v>25.368094120811808</v>
      </c>
      <c r="AB93" s="21">
        <f>EXP(-LN(2)/2)*AB92+(1-EXP(-LN(2)/2))/(LN(2)/2)*V93*Y93*VLOOKUP('Données projet'!$B$9,Paramètres!$A$1:$I$89,3,0)*0.475*44/12</f>
        <v>6.9778236719049712E-6</v>
      </c>
      <c r="AC93" s="22">
        <f t="shared" si="57"/>
        <v>96.331588827172453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-9.9316821433603781E-14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243.26825841283591</v>
      </c>
      <c r="AO93" s="59">
        <f t="shared" si="90"/>
        <v>179.2944312100729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95.184953623304523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95.184953623304523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-5.6843418860808015E-14</v>
      </c>
      <c r="BE93" s="13">
        <f>BD93*VLOOKUP('Données projet'!$B$11,Paramètres!$A$1:$I$89,3,0)*VLOOKUP('Données projet'!$B$11,Paramètres!$A$1:$I$89,5,0)</f>
        <v>-4.1677594708744434E-14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146.45728988963538</v>
      </c>
      <c r="BJ93" s="59">
        <f t="shared" si="92"/>
        <v>156.91778940341118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39.935078271844958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39.935078271844958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-4.0000000000001137</v>
      </c>
      <c r="BZ93" s="13">
        <f>BY93*VLOOKUP('Données projet'!$B$12,Paramètres!$A$1:$I$89,3,0)*VLOOKUP('Données projet'!$B$12,Paramètres!$A$1:$I$89,5,0)</f>
        <v>-3.1824000000000909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238.71022302719206</v>
      </c>
      <c r="CE93" s="59">
        <f t="shared" si="94"/>
        <v>294.28794439094878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66.43426821469005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66.43426821469005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-1.1368683772161603E-13</v>
      </c>
      <c r="CU93" s="17">
        <f>CT93*VLOOKUP('Données projet'!$B$13,Paramètres!$A$1:$I$89,3,0)*VLOOKUP('Données projet'!$B$13,Paramètres!$A$1:$I$89,5,0)</f>
        <v>-9.0449248091317723E-14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238.71022302719206</v>
      </c>
      <c r="CZ93" s="59">
        <f t="shared" si="96"/>
        <v>294.28794439094878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65.610809135699171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65.610809135699171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-1.1368683772161603E-13</v>
      </c>
      <c r="DP93" s="17">
        <f>DO93*VLOOKUP('Données projet'!$B$14,Paramètres!$A$1:$I$89,3,0)*VLOOKUP('Données projet'!$B$14,Paramètres!$A$1:$I$89,5,0)</f>
        <v>-9.7543306765146564E-14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203.34232675618244</v>
      </c>
      <c r="DU93" s="59">
        <f t="shared" si="98"/>
        <v>176.81257896138806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124.70729480936899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124.70729480936899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2.8421709430404007E-14</v>
      </c>
      <c r="EK93" s="17">
        <f>EJ93*VLOOKUP('Données projet'!$B$15,Paramètres!$A$1:$I$89,3,0)*VLOOKUP('Données projet'!$B$15,Paramètres!$A$1:$I$89,5,0)</f>
        <v>2.7489477361086758E-14</v>
      </c>
      <c r="EL93" s="13">
        <f t="shared" si="99"/>
        <v>4.7995394886724981E-13</v>
      </c>
      <c r="EM93" s="20">
        <f t="shared" si="73"/>
        <v>8.8379730068101964E-13</v>
      </c>
      <c r="EN93" s="59">
        <f t="shared" si="74"/>
        <v>293.33333333333422</v>
      </c>
      <c r="EO93" s="59">
        <f ca="1">AVERAGE(OFFSET($EN$3,0,0,'Données projet'!$E$15+1,1))-AVERAGE(OFFSET($H$3,0,0,'Données projet'!$E$15+1,1))</f>
        <v>218.78765033569107</v>
      </c>
      <c r="EP93" s="59">
        <f t="shared" si="100"/>
        <v>246.54010105494137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170.80796812111521</v>
      </c>
      <c r="FK93" s="59">
        <f t="shared" si="102"/>
        <v>249.84047400410321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0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333.02360594713667</v>
      </c>
      <c r="T94" s="59">
        <f t="shared" si="88"/>
        <v>546.58234447298014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69.571937017633999</v>
      </c>
      <c r="AA94" s="21">
        <f>EXP(-LN(2)/25)*AA93+(1-EXP(-LN(2)/25))/(LN(2)/25)*Calculateur!V94*Calculateur!X94*VLOOKUP('Données projet'!$B$9,Paramètres!$A$1:$I$89,3,0)*0.475*44/12</f>
        <v>24.67440225302812</v>
      </c>
      <c r="AB94" s="21">
        <f>EXP(-LN(2)/2)*AB93+(1-EXP(-LN(2)/2))/(LN(2)/2)*V94*Y94*VLOOKUP('Données projet'!$B$9,Paramètres!$A$1:$I$89,3,0)*0.475*44/12</f>
        <v>4.93406643632802E-6</v>
      </c>
      <c r="AC94" s="22">
        <f t="shared" si="57"/>
        <v>94.246344204728558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-9.9316821433603781E-14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243.26825841283591</v>
      </c>
      <c r="AO94" s="59">
        <f t="shared" si="90"/>
        <v>179.2944312100729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93.318434739840569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93.318434739840569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-5.6843418860808015E-14</v>
      </c>
      <c r="BE94" s="13">
        <f>BD94*VLOOKUP('Données projet'!$B$11,Paramètres!$A$1:$I$89,3,0)*VLOOKUP('Données projet'!$B$11,Paramètres!$A$1:$I$89,5,0)</f>
        <v>-4.1677594708744434E-14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146.45728988963538</v>
      </c>
      <c r="BJ94" s="59">
        <f t="shared" si="92"/>
        <v>156.91778940341118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39.151975744926673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39.151975744926673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-4.0000000000001137</v>
      </c>
      <c r="BZ94" s="13">
        <f>BY94*VLOOKUP('Données projet'!$B$12,Paramètres!$A$1:$I$89,3,0)*VLOOKUP('Données projet'!$B$12,Paramètres!$A$1:$I$89,5,0)</f>
        <v>-3.1824000000000909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238.71022302719206</v>
      </c>
      <c r="CE94" s="59">
        <f t="shared" si="94"/>
        <v>294.28794439094878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65.131532735902482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65.131532735902482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-1.1368683772161603E-13</v>
      </c>
      <c r="CU94" s="17">
        <f>CT94*VLOOKUP('Données projet'!$B$13,Paramètres!$A$1:$I$89,3,0)*VLOOKUP('Données projet'!$B$13,Paramètres!$A$1:$I$89,5,0)</f>
        <v>-9.0449248091317723E-14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238.71022302719206</v>
      </c>
      <c r="CZ94" s="59">
        <f t="shared" si="96"/>
        <v>294.28794439094878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64.324221187190176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64.324221187190176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-1.1368683772161603E-13</v>
      </c>
      <c r="DP94" s="17">
        <f>DO94*VLOOKUP('Données projet'!$B$14,Paramètres!$A$1:$I$89,3,0)*VLOOKUP('Données projet'!$B$14,Paramètres!$A$1:$I$89,5,0)</f>
        <v>-9.7543306765146564E-14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203.34232675618244</v>
      </c>
      <c r="DU94" s="59">
        <f t="shared" si="98"/>
        <v>176.81257896138806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122.26186082209641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122.26186082209641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2.8421709430404007E-14</v>
      </c>
      <c r="EK94" s="17">
        <f>EJ94*VLOOKUP('Données projet'!$B$15,Paramètres!$A$1:$I$89,3,0)*VLOOKUP('Données projet'!$B$15,Paramètres!$A$1:$I$89,5,0)</f>
        <v>2.7489477361086758E-14</v>
      </c>
      <c r="EL94" s="13">
        <f t="shared" si="99"/>
        <v>4.7995394886724981E-13</v>
      </c>
      <c r="EM94" s="20">
        <f t="shared" si="73"/>
        <v>8.8379730068101964E-13</v>
      </c>
      <c r="EN94" s="59">
        <f t="shared" si="74"/>
        <v>293.33333333333422</v>
      </c>
      <c r="EO94" s="59">
        <f ca="1">AVERAGE(OFFSET($EN$3,0,0,'Données projet'!$E$15+1,1))-AVERAGE(OFFSET($H$3,0,0,'Données projet'!$E$15+1,1))</f>
        <v>218.78765033569107</v>
      </c>
      <c r="EP94" s="59">
        <f t="shared" si="100"/>
        <v>246.54010105494137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170.80796812111521</v>
      </c>
      <c r="FK94" s="59">
        <f t="shared" si="102"/>
        <v>249.84047400410321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0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333.02360594713667</v>
      </c>
      <c r="T95" s="59">
        <f t="shared" si="88"/>
        <v>546.58234447298014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68.207673767409702</v>
      </c>
      <c r="AA95" s="21">
        <f>EXP(-LN(2)/25)*AA94+(1-EXP(-LN(2)/25))/(LN(2)/25)*Calculateur!V95*Calculateur!X95*VLOOKUP('Données projet'!$B$9,Paramètres!$A$1:$I$89,3,0)*0.475*44/12</f>
        <v>23.999679425848644</v>
      </c>
      <c r="AB95" s="21">
        <f>EXP(-LN(2)/2)*AB94+(1-EXP(-LN(2)/2))/(LN(2)/2)*V95*Y95*VLOOKUP('Données projet'!$B$9,Paramètres!$A$1:$I$89,3,0)*0.475*44/12</f>
        <v>3.4889118359524856E-6</v>
      </c>
      <c r="AC95" s="22">
        <f t="shared" si="57"/>
        <v>92.207356682170172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-9.9316821433603781E-14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243.26825841283591</v>
      </c>
      <c r="AO95" s="59">
        <f t="shared" si="90"/>
        <v>179.2944312100729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91.488517153217245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91.488517153217245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-5.6843418860808015E-14</v>
      </c>
      <c r="BE95" s="13">
        <f>BD95*VLOOKUP('Données projet'!$B$11,Paramètres!$A$1:$I$89,3,0)*VLOOKUP('Données projet'!$B$11,Paramètres!$A$1:$I$89,5,0)</f>
        <v>-4.1677594708744434E-14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146.45728988963538</v>
      </c>
      <c r="BJ95" s="59">
        <f t="shared" si="92"/>
        <v>156.91778940341118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38.384229380915876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38.384229380915876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-4.0000000000001137</v>
      </c>
      <c r="BZ95" s="13">
        <f>BY95*VLOOKUP('Données projet'!$B$12,Paramètres!$A$1:$I$89,3,0)*VLOOKUP('Données projet'!$B$12,Paramètres!$A$1:$I$89,5,0)</f>
        <v>-3.1824000000000909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238.71022302719206</v>
      </c>
      <c r="CE95" s="59">
        <f t="shared" si="94"/>
        <v>294.28794439094878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63.854343105263759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63.854343105263759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-1.1368683772161603E-13</v>
      </c>
      <c r="CU95" s="17">
        <f>CT95*VLOOKUP('Données projet'!$B$13,Paramètres!$A$1:$I$89,3,0)*VLOOKUP('Données projet'!$B$13,Paramètres!$A$1:$I$89,5,0)</f>
        <v>-9.0449248091317723E-14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238.71022302719206</v>
      </c>
      <c r="CZ95" s="59">
        <f t="shared" si="96"/>
        <v>294.28794439094878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63.062862443610278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63.062862443610278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-1.1368683772161603E-13</v>
      </c>
      <c r="DP95" s="17">
        <f>DO95*VLOOKUP('Données projet'!$B$14,Paramètres!$A$1:$I$89,3,0)*VLOOKUP('Données projet'!$B$14,Paramètres!$A$1:$I$89,5,0)</f>
        <v>-9.7543306765146564E-14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203.34232675618244</v>
      </c>
      <c r="DU95" s="59">
        <f t="shared" si="98"/>
        <v>176.81257896138806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119.86438030374678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119.86438030374678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2.8421709430404007E-14</v>
      </c>
      <c r="EK95" s="17">
        <f>EJ95*VLOOKUP('Données projet'!$B$15,Paramètres!$A$1:$I$89,3,0)*VLOOKUP('Données projet'!$B$15,Paramètres!$A$1:$I$89,5,0)</f>
        <v>2.7489477361086758E-14</v>
      </c>
      <c r="EL95" s="13">
        <f t="shared" si="99"/>
        <v>4.7995394886724981E-13</v>
      </c>
      <c r="EM95" s="20">
        <f t="shared" si="73"/>
        <v>8.8379730068101964E-13</v>
      </c>
      <c r="EN95" s="59">
        <f t="shared" si="74"/>
        <v>293.33333333333422</v>
      </c>
      <c r="EO95" s="59">
        <f ca="1">AVERAGE(OFFSET($EN$3,0,0,'Données projet'!$E$15+1,1))-AVERAGE(OFFSET($H$3,0,0,'Données projet'!$E$15+1,1))</f>
        <v>218.78765033569107</v>
      </c>
      <c r="EP95" s="59">
        <f t="shared" si="100"/>
        <v>246.54010105494137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170.80796812111521</v>
      </c>
      <c r="FK95" s="59">
        <f t="shared" si="102"/>
        <v>249.84047400410321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0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333.02360594713667</v>
      </c>
      <c r="T96" s="59">
        <f t="shared" si="88"/>
        <v>546.58234447298014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66.870162887403879</v>
      </c>
      <c r="AA96" s="21">
        <f>EXP(-LN(2)/25)*AA95+(1-EXP(-LN(2)/25))/(LN(2)/25)*Calculateur!V96*Calculateur!X96*VLOOKUP('Données projet'!$B$9,Paramètres!$A$1:$I$89,3,0)*0.475*44/12</f>
        <v>23.343406929860524</v>
      </c>
      <c r="AB96" s="21">
        <f>EXP(-LN(2)/2)*AB95+(1-EXP(-LN(2)/2))/(LN(2)/2)*V96*Y96*VLOOKUP('Données projet'!$B$9,Paramètres!$A$1:$I$89,3,0)*0.475*44/12</f>
        <v>2.46703321816401E-6</v>
      </c>
      <c r="AC96" s="22">
        <f t="shared" si="57"/>
        <v>90.213572284297612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-9.9316821433603781E-14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243.26825841283591</v>
      </c>
      <c r="AO96" s="59">
        <f t="shared" si="90"/>
        <v>179.2944312100729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89.694483134328081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89.694483134328081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-5.6843418860808015E-14</v>
      </c>
      <c r="BE96" s="13">
        <f>BD96*VLOOKUP('Données projet'!$B$11,Paramètres!$A$1:$I$89,3,0)*VLOOKUP('Données projet'!$B$11,Paramètres!$A$1:$I$89,5,0)</f>
        <v>-4.1677594708744434E-14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146.45728988963538</v>
      </c>
      <c r="BJ96" s="59">
        <f t="shared" si="92"/>
        <v>156.91778940341118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37.63153805482429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37.63153805482429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-4.0000000000001137</v>
      </c>
      <c r="BZ96" s="13">
        <f>BY96*VLOOKUP('Données projet'!$B$12,Paramètres!$A$1:$I$89,3,0)*VLOOKUP('Données projet'!$B$12,Paramètres!$A$1:$I$89,5,0)</f>
        <v>-3.1824000000000909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238.71022302719206</v>
      </c>
      <c r="CE96" s="59">
        <f t="shared" si="94"/>
        <v>294.28794439094878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62.602198384273102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62.602198384273102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-1.1368683772161603E-13</v>
      </c>
      <c r="CU96" s="17">
        <f>CT96*VLOOKUP('Données projet'!$B$13,Paramètres!$A$1:$I$89,3,0)*VLOOKUP('Données projet'!$B$13,Paramètres!$A$1:$I$89,5,0)</f>
        <v>-9.0449248091317723E-14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238.71022302719206</v>
      </c>
      <c r="CZ96" s="59">
        <f t="shared" si="96"/>
        <v>294.28794439094878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61.826238175639112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61.826238175639112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-1.1368683772161603E-13</v>
      </c>
      <c r="DP96" s="17">
        <f>DO96*VLOOKUP('Données projet'!$B$14,Paramètres!$A$1:$I$89,3,0)*VLOOKUP('Données projet'!$B$14,Paramètres!$A$1:$I$89,5,0)</f>
        <v>-9.7543306765146564E-14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203.34232675618244</v>
      </c>
      <c r="DU96" s="59">
        <f t="shared" si="98"/>
        <v>176.81257896138806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117.51391291604328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117.51391291604328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2.8421709430404007E-14</v>
      </c>
      <c r="EK96" s="17">
        <f>EJ96*VLOOKUP('Données projet'!$B$15,Paramètres!$A$1:$I$89,3,0)*VLOOKUP('Données projet'!$B$15,Paramètres!$A$1:$I$89,5,0)</f>
        <v>2.7489477361086758E-14</v>
      </c>
      <c r="EL96" s="13">
        <f t="shared" si="99"/>
        <v>4.7995394886724981E-13</v>
      </c>
      <c r="EM96" s="20">
        <f t="shared" si="73"/>
        <v>8.8379730068101964E-13</v>
      </c>
      <c r="EN96" s="59">
        <f t="shared" si="74"/>
        <v>293.33333333333422</v>
      </c>
      <c r="EO96" s="59">
        <f ca="1">AVERAGE(OFFSET($EN$3,0,0,'Données projet'!$E$15+1,1))-AVERAGE(OFFSET($H$3,0,0,'Données projet'!$E$15+1,1))</f>
        <v>218.78765033569107</v>
      </c>
      <c r="EP96" s="59">
        <f t="shared" si="100"/>
        <v>246.54010105494137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170.80796812111521</v>
      </c>
      <c r="FK96" s="59">
        <f t="shared" si="102"/>
        <v>249.84047400410321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0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333.02360594713667</v>
      </c>
      <c r="T97" s="59">
        <f t="shared" si="88"/>
        <v>546.58234447298014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65.558879779953898</v>
      </c>
      <c r="AA97" s="21">
        <f>EXP(-LN(2)/25)*AA96+(1-EXP(-LN(2)/25))/(LN(2)/25)*Calculateur!V97*Calculateur!X97*VLOOKUP('Données projet'!$B$9,Paramètres!$A$1:$I$89,3,0)*0.475*44/12</f>
        <v>22.705080239787069</v>
      </c>
      <c r="AB97" s="21">
        <f>EXP(-LN(2)/2)*AB96+(1-EXP(-LN(2)/2))/(LN(2)/2)*V97*Y97*VLOOKUP('Données projet'!$B$9,Paramètres!$A$1:$I$89,3,0)*0.475*44/12</f>
        <v>1.7444559179762428E-6</v>
      </c>
      <c r="AC97" s="22">
        <f t="shared" si="57"/>
        <v>88.263961764196878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-9.9316821433603781E-14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243.26825841283591</v>
      </c>
      <c r="AO97" s="59">
        <f t="shared" si="90"/>
        <v>179.2944312100729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87.935629028296631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87.935629028296631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-5.6843418860808015E-14</v>
      </c>
      <c r="BE97" s="13">
        <f>BD97*VLOOKUP('Données projet'!$B$11,Paramètres!$A$1:$I$89,3,0)*VLOOKUP('Données projet'!$B$11,Paramètres!$A$1:$I$89,5,0)</f>
        <v>-4.1677594708744434E-14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146.45728988963538</v>
      </c>
      <c r="BJ97" s="59">
        <f t="shared" si="92"/>
        <v>156.91778940341118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36.89360654654098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36.89360654654098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-4.0000000000001137</v>
      </c>
      <c r="BZ97" s="13">
        <f>BY97*VLOOKUP('Données projet'!$B$12,Paramètres!$A$1:$I$89,3,0)*VLOOKUP('Données projet'!$B$12,Paramètres!$A$1:$I$89,5,0)</f>
        <v>-3.1824000000000909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238.71022302719206</v>
      </c>
      <c r="CE97" s="59">
        <f t="shared" si="94"/>
        <v>294.28794439094878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61.374607457528207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61.374607457528207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-1.1368683772161603E-13</v>
      </c>
      <c r="CU97" s="17">
        <f>CT97*VLOOKUP('Données projet'!$B$13,Paramètres!$A$1:$I$89,3,0)*VLOOKUP('Données projet'!$B$13,Paramètres!$A$1:$I$89,5,0)</f>
        <v>-9.0449248091317723E-14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238.71022302719206</v>
      </c>
      <c r="CZ97" s="59">
        <f t="shared" si="96"/>
        <v>294.28794439094878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60.613863355296537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60.613863355296537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-1.1368683772161603E-13</v>
      </c>
      <c r="DP97" s="17">
        <f>DO97*VLOOKUP('Données projet'!$B$14,Paramètres!$A$1:$I$89,3,0)*VLOOKUP('Données projet'!$B$14,Paramètres!$A$1:$I$89,5,0)</f>
        <v>-9.7543306765146564E-14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203.34232675618244</v>
      </c>
      <c r="DU97" s="59">
        <f t="shared" si="98"/>
        <v>176.81257896138806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115.2095367601691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115.2095367601691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2.8421709430404007E-14</v>
      </c>
      <c r="EK97" s="17">
        <f>EJ97*VLOOKUP('Données projet'!$B$15,Paramètres!$A$1:$I$89,3,0)*VLOOKUP('Données projet'!$B$15,Paramètres!$A$1:$I$89,5,0)</f>
        <v>2.7489477361086758E-14</v>
      </c>
      <c r="EL97" s="13">
        <f t="shared" si="99"/>
        <v>4.7995394886724981E-13</v>
      </c>
      <c r="EM97" s="20">
        <f t="shared" si="73"/>
        <v>8.8379730068101964E-13</v>
      </c>
      <c r="EN97" s="59">
        <f t="shared" si="74"/>
        <v>293.33333333333422</v>
      </c>
      <c r="EO97" s="59">
        <f ca="1">AVERAGE(OFFSET($EN$3,0,0,'Données projet'!$E$15+1,1))-AVERAGE(OFFSET($H$3,0,0,'Données projet'!$E$15+1,1))</f>
        <v>218.78765033569107</v>
      </c>
      <c r="EP97" s="59">
        <f t="shared" si="100"/>
        <v>246.54010105494137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170.80796812111521</v>
      </c>
      <c r="FK97" s="59">
        <f t="shared" si="102"/>
        <v>249.84047400410321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0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333.02360594713667</v>
      </c>
      <c r="T98" s="59">
        <f t="shared" si="88"/>
        <v>546.58234447298014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64.273310134437281</v>
      </c>
      <c r="AA98" s="21">
        <f>EXP(-LN(2)/25)*AA97+(1-EXP(-LN(2)/25))/(LN(2)/25)*Calculateur!V98*Calculateur!X98*VLOOKUP('Données projet'!$B$9,Paramètres!$A$1:$I$89,3,0)*0.475*44/12</f>
        <v>22.084208626621816</v>
      </c>
      <c r="AB98" s="21">
        <f>EXP(-LN(2)/2)*AB97+(1-EXP(-LN(2)/2))/(LN(2)/2)*V98*Y98*VLOOKUP('Données projet'!$B$9,Paramètres!$A$1:$I$89,3,0)*0.475*44/12</f>
        <v>1.233516609082005E-6</v>
      </c>
      <c r="AC98" s="22">
        <f t="shared" si="57"/>
        <v>86.357519994575711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-9.9316821433603781E-14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243.26825841283591</v>
      </c>
      <c r="AO98" s="59">
        <f t="shared" si="90"/>
        <v>179.2944312100729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86.211264978489382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86.211264978489382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-5.6843418860808015E-14</v>
      </c>
      <c r="BE98" s="13">
        <f>BD98*VLOOKUP('Données projet'!$B$11,Paramètres!$A$1:$I$89,3,0)*VLOOKUP('Données projet'!$B$11,Paramètres!$A$1:$I$89,5,0)</f>
        <v>-4.1677594708744434E-14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146.45728988963538</v>
      </c>
      <c r="BJ98" s="59">
        <f t="shared" si="92"/>
        <v>156.91778940341118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36.170145425041326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36.170145425041326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-4.0000000000001137</v>
      </c>
      <c r="BZ98" s="13">
        <f>BY98*VLOOKUP('Données projet'!$B$12,Paramètres!$A$1:$I$89,3,0)*VLOOKUP('Données projet'!$B$12,Paramètres!$A$1:$I$89,5,0)</f>
        <v>-3.1824000000000909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238.71022302719206</v>
      </c>
      <c r="CE98" s="59">
        <f t="shared" si="94"/>
        <v>294.28794439094878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60.171088840100246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60.171088840100246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-1.1368683772161603E-13</v>
      </c>
      <c r="CU98" s="17">
        <f>CT98*VLOOKUP('Données projet'!$B$13,Paramètres!$A$1:$I$89,3,0)*VLOOKUP('Données projet'!$B$13,Paramètres!$A$1:$I$89,5,0)</f>
        <v>-9.0449248091317723E-14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238.71022302719206</v>
      </c>
      <c r="CZ98" s="59">
        <f t="shared" si="96"/>
        <v>294.28794439094878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59.425262465705252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59.425262465705252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-1.1368683772161603E-13</v>
      </c>
      <c r="DP98" s="17">
        <f>DO98*VLOOKUP('Données projet'!$B$14,Paramètres!$A$1:$I$89,3,0)*VLOOKUP('Données projet'!$B$14,Paramètres!$A$1:$I$89,5,0)</f>
        <v>-9.7543306765146564E-14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203.34232675618244</v>
      </c>
      <c r="DU98" s="59">
        <f t="shared" si="98"/>
        <v>176.81257896138806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112.95034801518094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112.95034801518094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2.8421709430404007E-14</v>
      </c>
      <c r="EK98" s="17">
        <f>EJ98*VLOOKUP('Données projet'!$B$15,Paramètres!$A$1:$I$89,3,0)*VLOOKUP('Données projet'!$B$15,Paramètres!$A$1:$I$89,5,0)</f>
        <v>2.7489477361086758E-14</v>
      </c>
      <c r="EL98" s="13">
        <f t="shared" si="99"/>
        <v>4.7995394886724981E-13</v>
      </c>
      <c r="EM98" s="20">
        <f t="shared" si="73"/>
        <v>8.8379730068101964E-13</v>
      </c>
      <c r="EN98" s="59">
        <f t="shared" si="74"/>
        <v>293.33333333333422</v>
      </c>
      <c r="EO98" s="59">
        <f ca="1">AVERAGE(OFFSET($EN$3,0,0,'Données projet'!$E$15+1,1))-AVERAGE(OFFSET($H$3,0,0,'Données projet'!$E$15+1,1))</f>
        <v>218.78765033569107</v>
      </c>
      <c r="EP98" s="59">
        <f t="shared" si="100"/>
        <v>246.54010105494137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170.80796812111521</v>
      </c>
      <c r="FK98" s="59">
        <f t="shared" si="102"/>
        <v>249.84047400410321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0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333.02360594713667</v>
      </c>
      <c r="T99" s="59">
        <f t="shared" si="88"/>
        <v>546.58234447298014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63.012949725549191</v>
      </c>
      <c r="AA99" s="21">
        <f>EXP(-LN(2)/25)*AA98+(1-EXP(-LN(2)/25))/(LN(2)/25)*Calculateur!V99*Calculateur!X99*VLOOKUP('Données projet'!$B$9,Paramètres!$A$1:$I$89,3,0)*0.475*44/12</f>
        <v>21.480314780368786</v>
      </c>
      <c r="AB99" s="21">
        <f>EXP(-LN(2)/2)*AB98+(1-EXP(-LN(2)/2))/(LN(2)/2)*V99*Y99*VLOOKUP('Données projet'!$B$9,Paramètres!$A$1:$I$89,3,0)*0.475*44/12</f>
        <v>8.722279589881214E-7</v>
      </c>
      <c r="AC99" s="22">
        <f t="shared" si="57"/>
        <v>84.493265378145935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-9.9316821433603781E-14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243.26825841283591</v>
      </c>
      <c r="AO99" s="59">
        <f t="shared" si="90"/>
        <v>179.2944312100729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84.520714655940637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84.520714655940637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-5.6843418860808015E-14</v>
      </c>
      <c r="BE99" s="13">
        <f>BD99*VLOOKUP('Données projet'!$B$11,Paramètres!$A$1:$I$89,3,0)*VLOOKUP('Données projet'!$B$11,Paramètres!$A$1:$I$89,5,0)</f>
        <v>-4.1677594708744434E-14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146.45728988963538</v>
      </c>
      <c r="BJ99" s="59">
        <f t="shared" si="92"/>
        <v>156.91778940341118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35.46087093486657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35.46087093486657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-4.0000000000001137</v>
      </c>
      <c r="BZ99" s="13">
        <f>BY99*VLOOKUP('Données projet'!$B$12,Paramètres!$A$1:$I$89,3,0)*VLOOKUP('Données projet'!$B$12,Paramètres!$A$1:$I$89,5,0)</f>
        <v>-3.1824000000000909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238.71022302719206</v>
      </c>
      <c r="CE99" s="59">
        <f t="shared" si="94"/>
        <v>294.28794439094878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58.991170488686173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58.991170488686173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-1.1368683772161603E-13</v>
      </c>
      <c r="CU99" s="17">
        <f>CT99*VLOOKUP('Données projet'!$B$13,Paramètres!$A$1:$I$89,3,0)*VLOOKUP('Données projet'!$B$13,Paramètres!$A$1:$I$89,5,0)</f>
        <v>-9.0449248091317723E-14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238.71022302719206</v>
      </c>
      <c r="CZ99" s="59">
        <f t="shared" si="96"/>
        <v>294.28794439094878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58.259969314583898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58.259969314583898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-1.1368683772161603E-13</v>
      </c>
      <c r="DP99" s="17">
        <f>DO99*VLOOKUP('Données projet'!$B$14,Paramètres!$A$1:$I$89,3,0)*VLOOKUP('Données projet'!$B$14,Paramètres!$A$1:$I$89,5,0)</f>
        <v>-9.7543306765146564E-14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203.34232675618244</v>
      </c>
      <c r="DU99" s="59">
        <f t="shared" si="98"/>
        <v>176.81257896138806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110.73546058351292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110.73546058351292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2.8421709430404007E-14</v>
      </c>
      <c r="EK99" s="17">
        <f>EJ99*VLOOKUP('Données projet'!$B$15,Paramètres!$A$1:$I$89,3,0)*VLOOKUP('Données projet'!$B$15,Paramètres!$A$1:$I$89,5,0)</f>
        <v>2.7489477361086758E-14</v>
      </c>
      <c r="EL99" s="13">
        <f t="shared" si="99"/>
        <v>4.7995394886724981E-13</v>
      </c>
      <c r="EM99" s="20">
        <f t="shared" si="73"/>
        <v>8.8379730068101964E-13</v>
      </c>
      <c r="EN99" s="59">
        <f t="shared" si="74"/>
        <v>293.33333333333422</v>
      </c>
      <c r="EO99" s="59">
        <f ca="1">AVERAGE(OFFSET($EN$3,0,0,'Données projet'!$E$15+1,1))-AVERAGE(OFFSET($H$3,0,0,'Données projet'!$E$15+1,1))</f>
        <v>218.78765033569107</v>
      </c>
      <c r="EP99" s="59">
        <f t="shared" si="100"/>
        <v>246.54010105494137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170.80796812111521</v>
      </c>
      <c r="FK99" s="59">
        <f t="shared" si="102"/>
        <v>249.84047400410321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0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333.02360594713667</v>
      </c>
      <c r="T100" s="59">
        <f t="shared" si="88"/>
        <v>546.58234447298014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61.777304215535452</v>
      </c>
      <c r="AA100" s="21">
        <f>EXP(-LN(2)/25)*AA99+(1-EXP(-LN(2)/25))/(LN(2)/25)*Calculateur!V100*Calculateur!X100*VLOOKUP('Données projet'!$B$9,Paramètres!$A$1:$I$89,3,0)*0.475*44/12</f>
        <v>20.892934443098941</v>
      </c>
      <c r="AB100" s="21">
        <f>EXP(-LN(2)/2)*AB99+(1-EXP(-LN(2)/2))/(LN(2)/2)*V100*Y100*VLOOKUP('Données projet'!$B$9,Paramètres!$A$1:$I$89,3,0)*0.475*44/12</f>
        <v>6.167583045410025E-7</v>
      </c>
      <c r="AC100" s="22">
        <f t="shared" si="57"/>
        <v>82.670239275392689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-9.9316821433603781E-14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243.26825841283591</v>
      </c>
      <c r="AO100" s="59">
        <f t="shared" si="90"/>
        <v>179.2944312100729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82.863314994083197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82.863314994083197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-5.6843418860808015E-14</v>
      </c>
      <c r="BE100" s="13">
        <f>BD100*VLOOKUP('Données projet'!$B$11,Paramètres!$A$1:$I$89,3,0)*VLOOKUP('Données projet'!$B$11,Paramètres!$A$1:$I$89,5,0)</f>
        <v>-4.1677594708744434E-14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146.45728988963538</v>
      </c>
      <c r="BJ100" s="59">
        <f t="shared" si="92"/>
        <v>156.91778940341118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34.765504884829419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34.765504884829419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-4.0000000000001137</v>
      </c>
      <c r="BZ100" s="13">
        <f>BY100*VLOOKUP('Données projet'!$B$12,Paramètres!$A$1:$I$89,3,0)*VLOOKUP('Données projet'!$B$12,Paramètres!$A$1:$I$89,5,0)</f>
        <v>-3.1824000000000909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238.71022302719206</v>
      </c>
      <c r="CE100" s="59">
        <f t="shared" si="94"/>
        <v>294.28794439094878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57.8343896164642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57.8343896164642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-1.1368683772161603E-13</v>
      </c>
      <c r="CU100" s="17">
        <f>CT100*VLOOKUP('Données projet'!$B$13,Paramètres!$A$1:$I$89,3,0)*VLOOKUP('Données projet'!$B$13,Paramètres!$A$1:$I$89,5,0)</f>
        <v>-9.0449248091317723E-14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238.71022302719206</v>
      </c>
      <c r="CZ100" s="59">
        <f t="shared" si="96"/>
        <v>294.28794439094878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57.117526851397393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57.117526851397393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-1.1368683772161603E-13</v>
      </c>
      <c r="DP100" s="17">
        <f>DO100*VLOOKUP('Données projet'!$B$14,Paramètres!$A$1:$I$89,3,0)*VLOOKUP('Données projet'!$B$14,Paramètres!$A$1:$I$89,5,0)</f>
        <v>-9.7543306765146564E-14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203.34232675618244</v>
      </c>
      <c r="DU100" s="59">
        <f t="shared" si="98"/>
        <v>176.81257896138806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108.56400574343198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108.56400574343198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2.8421709430404007E-14</v>
      </c>
      <c r="EK100" s="17">
        <f>EJ100*VLOOKUP('Données projet'!$B$15,Paramètres!$A$1:$I$89,3,0)*VLOOKUP('Données projet'!$B$15,Paramètres!$A$1:$I$89,5,0)</f>
        <v>2.7489477361086758E-14</v>
      </c>
      <c r="EL100" s="13">
        <f t="shared" si="99"/>
        <v>4.7995394886724981E-13</v>
      </c>
      <c r="EM100" s="20">
        <f t="shared" si="73"/>
        <v>8.8379730068101964E-13</v>
      </c>
      <c r="EN100" s="59">
        <f t="shared" si="74"/>
        <v>293.33333333333422</v>
      </c>
      <c r="EO100" s="59">
        <f ca="1">AVERAGE(OFFSET($EN$3,0,0,'Données projet'!$E$15+1,1))-AVERAGE(OFFSET($H$3,0,0,'Données projet'!$E$15+1,1))</f>
        <v>218.78765033569107</v>
      </c>
      <c r="EP100" s="59">
        <f t="shared" si="100"/>
        <v>246.54010105494137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170.80796812111521</v>
      </c>
      <c r="FK100" s="59">
        <f t="shared" si="102"/>
        <v>249.84047400410321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0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333.02360594713667</v>
      </c>
      <c r="T101" s="59">
        <f t="shared" si="88"/>
        <v>546.58234447298014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60.565888960303738</v>
      </c>
      <c r="AA101" s="21">
        <f>EXP(-LN(2)/25)*AA100+(1-EXP(-LN(2)/25))/(LN(2)/25)*Calculateur!V101*Calculateur!X101*VLOOKUP('Données projet'!$B$9,Paramètres!$A$1:$I$89,3,0)*0.475*44/12</f>
        <v>20.321616052040728</v>
      </c>
      <c r="AB101" s="21">
        <f>EXP(-LN(2)/2)*AB100+(1-EXP(-LN(2)/2))/(LN(2)/2)*V101*Y101*VLOOKUP('Données projet'!$B$9,Paramètres!$A$1:$I$89,3,0)*0.475*44/12</f>
        <v>4.361139794940607E-7</v>
      </c>
      <c r="AC101" s="22">
        <f t="shared" si="57"/>
        <v>80.887505448458441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-9.9316821433603781E-14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243.26825841283591</v>
      </c>
      <c r="AO101" s="59">
        <f t="shared" si="90"/>
        <v>179.2944312100729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81.238415928680794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81.238415928680794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-5.6843418860808015E-14</v>
      </c>
      <c r="BE101" s="13">
        <f>BD101*VLOOKUP('Données projet'!$B$11,Paramètres!$A$1:$I$89,3,0)*VLOOKUP('Données projet'!$B$11,Paramètres!$A$1:$I$89,5,0)</f>
        <v>-4.1677594708744434E-14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146.45728988963538</v>
      </c>
      <c r="BJ101" s="59">
        <f t="shared" si="92"/>
        <v>156.91778940341118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34.083774538902084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34.083774538902084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-4.0000000000001137</v>
      </c>
      <c r="BZ101" s="13">
        <f>BY101*VLOOKUP('Données projet'!$B$12,Paramètres!$A$1:$I$89,3,0)*VLOOKUP('Données projet'!$B$12,Paramètres!$A$1:$I$89,5,0)</f>
        <v>-3.1824000000000909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238.71022302719206</v>
      </c>
      <c r="CE101" s="59">
        <f t="shared" si="94"/>
        <v>294.28794439094878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56.700292511579839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56.700292511579839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-1.1368683772161603E-13</v>
      </c>
      <c r="CU101" s="17">
        <f>CT101*VLOOKUP('Données projet'!$B$13,Paramètres!$A$1:$I$89,3,0)*VLOOKUP('Données projet'!$B$13,Paramètres!$A$1:$I$89,5,0)</f>
        <v>-9.0449248091317723E-14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238.71022302719206</v>
      </c>
      <c r="CZ101" s="59">
        <f t="shared" si="96"/>
        <v>294.28794439094878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55.997486988092881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55.997486988092881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-1.1368683772161603E-13</v>
      </c>
      <c r="DP101" s="17">
        <f>DO101*VLOOKUP('Données projet'!$B$14,Paramètres!$A$1:$I$89,3,0)*VLOOKUP('Données projet'!$B$14,Paramètres!$A$1:$I$89,5,0)</f>
        <v>-9.7543306765146564E-14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203.34232675618244</v>
      </c>
      <c r="DU101" s="59">
        <f t="shared" si="98"/>
        <v>176.81257896138806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106.43513180830834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106.43513180830834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2.8421709430404007E-14</v>
      </c>
      <c r="EK101" s="17">
        <f>EJ101*VLOOKUP('Données projet'!$B$15,Paramètres!$A$1:$I$89,3,0)*VLOOKUP('Données projet'!$B$15,Paramètres!$A$1:$I$89,5,0)</f>
        <v>2.7489477361086758E-14</v>
      </c>
      <c r="EL101" s="13">
        <f t="shared" si="99"/>
        <v>4.7995394886724981E-13</v>
      </c>
      <c r="EM101" s="20">
        <f t="shared" si="73"/>
        <v>8.8379730068101964E-13</v>
      </c>
      <c r="EN101" s="59">
        <f t="shared" si="74"/>
        <v>293.33333333333422</v>
      </c>
      <c r="EO101" s="59">
        <f ca="1">AVERAGE(OFFSET($EN$3,0,0,'Données projet'!$E$15+1,1))-AVERAGE(OFFSET($H$3,0,0,'Données projet'!$E$15+1,1))</f>
        <v>218.78765033569107</v>
      </c>
      <c r="EP101" s="59">
        <f t="shared" si="100"/>
        <v>246.54010105494137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170.80796812111521</v>
      </c>
      <c r="FK101" s="59">
        <f t="shared" si="102"/>
        <v>249.84047400410321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0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333.02360594713667</v>
      </c>
      <c r="T102" s="59">
        <f t="shared" si="88"/>
        <v>546.58234447298014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59.378228819336776</v>
      </c>
      <c r="AA102" s="21">
        <f>EXP(-LN(2)/25)*AA101+(1-EXP(-LN(2)/25))/(LN(2)/25)*Calculateur!V102*Calculateur!X102*VLOOKUP('Données projet'!$B$9,Paramètres!$A$1:$I$89,3,0)*0.475*44/12</f>
        <v>19.765920392430331</v>
      </c>
      <c r="AB102" s="21">
        <f>EXP(-LN(2)/2)*AB101+(1-EXP(-LN(2)/2))/(LN(2)/2)*V102*Y102*VLOOKUP('Données projet'!$B$9,Paramètres!$A$1:$I$89,3,0)*0.475*44/12</f>
        <v>3.0837915227050125E-7</v>
      </c>
      <c r="AC102" s="22">
        <f t="shared" si="57"/>
        <v>79.144149520146271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-9.9316821433603781E-14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243.26825841283591</v>
      </c>
      <c r="AO102" s="59">
        <f t="shared" si="90"/>
        <v>179.2944312100729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79.645380142860375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79.645380142860375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-5.6843418860808015E-14</v>
      </c>
      <c r="BE102" s="13">
        <f>BD102*VLOOKUP('Données projet'!$B$11,Paramètres!$A$1:$I$89,3,0)*VLOOKUP('Données projet'!$B$11,Paramètres!$A$1:$I$89,5,0)</f>
        <v>-4.1677594708744434E-14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146.45728988963538</v>
      </c>
      <c r="BJ102" s="59">
        <f t="shared" si="92"/>
        <v>156.91778940341118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33.415412509243936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33.415412509243936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-4.0000000000001137</v>
      </c>
      <c r="BZ102" s="13">
        <f>BY102*VLOOKUP('Données projet'!$B$12,Paramètres!$A$1:$I$89,3,0)*VLOOKUP('Données projet'!$B$12,Paramètres!$A$1:$I$89,5,0)</f>
        <v>-3.1824000000000909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238.71022302719206</v>
      </c>
      <c r="CE102" s="59">
        <f t="shared" si="94"/>
        <v>294.28794439094878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55.588434359191325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55.588434359191325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-1.1368683772161603E-13</v>
      </c>
      <c r="CU102" s="17">
        <f>CT102*VLOOKUP('Données projet'!$B$13,Paramètres!$A$1:$I$89,3,0)*VLOOKUP('Données projet'!$B$13,Paramètres!$A$1:$I$89,5,0)</f>
        <v>-9.0449248091317723E-14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238.71022302719206</v>
      </c>
      <c r="CZ102" s="59">
        <f t="shared" si="96"/>
        <v>294.28794439094878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54.899410423350908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54.899410423350908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-1.1368683772161603E-13</v>
      </c>
      <c r="DP102" s="17">
        <f>DO102*VLOOKUP('Données projet'!$B$14,Paramètres!$A$1:$I$89,3,0)*VLOOKUP('Données projet'!$B$14,Paramètres!$A$1:$I$89,5,0)</f>
        <v>-9.7543306765146564E-14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203.34232675618244</v>
      </c>
      <c r="DU102" s="59">
        <f t="shared" si="98"/>
        <v>176.81257896138806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104.3480037925676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104.3480037925676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2.8421709430404007E-14</v>
      </c>
      <c r="EK102" s="17">
        <f>EJ102*VLOOKUP('Données projet'!$B$15,Paramètres!$A$1:$I$89,3,0)*VLOOKUP('Données projet'!$B$15,Paramètres!$A$1:$I$89,5,0)</f>
        <v>2.7489477361086758E-14</v>
      </c>
      <c r="EL102" s="13">
        <f t="shared" si="99"/>
        <v>4.7995394886724981E-13</v>
      </c>
      <c r="EM102" s="20">
        <f t="shared" si="73"/>
        <v>8.8379730068101964E-13</v>
      </c>
      <c r="EN102" s="59">
        <f t="shared" si="74"/>
        <v>293.33333333333422</v>
      </c>
      <c r="EO102" s="59">
        <f ca="1">AVERAGE(OFFSET($EN$3,0,0,'Données projet'!$E$15+1,1))-AVERAGE(OFFSET($H$3,0,0,'Données projet'!$E$15+1,1))</f>
        <v>218.78765033569107</v>
      </c>
      <c r="EP102" s="59">
        <f t="shared" si="100"/>
        <v>246.54010105494137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170.80796812111521</v>
      </c>
      <c r="FK102" s="59">
        <f t="shared" si="102"/>
        <v>249.84047400410321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0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333.02360594713667</v>
      </c>
      <c r="T103" s="59">
        <f t="shared" si="88"/>
        <v>546.58234447298014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58.213857969333013</v>
      </c>
      <c r="AA103" s="21">
        <f>EXP(-LN(2)/25)*AA102+(1-EXP(-LN(2)/25))/(LN(2)/25)*Calculateur!V103*Calculateur!X103*VLOOKUP('Données projet'!$B$9,Paramètres!$A$1:$I$89,3,0)*0.475*44/12</f>
        <v>19.225420259854747</v>
      </c>
      <c r="AB103" s="21">
        <f>EXP(-LN(2)/2)*AB102+(1-EXP(-LN(2)/2))/(LN(2)/2)*V103*Y103*VLOOKUP('Données projet'!$B$9,Paramètres!$A$1:$I$89,3,0)*0.475*44/12</f>
        <v>2.1805698974703035E-7</v>
      </c>
      <c r="AC103" s="22">
        <f t="shared" si="57"/>
        <v>77.43927844724476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-9.9316821433603781E-14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243.26825841283591</v>
      </c>
      <c r="AO103" s="59">
        <f t="shared" si="90"/>
        <v>179.2944312100729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78.083582817144006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78.083582817144006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-5.6843418860808015E-14</v>
      </c>
      <c r="BE103" s="13">
        <f>BD103*VLOOKUP('Données projet'!$B$11,Paramètres!$A$1:$I$89,3,0)*VLOOKUP('Données projet'!$B$11,Paramètres!$A$1:$I$89,5,0)</f>
        <v>-4.1677594708744434E-14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146.45728988963538</v>
      </c>
      <c r="BJ103" s="59">
        <f t="shared" si="92"/>
        <v>156.91778940341118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32.760156651326795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32.760156651326795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-4.0000000000001137</v>
      </c>
      <c r="BZ103" s="13">
        <f>BY103*VLOOKUP('Données projet'!$B$12,Paramètres!$A$1:$I$89,3,0)*VLOOKUP('Données projet'!$B$12,Paramètres!$A$1:$I$89,5,0)</f>
        <v>-3.1824000000000909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238.71022302719206</v>
      </c>
      <c r="CE103" s="59">
        <f t="shared" si="94"/>
        <v>294.28794439094878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54.498379067004642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54.498379067004642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-1.1368683772161603E-13</v>
      </c>
      <c r="CU103" s="17">
        <f>CT103*VLOOKUP('Données projet'!$B$13,Paramètres!$A$1:$I$89,3,0)*VLOOKUP('Données projet'!$B$13,Paramètres!$A$1:$I$89,5,0)</f>
        <v>-9.0449248091317723E-14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238.71022302719206</v>
      </c>
      <c r="CZ103" s="59">
        <f t="shared" si="96"/>
        <v>294.28794439094878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53.822866470282953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53.822866470282953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-1.1368683772161603E-13</v>
      </c>
      <c r="DP103" s="17">
        <f>DO103*VLOOKUP('Données projet'!$B$14,Paramètres!$A$1:$I$89,3,0)*VLOOKUP('Données projet'!$B$14,Paramètres!$A$1:$I$89,5,0)</f>
        <v>-9.7543306765146564E-14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203.34232675618244</v>
      </c>
      <c r="DU103" s="59">
        <f t="shared" si="98"/>
        <v>176.81257896138806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102.30180308419314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102.30180308419314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2.8421709430404007E-14</v>
      </c>
      <c r="EK103" s="17">
        <f>EJ103*VLOOKUP('Données projet'!$B$15,Paramètres!$A$1:$I$89,3,0)*VLOOKUP('Données projet'!$B$15,Paramètres!$A$1:$I$89,5,0)</f>
        <v>2.7489477361086758E-14</v>
      </c>
      <c r="EL103" s="13">
        <f t="shared" si="99"/>
        <v>4.7995394886724981E-13</v>
      </c>
      <c r="EM103" s="20">
        <f t="shared" si="73"/>
        <v>8.8379730068101964E-13</v>
      </c>
      <c r="EN103" s="59">
        <f t="shared" si="74"/>
        <v>293.33333333333422</v>
      </c>
      <c r="EO103" s="59">
        <f ca="1">AVERAGE(OFFSET($EN$3,0,0,'Données projet'!$E$15+1,1))-AVERAGE(OFFSET($H$3,0,0,'Données projet'!$E$15+1,1))</f>
        <v>218.78765033569107</v>
      </c>
      <c r="EP103" s="59">
        <f t="shared" si="100"/>
        <v>246.54010105494137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170.80796812111521</v>
      </c>
      <c r="FK103" s="59">
        <f t="shared" si="102"/>
        <v>249.84047400410321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0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333.02360594713667</v>
      </c>
      <c r="T104" s="59">
        <f t="shared" si="88"/>
        <v>546.58234447298014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57.072319721501735</v>
      </c>
      <c r="AA104" s="21">
        <f>EXP(-LN(2)/25)*AA103+(1-EXP(-LN(2)/25))/(LN(2)/25)*Calculateur!V104*Calculateur!X104*VLOOKUP('Données projet'!$B$9,Paramètres!$A$1:$I$89,3,0)*0.475*44/12</f>
        <v>18.699700131828109</v>
      </c>
      <c r="AB104" s="21">
        <f>EXP(-LN(2)/2)*AB103+(1-EXP(-LN(2)/2))/(LN(2)/2)*V104*Y104*VLOOKUP('Données projet'!$B$9,Paramètres!$A$1:$I$89,3,0)*0.475*44/12</f>
        <v>1.5418957613525062E-7</v>
      </c>
      <c r="AC104" s="22">
        <f t="shared" si="57"/>
        <v>75.77202000751943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-9.9316821433603781E-14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243.26825841283591</v>
      </c>
      <c r="AO104" s="59">
        <f t="shared" si="90"/>
        <v>179.2944312100729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76.552411384382623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76.552411384382623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-5.6843418860808015E-14</v>
      </c>
      <c r="BE104" s="13">
        <f>BD104*VLOOKUP('Données projet'!$B$11,Paramètres!$A$1:$I$89,3,0)*VLOOKUP('Données projet'!$B$11,Paramètres!$A$1:$I$89,5,0)</f>
        <v>-4.1677594708744434E-14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146.45728988963538</v>
      </c>
      <c r="BJ104" s="59">
        <f t="shared" si="92"/>
        <v>156.91778940341118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32.1177499611168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32.1177499611168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-4.0000000000001137</v>
      </c>
      <c r="BZ104" s="13">
        <f>BY104*VLOOKUP('Données projet'!$B$12,Paramètres!$A$1:$I$89,3,0)*VLOOKUP('Données projet'!$B$12,Paramètres!$A$1:$I$89,5,0)</f>
        <v>-3.1824000000000909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238.71022302719206</v>
      </c>
      <c r="CE104" s="59">
        <f t="shared" si="94"/>
        <v>294.28794439094878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53.429699094229662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53.429699094229662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-1.1368683772161603E-13</v>
      </c>
      <c r="CU104" s="17">
        <f>CT104*VLOOKUP('Données projet'!$B$13,Paramètres!$A$1:$I$89,3,0)*VLOOKUP('Données projet'!$B$13,Paramètres!$A$1:$I$89,5,0)</f>
        <v>-9.0449248091317723E-14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238.71022302719206</v>
      </c>
      <c r="CZ104" s="59">
        <f t="shared" si="96"/>
        <v>294.28794439094878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52.767432887507688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52.767432887507688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-1.1368683772161603E-13</v>
      </c>
      <c r="DP104" s="17">
        <f>DO104*VLOOKUP('Données projet'!$B$14,Paramètres!$A$1:$I$89,3,0)*VLOOKUP('Données projet'!$B$14,Paramètres!$A$1:$I$89,5,0)</f>
        <v>-9.7543306765146564E-14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203.34232675618244</v>
      </c>
      <c r="DU104" s="59">
        <f t="shared" si="98"/>
        <v>176.81257896138806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100.29572712365071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100.29572712365071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2.8421709430404007E-14</v>
      </c>
      <c r="EK104" s="17">
        <f>EJ104*VLOOKUP('Données projet'!$B$15,Paramètres!$A$1:$I$89,3,0)*VLOOKUP('Données projet'!$B$15,Paramètres!$A$1:$I$89,5,0)</f>
        <v>2.7489477361086758E-14</v>
      </c>
      <c r="EL104" s="13">
        <f t="shared" si="99"/>
        <v>4.7995394886724981E-13</v>
      </c>
      <c r="EM104" s="20">
        <f t="shared" si="73"/>
        <v>8.8379730068101964E-13</v>
      </c>
      <c r="EN104" s="59">
        <f t="shared" si="74"/>
        <v>293.33333333333422</v>
      </c>
      <c r="EO104" s="59">
        <f ca="1">AVERAGE(OFFSET($EN$3,0,0,'Données projet'!$E$15+1,1))-AVERAGE(OFFSET($H$3,0,0,'Données projet'!$E$15+1,1))</f>
        <v>218.78765033569107</v>
      </c>
      <c r="EP104" s="59">
        <f t="shared" si="100"/>
        <v>246.54010105494137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170.80796812111521</v>
      </c>
      <c r="FK104" s="59">
        <f t="shared" si="102"/>
        <v>249.84047400410321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0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333.02360594713667</v>
      </c>
      <c r="T105" s="59">
        <f t="shared" si="88"/>
        <v>546.58234447298014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55.953166342440845</v>
      </c>
      <c r="AA105" s="21">
        <f>EXP(-LN(2)/25)*AA104+(1-EXP(-LN(2)/25))/(LN(2)/25)*Calculateur!V105*Calculateur!X105*VLOOKUP('Données projet'!$B$9,Paramètres!$A$1:$I$89,3,0)*0.475*44/12</f>
        <v>18.188355848348777</v>
      </c>
      <c r="AB105" s="21">
        <f>EXP(-LN(2)/2)*AB104+(1-EXP(-LN(2)/2))/(LN(2)/2)*V105*Y105*VLOOKUP('Données projet'!$B$9,Paramètres!$A$1:$I$89,3,0)*0.475*44/12</f>
        <v>1.0902849487351517E-7</v>
      </c>
      <c r="AC105" s="22">
        <f t="shared" si="57"/>
        <v>74.141522299818121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-9.9316821433603781E-14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243.26825841283591</v>
      </c>
      <c r="AO105" s="59">
        <f t="shared" si="90"/>
        <v>179.2944312100729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75.051265289495333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75.051265289495333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-5.6843418860808015E-14</v>
      </c>
      <c r="BE105" s="13">
        <f>BD105*VLOOKUP('Données projet'!$B$11,Paramètres!$A$1:$I$89,3,0)*VLOOKUP('Données projet'!$B$11,Paramètres!$A$1:$I$89,5,0)</f>
        <v>-4.1677594708744434E-14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146.45728988963538</v>
      </c>
      <c r="BJ105" s="59">
        <f t="shared" si="92"/>
        <v>156.91778940341118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31.487940474272435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31.487940474272435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-4.0000000000001137</v>
      </c>
      <c r="BZ105" s="13">
        <f>BY105*VLOOKUP('Données projet'!$B$12,Paramètres!$A$1:$I$89,3,0)*VLOOKUP('Données projet'!$B$12,Paramètres!$A$1:$I$89,5,0)</f>
        <v>-3.1824000000000909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238.71022302719206</v>
      </c>
      <c r="CE105" s="59">
        <f t="shared" si="94"/>
        <v>294.28794439094878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52.381975283890377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52.381975283890377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-1.1368683772161603E-13</v>
      </c>
      <c r="CU105" s="17">
        <f>CT105*VLOOKUP('Données projet'!$B$13,Paramètres!$A$1:$I$89,3,0)*VLOOKUP('Données projet'!$B$13,Paramètres!$A$1:$I$89,5,0)</f>
        <v>-9.0449248091317723E-14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238.71022302719206</v>
      </c>
      <c r="CZ105" s="59">
        <f t="shared" si="96"/>
        <v>294.28794439094878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51.732695713539727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51.732695713539727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-1.1368683772161603E-13</v>
      </c>
      <c r="DP105" s="17">
        <f>DO105*VLOOKUP('Données projet'!$B$14,Paramètres!$A$1:$I$89,3,0)*VLOOKUP('Données projet'!$B$14,Paramètres!$A$1:$I$89,5,0)</f>
        <v>-9.7543306765146564E-14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203.34232675618244</v>
      </c>
      <c r="DU105" s="59">
        <f t="shared" si="98"/>
        <v>176.81257896138806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98.328989089109001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98.328989089109001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2.8421709430404007E-14</v>
      </c>
      <c r="EK105" s="17">
        <f>EJ105*VLOOKUP('Données projet'!$B$15,Paramètres!$A$1:$I$89,3,0)*VLOOKUP('Données projet'!$B$15,Paramètres!$A$1:$I$89,5,0)</f>
        <v>2.7489477361086758E-14</v>
      </c>
      <c r="EL105" s="13">
        <f t="shared" si="99"/>
        <v>4.7995394886724981E-13</v>
      </c>
      <c r="EM105" s="20">
        <f t="shared" si="73"/>
        <v>8.8379730068101964E-13</v>
      </c>
      <c r="EN105" s="59">
        <f t="shared" si="74"/>
        <v>293.33333333333422</v>
      </c>
      <c r="EO105" s="59">
        <f ca="1">AVERAGE(OFFSET($EN$3,0,0,'Données projet'!$E$15+1,1))-AVERAGE(OFFSET($H$3,0,0,'Données projet'!$E$15+1,1))</f>
        <v>218.78765033569107</v>
      </c>
      <c r="EP105" s="59">
        <f t="shared" si="100"/>
        <v>246.54010105494137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170.80796812111521</v>
      </c>
      <c r="FK105" s="59">
        <f t="shared" si="102"/>
        <v>249.84047400410321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0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333.02360594713667</v>
      </c>
      <c r="T106" s="59">
        <f t="shared" si="88"/>
        <v>546.58234447298014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54.855958878527183</v>
      </c>
      <c r="AA106" s="21">
        <f>EXP(-LN(2)/25)*AA105+(1-EXP(-LN(2)/25))/(LN(2)/25)*Calculateur!V106*Calculateur!X106*VLOOKUP('Données projet'!$B$9,Paramètres!$A$1:$I$89,3,0)*0.475*44/12</f>
        <v>17.690994301191616</v>
      </c>
      <c r="AB106" s="21">
        <f>EXP(-LN(2)/2)*AB105+(1-EXP(-LN(2)/2))/(LN(2)/2)*V106*Y106*VLOOKUP('Données projet'!$B$9,Paramètres!$A$1:$I$89,3,0)*0.475*44/12</f>
        <v>7.7094788067625312E-8</v>
      </c>
      <c r="AC106" s="22">
        <f t="shared" si="57"/>
        <v>72.54695325681358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-9.9316821433603781E-14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243.26825841283591</v>
      </c>
      <c r="AO106" s="59">
        <f t="shared" si="90"/>
        <v>179.2944312100729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73.579555753920076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73.579555753920076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-5.6843418860808015E-14</v>
      </c>
      <c r="BE106" s="13">
        <f>BD106*VLOOKUP('Données projet'!$B$11,Paramètres!$A$1:$I$89,3,0)*VLOOKUP('Données projet'!$B$11,Paramètres!$A$1:$I$89,5,0)</f>
        <v>-4.1677594708744434E-14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146.45728988963538</v>
      </c>
      <c r="BJ106" s="59">
        <f t="shared" si="92"/>
        <v>156.91778940341118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30.87048116731923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30.87048116731923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-4.0000000000001137</v>
      </c>
      <c r="BZ106" s="13">
        <f>BY106*VLOOKUP('Données projet'!$B$12,Paramètres!$A$1:$I$89,3,0)*VLOOKUP('Données projet'!$B$12,Paramètres!$A$1:$I$89,5,0)</f>
        <v>-3.1824000000000909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238.71022302719206</v>
      </c>
      <c r="CE106" s="59">
        <f t="shared" si="94"/>
        <v>294.28794439094878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51.354796698423421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51.354796698423421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-1.1368683772161603E-13</v>
      </c>
      <c r="CU106" s="17">
        <f>CT106*VLOOKUP('Données projet'!$B$13,Paramètres!$A$1:$I$89,3,0)*VLOOKUP('Données projet'!$B$13,Paramètres!$A$1:$I$89,5,0)</f>
        <v>-9.0449248091317723E-14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238.71022302719206</v>
      </c>
      <c r="CZ106" s="59">
        <f t="shared" si="96"/>
        <v>294.28794439094878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50.718249104425915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50.718249104425915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-1.1368683772161603E-13</v>
      </c>
      <c r="DP106" s="17">
        <f>DO106*VLOOKUP('Données projet'!$B$14,Paramètres!$A$1:$I$89,3,0)*VLOOKUP('Données projet'!$B$14,Paramètres!$A$1:$I$89,5,0)</f>
        <v>-9.7543306765146564E-14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203.34232675618244</v>
      </c>
      <c r="DU106" s="59">
        <f t="shared" si="98"/>
        <v>176.81257896138806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96.400817587832904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96.400817587832904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2.8421709430404007E-14</v>
      </c>
      <c r="EK106" s="17">
        <f>EJ106*VLOOKUP('Données projet'!$B$15,Paramètres!$A$1:$I$89,3,0)*VLOOKUP('Données projet'!$B$15,Paramètres!$A$1:$I$89,5,0)</f>
        <v>2.7489477361086758E-14</v>
      </c>
      <c r="EL106" s="13">
        <f t="shared" si="99"/>
        <v>4.7995394886724981E-13</v>
      </c>
      <c r="EM106" s="20">
        <f t="shared" si="73"/>
        <v>8.8379730068101964E-13</v>
      </c>
      <c r="EN106" s="59">
        <f t="shared" si="74"/>
        <v>293.33333333333422</v>
      </c>
      <c r="EO106" s="59">
        <f ca="1">AVERAGE(OFFSET($EN$3,0,0,'Données projet'!$E$15+1,1))-AVERAGE(OFFSET($H$3,0,0,'Données projet'!$E$15+1,1))</f>
        <v>218.78765033569107</v>
      </c>
      <c r="EP106" s="59">
        <f t="shared" si="100"/>
        <v>246.54010105494137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170.80796812111521</v>
      </c>
      <c r="FK106" s="59">
        <f t="shared" si="102"/>
        <v>249.84047400410321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0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333.02360594713667</v>
      </c>
      <c r="T107" s="59">
        <f t="shared" si="88"/>
        <v>546.58234447298014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53.780266983750394</v>
      </c>
      <c r="AA107" s="21">
        <f>EXP(-LN(2)/25)*AA106+(1-EXP(-LN(2)/25))/(LN(2)/25)*Calculateur!V107*Calculateur!X107*VLOOKUP('Données projet'!$B$9,Paramètres!$A$1:$I$89,3,0)*0.475*44/12</f>
        <v>17.207233131696572</v>
      </c>
      <c r="AB107" s="21">
        <f>EXP(-LN(2)/2)*AB106+(1-EXP(-LN(2)/2))/(LN(2)/2)*V107*Y107*VLOOKUP('Données projet'!$B$9,Paramètres!$A$1:$I$89,3,0)*0.475*44/12</f>
        <v>5.4514247436757587E-8</v>
      </c>
      <c r="AC107" s="22">
        <f t="shared" si="57"/>
        <v>70.987500169961208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-9.9316821433603781E-14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243.26825841283591</v>
      </c>
      <c r="AO107" s="59">
        <f t="shared" si="90"/>
        <v>179.2944312100729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72.136705544683267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72.136705544683267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-5.6843418860808015E-14</v>
      </c>
      <c r="BE107" s="13">
        <f>BD107*VLOOKUP('Données projet'!$B$11,Paramètres!$A$1:$I$89,3,0)*VLOOKUP('Données projet'!$B$11,Paramètres!$A$1:$I$89,5,0)</f>
        <v>-4.1677594708744434E-14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146.45728988963538</v>
      </c>
      <c r="BJ107" s="59">
        <f t="shared" si="92"/>
        <v>156.91778940341118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30.265129860762389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30.265129860762389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-4.0000000000001137</v>
      </c>
      <c r="BZ107" s="13">
        <f>BY107*VLOOKUP('Données projet'!$B$12,Paramètres!$A$1:$I$89,3,0)*VLOOKUP('Données projet'!$B$12,Paramètres!$A$1:$I$89,5,0)</f>
        <v>-3.1824000000000909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238.71022302719206</v>
      </c>
      <c r="CE107" s="59">
        <f t="shared" si="94"/>
        <v>294.28794439094878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50.347760458500403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50.347760458500403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-1.1368683772161603E-13</v>
      </c>
      <c r="CU107" s="17">
        <f>CT107*VLOOKUP('Données projet'!$B$13,Paramètres!$A$1:$I$89,3,0)*VLOOKUP('Données projet'!$B$13,Paramètres!$A$1:$I$89,5,0)</f>
        <v>-9.0449248091317723E-14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238.71022302719206</v>
      </c>
      <c r="CZ107" s="59">
        <f t="shared" si="96"/>
        <v>294.28794439094878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49.723695174565492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49.723695174565492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-1.1368683772161603E-13</v>
      </c>
      <c r="DP107" s="17">
        <f>DO107*VLOOKUP('Données projet'!$B$14,Paramètres!$A$1:$I$89,3,0)*VLOOKUP('Données projet'!$B$14,Paramètres!$A$1:$I$89,5,0)</f>
        <v>-9.7543306765146564E-14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203.34232675618244</v>
      </c>
      <c r="DU107" s="59">
        <f t="shared" si="98"/>
        <v>176.81257896138806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94.510456353628342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94.510456353628342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2.8421709430404007E-14</v>
      </c>
      <c r="EK107" s="17">
        <f>EJ107*VLOOKUP('Données projet'!$B$15,Paramètres!$A$1:$I$89,3,0)*VLOOKUP('Données projet'!$B$15,Paramètres!$A$1:$I$89,5,0)</f>
        <v>2.7489477361086758E-14</v>
      </c>
      <c r="EL107" s="13">
        <f t="shared" si="99"/>
        <v>4.7995394886724981E-13</v>
      </c>
      <c r="EM107" s="20">
        <f t="shared" si="73"/>
        <v>8.8379730068101964E-13</v>
      </c>
      <c r="EN107" s="59">
        <f t="shared" si="74"/>
        <v>293.33333333333422</v>
      </c>
      <c r="EO107" s="59">
        <f ca="1">AVERAGE(OFFSET($EN$3,0,0,'Données projet'!$E$15+1,1))-AVERAGE(OFFSET($H$3,0,0,'Données projet'!$E$15+1,1))</f>
        <v>218.78765033569107</v>
      </c>
      <c r="EP107" s="59">
        <f t="shared" si="100"/>
        <v>246.54010105494137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170.80796812111521</v>
      </c>
      <c r="FK107" s="59">
        <f t="shared" si="102"/>
        <v>249.84047400410321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0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333.02360594713667</v>
      </c>
      <c r="T108" s="59">
        <f t="shared" si="88"/>
        <v>546.58234447298014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52.725668750922907</v>
      </c>
      <c r="AA108" s="21">
        <f>EXP(-LN(2)/25)*AA107+(1-EXP(-LN(2)/25))/(LN(2)/25)*Calculateur!V108*Calculateur!X108*VLOOKUP('Données projet'!$B$9,Paramètres!$A$1:$I$89,3,0)*0.475*44/12</f>
        <v>16.736700436821266</v>
      </c>
      <c r="AB108" s="21">
        <f>EXP(-LN(2)/2)*AB107+(1-EXP(-LN(2)/2))/(LN(2)/2)*V108*Y108*VLOOKUP('Données projet'!$B$9,Paramètres!$A$1:$I$89,3,0)*0.475*44/12</f>
        <v>3.8547394033812656E-8</v>
      </c>
      <c r="AC108" s="22">
        <f t="shared" si="57"/>
        <v>69.462369226291571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-9.9316821433603781E-14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243.26825841283591</v>
      </c>
      <c r="AO108" s="59">
        <f t="shared" si="90"/>
        <v>179.2944312100729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70.722148747997863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70.722148747997863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-5.6843418860808015E-14</v>
      </c>
      <c r="BE108" s="13">
        <f>BD108*VLOOKUP('Données projet'!$B$11,Paramètres!$A$1:$I$89,3,0)*VLOOKUP('Données projet'!$B$11,Paramètres!$A$1:$I$89,5,0)</f>
        <v>-4.1677594708744434E-14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146.45728988963538</v>
      </c>
      <c r="BJ108" s="59">
        <f t="shared" si="92"/>
        <v>156.91778940341118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29.671649124099289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29.671649124099289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-4.0000000000001137</v>
      </c>
      <c r="BZ108" s="13">
        <f>BY108*VLOOKUP('Données projet'!$B$12,Paramètres!$A$1:$I$89,3,0)*VLOOKUP('Données projet'!$B$12,Paramètres!$A$1:$I$89,5,0)</f>
        <v>-3.1824000000000909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238.71022302719206</v>
      </c>
      <c r="CE108" s="59">
        <f t="shared" si="94"/>
        <v>294.28794439094878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49.360471585010821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49.360471585010821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-1.1368683772161603E-13</v>
      </c>
      <c r="CU108" s="17">
        <f>CT108*VLOOKUP('Données projet'!$B$13,Paramètres!$A$1:$I$89,3,0)*VLOOKUP('Données projet'!$B$13,Paramètres!$A$1:$I$89,5,0)</f>
        <v>-9.0449248091317723E-14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238.71022302719206</v>
      </c>
      <c r="CZ108" s="59">
        <f t="shared" si="96"/>
        <v>294.28794439094878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48.748643840651631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48.748643840651631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-1.1368683772161603E-13</v>
      </c>
      <c r="DP108" s="17">
        <f>DO108*VLOOKUP('Données projet'!$B$14,Paramètres!$A$1:$I$89,3,0)*VLOOKUP('Données projet'!$B$14,Paramètres!$A$1:$I$89,5,0)</f>
        <v>-9.7543306765146564E-14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203.34232675618244</v>
      </c>
      <c r="DU108" s="59">
        <f t="shared" si="98"/>
        <v>176.81257896138806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92.657163950220024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92.657163950220024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2.8421709430404007E-14</v>
      </c>
      <c r="EK108" s="17">
        <f>EJ108*VLOOKUP('Données projet'!$B$15,Paramètres!$A$1:$I$89,3,0)*VLOOKUP('Données projet'!$B$15,Paramètres!$A$1:$I$89,5,0)</f>
        <v>2.7489477361086758E-14</v>
      </c>
      <c r="EL108" s="13">
        <f t="shared" si="99"/>
        <v>4.7995394886724981E-13</v>
      </c>
      <c r="EM108" s="20">
        <f t="shared" si="73"/>
        <v>8.8379730068101964E-13</v>
      </c>
      <c r="EN108" s="59">
        <f t="shared" si="74"/>
        <v>293.33333333333422</v>
      </c>
      <c r="EO108" s="59">
        <f ca="1">AVERAGE(OFFSET($EN$3,0,0,'Données projet'!$E$15+1,1))-AVERAGE(OFFSET($H$3,0,0,'Données projet'!$E$15+1,1))</f>
        <v>218.78765033569107</v>
      </c>
      <c r="EP108" s="59">
        <f t="shared" si="100"/>
        <v>246.54010105494137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170.80796812111521</v>
      </c>
      <c r="FK108" s="59">
        <f t="shared" si="102"/>
        <v>249.84047400410321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0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333.02360594713667</v>
      </c>
      <c r="T109" s="59">
        <f t="shared" si="88"/>
        <v>546.58234447298014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51.691750546199764</v>
      </c>
      <c r="AA109" s="21">
        <f>EXP(-LN(2)/25)*AA108+(1-EXP(-LN(2)/25))/(LN(2)/25)*Calculateur!V109*Calculateur!X109*VLOOKUP('Données projet'!$B$9,Paramètres!$A$1:$I$89,3,0)*0.475*44/12</f>
        <v>16.279034483231566</v>
      </c>
      <c r="AB109" s="21">
        <f>EXP(-LN(2)/2)*AB108+(1-EXP(-LN(2)/2))/(LN(2)/2)*V109*Y109*VLOOKUP('Données projet'!$B$9,Paramètres!$A$1:$I$89,3,0)*0.475*44/12</f>
        <v>2.7257123718378794E-8</v>
      </c>
      <c r="AC109" s="22">
        <f t="shared" si="57"/>
        <v>67.970785056688456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-9.9316821433603781E-14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243.26825841283591</v>
      </c>
      <c r="AO109" s="59">
        <f t="shared" si="90"/>
        <v>179.2944312100729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69.335330547301012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69.335330547301012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-5.6843418860808015E-14</v>
      </c>
      <c r="BE109" s="13">
        <f>BD109*VLOOKUP('Données projet'!$B$11,Paramètres!$A$1:$I$89,3,0)*VLOOKUP('Données projet'!$B$11,Paramètres!$A$1:$I$89,5,0)</f>
        <v>-4.1677594708744434E-14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146.45728988963538</v>
      </c>
      <c r="BJ109" s="59">
        <f t="shared" si="92"/>
        <v>156.91778940341118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29.089806182694648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29.089806182694648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-4.0000000000001137</v>
      </c>
      <c r="BZ109" s="13">
        <f>BY109*VLOOKUP('Données projet'!$B$12,Paramètres!$A$1:$I$89,3,0)*VLOOKUP('Données projet'!$B$12,Paramètres!$A$1:$I$89,5,0)</f>
        <v>-3.1824000000000909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238.71022302719206</v>
      </c>
      <c r="CE109" s="59">
        <f t="shared" si="94"/>
        <v>294.28794439094878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48.392542844143613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48.392542844143613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-1.1368683772161603E-13</v>
      </c>
      <c r="CU109" s="17">
        <f>CT109*VLOOKUP('Données projet'!$B$13,Paramètres!$A$1:$I$89,3,0)*VLOOKUP('Données projet'!$B$13,Paramètres!$A$1:$I$89,5,0)</f>
        <v>-9.0449248091317723E-14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238.71022302719206</v>
      </c>
      <c r="CZ109" s="59">
        <f t="shared" si="96"/>
        <v>294.28794439094878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47.792712668673232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47.792712668673232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-1.1368683772161603E-13</v>
      </c>
      <c r="DP109" s="17">
        <f>DO109*VLOOKUP('Données projet'!$B$14,Paramètres!$A$1:$I$89,3,0)*VLOOKUP('Données projet'!$B$14,Paramètres!$A$1:$I$89,5,0)</f>
        <v>-9.7543306765146564E-14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203.34232675618244</v>
      </c>
      <c r="DU109" s="59">
        <f t="shared" si="98"/>
        <v>176.81257896138806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90.840213480445797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90.840213480445797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2.8421709430404007E-14</v>
      </c>
      <c r="EK109" s="17">
        <f>EJ109*VLOOKUP('Données projet'!$B$15,Paramètres!$A$1:$I$89,3,0)*VLOOKUP('Données projet'!$B$15,Paramètres!$A$1:$I$89,5,0)</f>
        <v>2.7489477361086758E-14</v>
      </c>
      <c r="EL109" s="13">
        <f t="shared" si="99"/>
        <v>4.7995394886724981E-13</v>
      </c>
      <c r="EM109" s="20">
        <f t="shared" si="73"/>
        <v>8.8379730068101964E-13</v>
      </c>
      <c r="EN109" s="59">
        <f t="shared" si="74"/>
        <v>293.33333333333422</v>
      </c>
      <c r="EO109" s="59">
        <f ca="1">AVERAGE(OFFSET($EN$3,0,0,'Données projet'!$E$15+1,1))-AVERAGE(OFFSET($H$3,0,0,'Données projet'!$E$15+1,1))</f>
        <v>218.78765033569107</v>
      </c>
      <c r="EP109" s="59">
        <f t="shared" si="100"/>
        <v>246.54010105494137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170.80796812111521</v>
      </c>
      <c r="FK109" s="59">
        <f t="shared" si="102"/>
        <v>249.84047400410321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0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333.02360594713667</v>
      </c>
      <c r="T110" s="59">
        <f t="shared" si="88"/>
        <v>546.58234447298014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50.678106846843406</v>
      </c>
      <c r="AA110" s="21">
        <f>EXP(-LN(2)/25)*AA109+(1-EXP(-LN(2)/25))/(LN(2)/25)*Calculateur!V110*Calculateur!X110*VLOOKUP('Données projet'!$B$9,Paramètres!$A$1:$I$89,3,0)*0.475*44/12</f>
        <v>15.833883429210381</v>
      </c>
      <c r="AB110" s="21">
        <f>EXP(-LN(2)/2)*AB109+(1-EXP(-LN(2)/2))/(LN(2)/2)*V110*Y110*VLOOKUP('Données projet'!$B$9,Paramètres!$A$1:$I$89,3,0)*0.475*44/12</f>
        <v>1.9273697016906328E-8</v>
      </c>
      <c r="AC110" s="22">
        <f t="shared" si="57"/>
        <v>66.511990295327479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-9.9316821433603781E-14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243.26825841283591</v>
      </c>
      <c r="AO110" s="59">
        <f t="shared" si="90"/>
        <v>179.2944312100729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67.975707005644239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67.975707005644239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-5.6843418860808015E-14</v>
      </c>
      <c r="BE110" s="13">
        <f>BD110*VLOOKUP('Données projet'!$B$11,Paramètres!$A$1:$I$89,3,0)*VLOOKUP('Données projet'!$B$11,Paramètres!$A$1:$I$89,5,0)</f>
        <v>-4.1677594708744434E-14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146.45728988963538</v>
      </c>
      <c r="BJ110" s="59">
        <f t="shared" si="92"/>
        <v>156.91778940341118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28.519372826481799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28.519372826481799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-4.0000000000001137</v>
      </c>
      <c r="BZ110" s="13">
        <f>BY110*VLOOKUP('Données projet'!$B$12,Paramètres!$A$1:$I$89,3,0)*VLOOKUP('Données projet'!$B$12,Paramètres!$A$1:$I$89,5,0)</f>
        <v>-3.1824000000000909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238.71022302719206</v>
      </c>
      <c r="CE110" s="59">
        <f t="shared" si="94"/>
        <v>294.28794439094878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47.443594595506575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47.443594595506575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-1.1368683772161603E-13</v>
      </c>
      <c r="CU110" s="17">
        <f>CT110*VLOOKUP('Données projet'!$B$13,Paramètres!$A$1:$I$89,3,0)*VLOOKUP('Données projet'!$B$13,Paramètres!$A$1:$I$89,5,0)</f>
        <v>-9.0449248091317723E-14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238.71022302719206</v>
      </c>
      <c r="CZ110" s="59">
        <f t="shared" si="96"/>
        <v>294.28794439094878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46.855526723916888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46.855526723916888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-1.1368683772161603E-13</v>
      </c>
      <c r="DP110" s="17">
        <f>DO110*VLOOKUP('Données projet'!$B$14,Paramètres!$A$1:$I$89,3,0)*VLOOKUP('Données projet'!$B$14,Paramètres!$A$1:$I$89,5,0)</f>
        <v>-9.7543306765146564E-14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203.34232675618244</v>
      </c>
      <c r="DU110" s="59">
        <f t="shared" si="98"/>
        <v>176.81257896138806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89.058892301153492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89.058892301153492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2.8421709430404007E-14</v>
      </c>
      <c r="EK110" s="17">
        <f>EJ110*VLOOKUP('Données projet'!$B$15,Paramètres!$A$1:$I$89,3,0)*VLOOKUP('Données projet'!$B$15,Paramètres!$A$1:$I$89,5,0)</f>
        <v>2.7489477361086758E-14</v>
      </c>
      <c r="EL110" s="13">
        <f t="shared" si="99"/>
        <v>4.7995394886724981E-13</v>
      </c>
      <c r="EM110" s="20">
        <f t="shared" si="73"/>
        <v>8.8379730068101964E-13</v>
      </c>
      <c r="EN110" s="59">
        <f t="shared" si="74"/>
        <v>293.33333333333422</v>
      </c>
      <c r="EO110" s="59">
        <f ca="1">AVERAGE(OFFSET($EN$3,0,0,'Données projet'!$E$15+1,1))-AVERAGE(OFFSET($H$3,0,0,'Données projet'!$E$15+1,1))</f>
        <v>218.78765033569107</v>
      </c>
      <c r="EP110" s="59">
        <f t="shared" si="100"/>
        <v>246.54010105494137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170.80796812111521</v>
      </c>
      <c r="FK110" s="59">
        <f t="shared" si="102"/>
        <v>249.84047400410321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0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333.02360594713667</v>
      </c>
      <c r="T111" s="59">
        <f t="shared" si="88"/>
        <v>546.58234447298014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49.684340082169818</v>
      </c>
      <c r="AA111" s="21">
        <f>EXP(-LN(2)/25)*AA110+(1-EXP(-LN(2)/25))/(LN(2)/25)*Calculateur!V111*Calculateur!X111*VLOOKUP('Données projet'!$B$9,Paramètres!$A$1:$I$89,3,0)*0.475*44/12</f>
        <v>15.400905054170883</v>
      </c>
      <c r="AB111" s="21">
        <f>EXP(-LN(2)/2)*AB110+(1-EXP(-LN(2)/2))/(LN(2)/2)*V111*Y111*VLOOKUP('Données projet'!$B$9,Paramètres!$A$1:$I$89,3,0)*0.475*44/12</f>
        <v>1.3628561859189397E-8</v>
      </c>
      <c r="AC111" s="22">
        <f t="shared" si="57"/>
        <v>65.085245149969268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-9.9316821433603781E-14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243.26825841283591</v>
      </c>
      <c r="AO111" s="59">
        <f t="shared" si="90"/>
        <v>179.2944312100729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66.642744852350887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66.642744852350887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-5.6843418860808015E-14</v>
      </c>
      <c r="BE111" s="13">
        <f>BD111*VLOOKUP('Données projet'!$B$11,Paramètres!$A$1:$I$89,3,0)*VLOOKUP('Données projet'!$B$11,Paramètres!$A$1:$I$89,5,0)</f>
        <v>-4.1677594708744434E-14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146.45728988963538</v>
      </c>
      <c r="BJ111" s="59">
        <f t="shared" si="92"/>
        <v>156.91778940341118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27.960125320454292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27.960125320454292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-4.0000000000001137</v>
      </c>
      <c r="BZ111" s="13">
        <f>BY111*VLOOKUP('Données projet'!$B$12,Paramètres!$A$1:$I$89,3,0)*VLOOKUP('Données projet'!$B$12,Paramètres!$A$1:$I$89,5,0)</f>
        <v>-3.1824000000000909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238.71022302719206</v>
      </c>
      <c r="CE111" s="59">
        <f t="shared" si="94"/>
        <v>294.28794439094878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46.51325464322403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46.51325464322403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-1.1368683772161603E-13</v>
      </c>
      <c r="CU111" s="17">
        <f>CT111*VLOOKUP('Données projet'!$B$13,Paramètres!$A$1:$I$89,3,0)*VLOOKUP('Données projet'!$B$13,Paramètres!$A$1:$I$89,5,0)</f>
        <v>-9.0449248091317723E-14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238.71022302719206</v>
      </c>
      <c r="CZ111" s="59">
        <f t="shared" si="96"/>
        <v>294.28794439094878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45.936718423910236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45.936718423910236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-1.1368683772161603E-13</v>
      </c>
      <c r="DP111" s="17">
        <f>DO111*VLOOKUP('Données projet'!$B$14,Paramètres!$A$1:$I$89,3,0)*VLOOKUP('Données projet'!$B$14,Paramètres!$A$1:$I$89,5,0)</f>
        <v>-9.7543306765146564E-14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203.34232675618244</v>
      </c>
      <c r="DU111" s="59">
        <f t="shared" si="98"/>
        <v>176.81257896138806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87.312501743688472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87.312501743688472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2.8421709430404007E-14</v>
      </c>
      <c r="EK111" s="17">
        <f>EJ111*VLOOKUP('Données projet'!$B$15,Paramètres!$A$1:$I$89,3,0)*VLOOKUP('Données projet'!$B$15,Paramètres!$A$1:$I$89,5,0)</f>
        <v>2.7489477361086758E-14</v>
      </c>
      <c r="EL111" s="13">
        <f t="shared" si="99"/>
        <v>4.7995394886724981E-13</v>
      </c>
      <c r="EM111" s="20">
        <f t="shared" si="73"/>
        <v>8.8379730068101964E-13</v>
      </c>
      <c r="EN111" s="59">
        <f t="shared" si="74"/>
        <v>293.33333333333422</v>
      </c>
      <c r="EO111" s="59">
        <f ca="1">AVERAGE(OFFSET($EN$3,0,0,'Données projet'!$E$15+1,1))-AVERAGE(OFFSET($H$3,0,0,'Données projet'!$E$15+1,1))</f>
        <v>218.78765033569107</v>
      </c>
      <c r="EP111" s="59">
        <f t="shared" si="100"/>
        <v>246.54010105494137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170.80796812111521</v>
      </c>
      <c r="FK111" s="59">
        <f t="shared" si="102"/>
        <v>249.84047400410321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0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333.02360594713667</v>
      </c>
      <c r="T112" s="59">
        <f t="shared" si="88"/>
        <v>546.58234447298014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48.710060477613602</v>
      </c>
      <c r="AA112" s="21">
        <f>EXP(-LN(2)/25)*AA111+(1-EXP(-LN(2)/25))/(LN(2)/25)*Calculateur!V112*Calculateur!X112*VLOOKUP('Données projet'!$B$9,Paramètres!$A$1:$I$89,3,0)*0.475*44/12</f>
        <v>14.979766495566182</v>
      </c>
      <c r="AB112" s="21">
        <f>EXP(-LN(2)/2)*AB111+(1-EXP(-LN(2)/2))/(LN(2)/2)*V112*Y112*VLOOKUP('Données projet'!$B$9,Paramètres!$A$1:$I$89,3,0)*0.475*44/12</f>
        <v>9.636848508453164E-9</v>
      </c>
      <c r="AC112" s="22">
        <f t="shared" si="57"/>
        <v>63.689826982816633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-9.9316821433603781E-14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243.26825841283591</v>
      </c>
      <c r="AO112" s="59">
        <f t="shared" si="90"/>
        <v>179.2944312100729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65.335921273856982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65.335921273856982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-5.6843418860808015E-14</v>
      </c>
      <c r="BE112" s="13">
        <f>BD112*VLOOKUP('Données projet'!$B$11,Paramètres!$A$1:$I$89,3,0)*VLOOKUP('Données projet'!$B$11,Paramètres!$A$1:$I$89,5,0)</f>
        <v>-4.1677594708744434E-14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146.45728988963538</v>
      </c>
      <c r="BJ112" s="59">
        <f t="shared" si="92"/>
        <v>156.91778940341118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27.411844316912688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27.411844316912688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-4.0000000000001137</v>
      </c>
      <c r="BZ112" s="13">
        <f>BY112*VLOOKUP('Données projet'!$B$12,Paramètres!$A$1:$I$89,3,0)*VLOOKUP('Données projet'!$B$12,Paramètres!$A$1:$I$89,5,0)</f>
        <v>-3.1824000000000909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238.71022302719206</v>
      </c>
      <c r="CE112" s="59">
        <f t="shared" si="94"/>
        <v>294.28794439094878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45.60115808995441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45.60115808995441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-1.1368683772161603E-13</v>
      </c>
      <c r="CU112" s="17">
        <f>CT112*VLOOKUP('Données projet'!$B$13,Paramètres!$A$1:$I$89,3,0)*VLOOKUP('Données projet'!$B$13,Paramètres!$A$1:$I$89,5,0)</f>
        <v>-9.0449248091317723E-14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238.71022302719206</v>
      </c>
      <c r="CZ112" s="59">
        <f t="shared" si="96"/>
        <v>294.28794439094878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45.035927394248986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45.035927394248986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-1.1368683772161603E-13</v>
      </c>
      <c r="DP112" s="17">
        <f>DO112*VLOOKUP('Données projet'!$B$14,Paramètres!$A$1:$I$89,3,0)*VLOOKUP('Données projet'!$B$14,Paramètres!$A$1:$I$89,5,0)</f>
        <v>-9.7543306765146564E-14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203.34232675618244</v>
      </c>
      <c r="DU112" s="59">
        <f t="shared" si="98"/>
        <v>176.81257896138806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85.600356839862272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85.600356839862272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2.8421709430404007E-14</v>
      </c>
      <c r="EK112" s="17">
        <f>EJ112*VLOOKUP('Données projet'!$B$15,Paramètres!$A$1:$I$89,3,0)*VLOOKUP('Données projet'!$B$15,Paramètres!$A$1:$I$89,5,0)</f>
        <v>2.7489477361086758E-14</v>
      </c>
      <c r="EL112" s="13">
        <f t="shared" si="99"/>
        <v>4.7995394886724981E-13</v>
      </c>
      <c r="EM112" s="20">
        <f t="shared" si="73"/>
        <v>8.8379730068101964E-13</v>
      </c>
      <c r="EN112" s="59">
        <f t="shared" si="74"/>
        <v>293.33333333333422</v>
      </c>
      <c r="EO112" s="59">
        <f ca="1">AVERAGE(OFFSET($EN$3,0,0,'Données projet'!$E$15+1,1))-AVERAGE(OFFSET($H$3,0,0,'Données projet'!$E$15+1,1))</f>
        <v>218.78765033569107</v>
      </c>
      <c r="EP112" s="59">
        <f t="shared" si="100"/>
        <v>246.54010105494137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170.80796812111521</v>
      </c>
      <c r="FK112" s="59">
        <f t="shared" si="102"/>
        <v>249.84047400410321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0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333.02360594713667</v>
      </c>
      <c r="T113" s="59">
        <f t="shared" si="88"/>
        <v>546.58234447298014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47.754885901850855</v>
      </c>
      <c r="AA113" s="21">
        <f>EXP(-LN(2)/25)*AA112+(1-EXP(-LN(2)/25))/(LN(2)/25)*Calculateur!V113*Calculateur!X113*VLOOKUP('Données projet'!$B$9,Paramètres!$A$1:$I$89,3,0)*0.475*44/12</f>
        <v>14.570143992993241</v>
      </c>
      <c r="AB113" s="21">
        <f>EXP(-LN(2)/2)*AB112+(1-EXP(-LN(2)/2))/(LN(2)/2)*V113*Y113*VLOOKUP('Données projet'!$B$9,Paramètres!$A$1:$I$89,3,0)*0.475*44/12</f>
        <v>6.8142809295946984E-9</v>
      </c>
      <c r="AC113" s="22">
        <f t="shared" si="57"/>
        <v>62.325029901658375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-9.9316821433603781E-14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243.26825841283591</v>
      </c>
      <c r="AO113" s="59">
        <f t="shared" si="90"/>
        <v>179.2944312100729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64.054723708653668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64.054723708653668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-5.6843418860808015E-14</v>
      </c>
      <c r="BE113" s="13">
        <f>BD113*VLOOKUP('Données projet'!$B$11,Paramètres!$A$1:$I$89,3,0)*VLOOKUP('Données projet'!$B$11,Paramètres!$A$1:$I$89,5,0)</f>
        <v>-4.1677594708744434E-14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146.45728988963538</v>
      </c>
      <c r="BJ113" s="59">
        <f t="shared" si="92"/>
        <v>156.91778940341118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26.874314769432143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26.874314769432143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-4.0000000000001137</v>
      </c>
      <c r="BZ113" s="13">
        <f>BY113*VLOOKUP('Données projet'!$B$12,Paramètres!$A$1:$I$89,3,0)*VLOOKUP('Données projet'!$B$12,Paramètres!$A$1:$I$89,5,0)</f>
        <v>-3.1824000000000909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238.71022302719206</v>
      </c>
      <c r="CE113" s="59">
        <f t="shared" si="94"/>
        <v>294.28794439094878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44.706947193770439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44.706947193770439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-1.1368683772161603E-13</v>
      </c>
      <c r="CU113" s="17">
        <f>CT113*VLOOKUP('Données projet'!$B$13,Paramètres!$A$1:$I$89,3,0)*VLOOKUP('Données projet'!$B$13,Paramètres!$A$1:$I$89,5,0)</f>
        <v>-9.0449248091317723E-14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238.71022302719206</v>
      </c>
      <c r="CZ113" s="59">
        <f t="shared" si="96"/>
        <v>294.28794439094878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44.152800327251114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44.152800327251114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-1.1368683772161603E-13</v>
      </c>
      <c r="DP113" s="17">
        <f>DO113*VLOOKUP('Données projet'!$B$14,Paramètres!$A$1:$I$89,3,0)*VLOOKUP('Données projet'!$B$14,Paramètres!$A$1:$I$89,5,0)</f>
        <v>-9.7543306765146564E-14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203.34232675618244</v>
      </c>
      <c r="DU113" s="59">
        <f t="shared" si="98"/>
        <v>176.81257896138806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83.921786053294838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83.921786053294838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2.8421709430404007E-14</v>
      </c>
      <c r="EK113" s="17">
        <f>EJ113*VLOOKUP('Données projet'!$B$15,Paramètres!$A$1:$I$89,3,0)*VLOOKUP('Données projet'!$B$15,Paramètres!$A$1:$I$89,5,0)</f>
        <v>2.7489477361086758E-14</v>
      </c>
      <c r="EL113" s="13">
        <f t="shared" si="99"/>
        <v>4.7995394886724981E-13</v>
      </c>
      <c r="EM113" s="20">
        <f t="shared" si="73"/>
        <v>8.8379730068101964E-13</v>
      </c>
      <c r="EN113" s="59">
        <f t="shared" si="74"/>
        <v>293.33333333333422</v>
      </c>
      <c r="EO113" s="59">
        <f ca="1">AVERAGE(OFFSET($EN$3,0,0,'Données projet'!$E$15+1,1))-AVERAGE(OFFSET($H$3,0,0,'Données projet'!$E$15+1,1))</f>
        <v>218.78765033569107</v>
      </c>
      <c r="EP113" s="59">
        <f t="shared" si="100"/>
        <v>246.54010105494137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170.80796812111521</v>
      </c>
      <c r="FK113" s="59">
        <f t="shared" si="102"/>
        <v>249.84047400410321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0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333.02360594713667</v>
      </c>
      <c r="T114" s="59">
        <f t="shared" si="88"/>
        <v>546.58234447298014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46.81844171691985</v>
      </c>
      <c r="AA114" s="21">
        <f>EXP(-LN(2)/25)*AA113+(1-EXP(-LN(2)/25))/(LN(2)/25)*Calculateur!V114*Calculateur!X114*VLOOKUP('Données projet'!$B$9,Paramètres!$A$1:$I$89,3,0)*0.475*44/12</f>
        <v>14.171722639294268</v>
      </c>
      <c r="AB114" s="21">
        <f>EXP(-LN(2)/2)*AB113+(1-EXP(-LN(2)/2))/(LN(2)/2)*V114*Y114*VLOOKUP('Données projet'!$B$9,Paramètres!$A$1:$I$89,3,0)*0.475*44/12</f>
        <v>4.818424254226582E-9</v>
      </c>
      <c r="AC114" s="22">
        <f t="shared" si="57"/>
        <v>60.990164361032541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-9.9316821433603781E-14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243.26825841283591</v>
      </c>
      <c r="AO114" s="59">
        <f t="shared" si="90"/>
        <v>179.2944312100729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62.798649646250638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62.798649646250638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-5.6843418860808015E-14</v>
      </c>
      <c r="BE114" s="13">
        <f>BD114*VLOOKUP('Données projet'!$B$11,Paramètres!$A$1:$I$89,3,0)*VLOOKUP('Données projet'!$B$11,Paramètres!$A$1:$I$89,5,0)</f>
        <v>-4.1677594708744434E-14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146.45728988963538</v>
      </c>
      <c r="BJ114" s="59">
        <f t="shared" si="92"/>
        <v>156.91778940341118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26.347325848517041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26.347325848517041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-4.0000000000001137</v>
      </c>
      <c r="BZ114" s="13">
        <f>BY114*VLOOKUP('Données projet'!$B$12,Paramètres!$A$1:$I$89,3,0)*VLOOKUP('Données projet'!$B$12,Paramètres!$A$1:$I$89,5,0)</f>
        <v>-3.1824000000000909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238.71022302719206</v>
      </c>
      <c r="CE114" s="59">
        <f t="shared" si="94"/>
        <v>294.28794439094878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43.830271227845842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43.830271227845842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-1.1368683772161603E-13</v>
      </c>
      <c r="CU114" s="17">
        <f>CT114*VLOOKUP('Données projet'!$B$13,Paramètres!$A$1:$I$89,3,0)*VLOOKUP('Données projet'!$B$13,Paramètres!$A$1:$I$89,5,0)</f>
        <v>-9.0449248091317723E-14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238.71022302719206</v>
      </c>
      <c r="CZ114" s="59">
        <f t="shared" si="96"/>
        <v>294.28794439094878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43.286990843382746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43.286990843382746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-1.1368683772161603E-13</v>
      </c>
      <c r="DP114" s="17">
        <f>DO114*VLOOKUP('Données projet'!$B$14,Paramètres!$A$1:$I$89,3,0)*VLOOKUP('Données projet'!$B$14,Paramètres!$A$1:$I$89,5,0)</f>
        <v>-9.7543306765146564E-14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203.34232675618244</v>
      </c>
      <c r="DU114" s="59">
        <f t="shared" si="98"/>
        <v>176.81257896138806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82.276131016024905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82.276131016024905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2.8421709430404007E-14</v>
      </c>
      <c r="EK114" s="17">
        <f>EJ114*VLOOKUP('Données projet'!$B$15,Paramètres!$A$1:$I$89,3,0)*VLOOKUP('Données projet'!$B$15,Paramètres!$A$1:$I$89,5,0)</f>
        <v>2.7489477361086758E-14</v>
      </c>
      <c r="EL114" s="13">
        <f t="shared" si="99"/>
        <v>4.7995394886724981E-13</v>
      </c>
      <c r="EM114" s="20">
        <f t="shared" si="73"/>
        <v>8.8379730068101964E-13</v>
      </c>
      <c r="EN114" s="59">
        <f t="shared" si="74"/>
        <v>293.33333333333422</v>
      </c>
      <c r="EO114" s="59">
        <f ca="1">AVERAGE(OFFSET($EN$3,0,0,'Données projet'!$E$15+1,1))-AVERAGE(OFFSET($H$3,0,0,'Données projet'!$E$15+1,1))</f>
        <v>218.78765033569107</v>
      </c>
      <c r="EP114" s="59">
        <f t="shared" si="100"/>
        <v>246.54010105494137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170.80796812111521</v>
      </c>
      <c r="FK114" s="59">
        <f t="shared" si="102"/>
        <v>249.84047400410321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0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333.02360594713667</v>
      </c>
      <c r="T115" s="59">
        <f t="shared" si="88"/>
        <v>546.58234447298014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45.900360631280783</v>
      </c>
      <c r="AA115" s="21">
        <f>EXP(-LN(2)/25)*AA114+(1-EXP(-LN(2)/25))/(LN(2)/25)*Calculateur!V115*Calculateur!X115*VLOOKUP('Données projet'!$B$9,Paramètres!$A$1:$I$89,3,0)*0.475*44/12</f>
        <v>13.784196138464262</v>
      </c>
      <c r="AB115" s="21">
        <f>EXP(-LN(2)/2)*AB114+(1-EXP(-LN(2)/2))/(LN(2)/2)*V115*Y115*VLOOKUP('Données projet'!$B$9,Paramètres!$A$1:$I$89,3,0)*0.475*44/12</f>
        <v>3.4071404647973492E-9</v>
      </c>
      <c r="AC115" s="22">
        <f t="shared" si="57"/>
        <v>59.684556773152181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-9.9316821433603781E-14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243.26825841283591</v>
      </c>
      <c r="AO115" s="59">
        <f t="shared" si="90"/>
        <v>179.2944312100729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61.567206430081804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61.567206430081804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-5.6843418860808015E-14</v>
      </c>
      <c r="BE115" s="13">
        <f>BD115*VLOOKUP('Données projet'!$B$11,Paramètres!$A$1:$I$89,3,0)*VLOOKUP('Données projet'!$B$11,Paramètres!$A$1:$I$89,5,0)</f>
        <v>-4.1677594708744434E-14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146.45728988963538</v>
      </c>
      <c r="BJ115" s="59">
        <f t="shared" si="92"/>
        <v>156.91778940341118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25.830670858909581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25.830670858909581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-4.0000000000001137</v>
      </c>
      <c r="BZ115" s="13">
        <f>BY115*VLOOKUP('Données projet'!$B$12,Paramètres!$A$1:$I$89,3,0)*VLOOKUP('Données projet'!$B$12,Paramètres!$A$1:$I$89,5,0)</f>
        <v>-3.1824000000000909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238.71022302719206</v>
      </c>
      <c r="CE115" s="59">
        <f t="shared" si="94"/>
        <v>294.28794439094878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42.97078634289349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42.97078634289349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-1.1368683772161603E-13</v>
      </c>
      <c r="CU115" s="17">
        <f>CT115*VLOOKUP('Données projet'!$B$13,Paramètres!$A$1:$I$89,3,0)*VLOOKUP('Données projet'!$B$13,Paramètres!$A$1:$I$89,5,0)</f>
        <v>-9.0449248091317723E-14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238.71022302719206</v>
      </c>
      <c r="CZ115" s="59">
        <f t="shared" si="96"/>
        <v>294.28794439094878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42.438159355401396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42.438159355401396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-1.1368683772161603E-13</v>
      </c>
      <c r="DP115" s="17">
        <f>DO115*VLOOKUP('Données projet'!$B$14,Paramètres!$A$1:$I$89,3,0)*VLOOKUP('Données projet'!$B$14,Paramètres!$A$1:$I$89,5,0)</f>
        <v>-9.7543306765146564E-14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203.34232675618244</v>
      </c>
      <c r="DU115" s="59">
        <f t="shared" si="98"/>
        <v>176.81257896138806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80.662746270285368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80.662746270285368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2.8421709430404007E-14</v>
      </c>
      <c r="EK115" s="17">
        <f>EJ115*VLOOKUP('Données projet'!$B$15,Paramètres!$A$1:$I$89,3,0)*VLOOKUP('Données projet'!$B$15,Paramètres!$A$1:$I$89,5,0)</f>
        <v>2.7489477361086758E-14</v>
      </c>
      <c r="EL115" s="13">
        <f t="shared" si="99"/>
        <v>4.7995394886724981E-13</v>
      </c>
      <c r="EM115" s="20">
        <f t="shared" si="73"/>
        <v>8.8379730068101964E-13</v>
      </c>
      <c r="EN115" s="59">
        <f t="shared" si="74"/>
        <v>293.33333333333422</v>
      </c>
      <c r="EO115" s="59">
        <f ca="1">AVERAGE(OFFSET($EN$3,0,0,'Données projet'!$E$15+1,1))-AVERAGE(OFFSET($H$3,0,0,'Données projet'!$E$15+1,1))</f>
        <v>218.78765033569107</v>
      </c>
      <c r="EP115" s="59">
        <f t="shared" si="100"/>
        <v>246.54010105494137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170.80796812111521</v>
      </c>
      <c r="FK115" s="59">
        <f t="shared" si="102"/>
        <v>249.84047400410321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0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333.02360594713667</v>
      </c>
      <c r="T116" s="59">
        <f t="shared" si="88"/>
        <v>546.58234447298014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45.000282555756932</v>
      </c>
      <c r="AA116" s="21">
        <f>EXP(-LN(2)/25)*AA115+(1-EXP(-LN(2)/25))/(LN(2)/25)*Calculateur!V116*Calculateur!X116*VLOOKUP('Données projet'!$B$9,Paramètres!$A$1:$I$89,3,0)*0.475*44/12</f>
        <v>13.407266570178585</v>
      </c>
      <c r="AB116" s="21">
        <f>EXP(-LN(2)/2)*AB115+(1-EXP(-LN(2)/2))/(LN(2)/2)*V116*Y116*VLOOKUP('Données projet'!$B$9,Paramètres!$A$1:$I$89,3,0)*0.475*44/12</f>
        <v>2.409212127113291E-9</v>
      </c>
      <c r="AC116" s="22">
        <f t="shared" si="57"/>
        <v>58.407549128344726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-9.9316821433603781E-14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243.26825841283591</v>
      </c>
      <c r="AO116" s="59">
        <f t="shared" si="90"/>
        <v>179.2944312100729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60.359911064275842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60.359911064275842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-5.6843418860808015E-14</v>
      </c>
      <c r="BE116" s="13">
        <f>BD116*VLOOKUP('Données projet'!$B$11,Paramètres!$A$1:$I$89,3,0)*VLOOKUP('Données projet'!$B$11,Paramètres!$A$1:$I$89,5,0)</f>
        <v>-4.1677594708744434E-14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146.45728988963538</v>
      </c>
      <c r="BJ116" s="59">
        <f t="shared" si="92"/>
        <v>156.91778940341118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25.324147158519896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25.324147158519896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-4.0000000000001137</v>
      </c>
      <c r="BZ116" s="13">
        <f>BY116*VLOOKUP('Données projet'!$B$12,Paramètres!$A$1:$I$89,3,0)*VLOOKUP('Données projet'!$B$12,Paramètres!$A$1:$I$89,5,0)</f>
        <v>-3.1824000000000909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238.71022302719206</v>
      </c>
      <c r="CE116" s="59">
        <f t="shared" si="94"/>
        <v>294.28794439094878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42.128155432301035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42.128155432301035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-1.1368683772161603E-13</v>
      </c>
      <c r="CU116" s="17">
        <f>CT116*VLOOKUP('Données projet'!$B$13,Paramètres!$A$1:$I$89,3,0)*VLOOKUP('Données projet'!$B$13,Paramètres!$A$1:$I$89,5,0)</f>
        <v>-9.0449248091317723E-14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238.71022302719206</v>
      </c>
      <c r="CZ116" s="59">
        <f t="shared" si="96"/>
        <v>294.28794439094878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41.60597293516328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41.60597293516328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-1.1368683772161603E-13</v>
      </c>
      <c r="DP116" s="17">
        <f>DO116*VLOOKUP('Données projet'!$B$14,Paramètres!$A$1:$I$89,3,0)*VLOOKUP('Données projet'!$B$14,Paramètres!$A$1:$I$89,5,0)</f>
        <v>-9.7543306765146564E-14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203.34232675618244</v>
      </c>
      <c r="DU116" s="59">
        <f t="shared" si="98"/>
        <v>176.81257896138806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79.080999015342258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79.080999015342258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2.8421709430404007E-14</v>
      </c>
      <c r="EK116" s="17">
        <f>EJ116*VLOOKUP('Données projet'!$B$15,Paramètres!$A$1:$I$89,3,0)*VLOOKUP('Données projet'!$B$15,Paramètres!$A$1:$I$89,5,0)</f>
        <v>2.7489477361086758E-14</v>
      </c>
      <c r="EL116" s="13">
        <f t="shared" si="99"/>
        <v>4.7995394886724981E-13</v>
      </c>
      <c r="EM116" s="20">
        <f t="shared" si="73"/>
        <v>8.8379730068101964E-13</v>
      </c>
      <c r="EN116" s="59">
        <f t="shared" si="74"/>
        <v>293.33333333333422</v>
      </c>
      <c r="EO116" s="59">
        <f ca="1">AVERAGE(OFFSET($EN$3,0,0,'Données projet'!$E$15+1,1))-AVERAGE(OFFSET($H$3,0,0,'Données projet'!$E$15+1,1))</f>
        <v>218.78765033569107</v>
      </c>
      <c r="EP116" s="59">
        <f t="shared" si="100"/>
        <v>246.54010105494137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170.80796812111521</v>
      </c>
      <c r="FK116" s="59">
        <f t="shared" si="102"/>
        <v>249.84047400410321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0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333.02360594713667</v>
      </c>
      <c r="T117" s="59">
        <f t="shared" si="88"/>
        <v>546.58234447298014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44.117854462300684</v>
      </c>
      <c r="AA117" s="21">
        <f>EXP(-LN(2)/25)*AA116+(1-EXP(-LN(2)/25))/(LN(2)/25)*Calculateur!V117*Calculateur!X117*VLOOKUP('Données projet'!$B$9,Paramètres!$A$1:$I$89,3,0)*0.475*44/12</f>
        <v>13.040644160759545</v>
      </c>
      <c r="AB117" s="21">
        <f>EXP(-LN(2)/2)*AB116+(1-EXP(-LN(2)/2))/(LN(2)/2)*V117*Y117*VLOOKUP('Données projet'!$B$9,Paramètres!$A$1:$I$89,3,0)*0.475*44/12</f>
        <v>1.7035702323986746E-9</v>
      </c>
      <c r="AC117" s="22">
        <f t="shared" si="57"/>
        <v>57.158498624763794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-9.9316821433603781E-14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243.26825841283591</v>
      </c>
      <c r="AO117" s="59">
        <f t="shared" si="90"/>
        <v>179.2944312100729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59.176290024215874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59.176290024215874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-5.6843418860808015E-14</v>
      </c>
      <c r="BE117" s="13">
        <f>BD117*VLOOKUP('Données projet'!$B$11,Paramètres!$A$1:$I$89,3,0)*VLOOKUP('Données projet'!$B$11,Paramètres!$A$1:$I$89,5,0)</f>
        <v>-4.1677594708744434E-14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146.45728988963538</v>
      </c>
      <c r="BJ117" s="59">
        <f t="shared" si="92"/>
        <v>156.91778940341118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24.8275560789459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24.8275560789459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-4.0000000000001137</v>
      </c>
      <c r="BZ117" s="13">
        <f>BY117*VLOOKUP('Données projet'!$B$12,Paramètres!$A$1:$I$89,3,0)*VLOOKUP('Données projet'!$B$12,Paramètres!$A$1:$I$89,5,0)</f>
        <v>-3.1824000000000909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238.71022302719206</v>
      </c>
      <c r="CE117" s="59">
        <f t="shared" si="94"/>
        <v>294.28794439094878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41.302047999911196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41.302047999911196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-1.1368683772161603E-13</v>
      </c>
      <c r="CU117" s="17">
        <f>CT117*VLOOKUP('Données projet'!$B$13,Paramètres!$A$1:$I$89,3,0)*VLOOKUP('Données projet'!$B$13,Paramètres!$A$1:$I$89,5,0)</f>
        <v>-9.0449248091317723E-14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238.71022302719206</v>
      </c>
      <c r="CZ117" s="59">
        <f t="shared" si="96"/>
        <v>294.28794439094878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40.790105183042435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40.790105183042435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-1.1368683772161603E-13</v>
      </c>
      <c r="DP117" s="17">
        <f>DO117*VLOOKUP('Données projet'!$B$14,Paramètres!$A$1:$I$89,3,0)*VLOOKUP('Données projet'!$B$14,Paramètres!$A$1:$I$89,5,0)</f>
        <v>-9.7543306765146564E-14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203.34232675618244</v>
      </c>
      <c r="DU117" s="59">
        <f t="shared" si="98"/>
        <v>176.81257896138806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77.530268859298019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77.530268859298019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2.8421709430404007E-14</v>
      </c>
      <c r="EK117" s="17">
        <f>EJ117*VLOOKUP('Données projet'!$B$15,Paramètres!$A$1:$I$89,3,0)*VLOOKUP('Données projet'!$B$15,Paramètres!$A$1:$I$89,5,0)</f>
        <v>2.7489477361086758E-14</v>
      </c>
      <c r="EL117" s="13">
        <f t="shared" si="99"/>
        <v>4.7995394886724981E-13</v>
      </c>
      <c r="EM117" s="20">
        <f t="shared" si="73"/>
        <v>8.8379730068101964E-13</v>
      </c>
      <c r="EN117" s="59">
        <f t="shared" si="74"/>
        <v>293.33333333333422</v>
      </c>
      <c r="EO117" s="59">
        <f ca="1">AVERAGE(OFFSET($EN$3,0,0,'Données projet'!$E$15+1,1))-AVERAGE(OFFSET($H$3,0,0,'Données projet'!$E$15+1,1))</f>
        <v>218.78765033569107</v>
      </c>
      <c r="EP117" s="59">
        <f t="shared" si="100"/>
        <v>246.54010105494137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170.80796812111521</v>
      </c>
      <c r="FK117" s="59">
        <f t="shared" si="102"/>
        <v>249.84047400410321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0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333.02360594713667</v>
      </c>
      <c r="T118" s="59">
        <f t="shared" si="88"/>
        <v>546.58234447298014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43.252730245529122</v>
      </c>
      <c r="AA118" s="21">
        <f>EXP(-LN(2)/25)*AA117+(1-EXP(-LN(2)/25))/(LN(2)/25)*Calculateur!V118*Calculateur!X118*VLOOKUP('Données projet'!$B$9,Paramètres!$A$1:$I$89,3,0)*0.475*44/12</f>
        <v>12.684047060405904</v>
      </c>
      <c r="AB118" s="21">
        <f>EXP(-LN(2)/2)*AB117+(1-EXP(-LN(2)/2))/(LN(2)/2)*V118*Y118*VLOOKUP('Données projet'!$B$9,Paramètres!$A$1:$I$89,3,0)*0.475*44/12</f>
        <v>1.2046060635566455E-9</v>
      </c>
      <c r="AC118" s="22">
        <f t="shared" si="57"/>
        <v>55.936777307139629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-9.9316821433603781E-14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243.26825841283591</v>
      </c>
      <c r="AO118" s="59">
        <f t="shared" si="90"/>
        <v>179.2944312100729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58.015879070813931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58.015879070813931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-5.6843418860808015E-14</v>
      </c>
      <c r="BE118" s="13">
        <f>BD118*VLOOKUP('Données projet'!$B$11,Paramètres!$A$1:$I$89,3,0)*VLOOKUP('Données projet'!$B$11,Paramètres!$A$1:$I$89,5,0)</f>
        <v>-4.1677594708744434E-14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146.45728988963538</v>
      </c>
      <c r="BJ118" s="59">
        <f t="shared" si="92"/>
        <v>156.91778940341118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24.3407028475517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24.3407028475517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-4.0000000000001137</v>
      </c>
      <c r="BZ118" s="13">
        <f>BY118*VLOOKUP('Données projet'!$B$12,Paramètres!$A$1:$I$89,3,0)*VLOOKUP('Données projet'!$B$12,Paramètres!$A$1:$I$89,5,0)</f>
        <v>-3.1824000000000909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238.71022302719206</v>
      </c>
      <c r="CE118" s="59">
        <f t="shared" si="94"/>
        <v>294.28794439094878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40.492140030394737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40.492140030394737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-1.1368683772161603E-13</v>
      </c>
      <c r="CU118" s="17">
        <f>CT118*VLOOKUP('Données projet'!$B$13,Paramètres!$A$1:$I$89,3,0)*VLOOKUP('Données projet'!$B$13,Paramètres!$A$1:$I$89,5,0)</f>
        <v>-9.0449248091317723E-14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238.71022302719206</v>
      </c>
      <c r="CZ118" s="59">
        <f t="shared" si="96"/>
        <v>294.28794439094878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39.99023609991049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39.99023609991049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-1.1368683772161603E-13</v>
      </c>
      <c r="DP118" s="17">
        <f>DO118*VLOOKUP('Données projet'!$B$14,Paramètres!$A$1:$I$89,3,0)*VLOOKUP('Données projet'!$B$14,Paramètres!$A$1:$I$89,5,0)</f>
        <v>-9.7543306765146564E-14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203.34232675618244</v>
      </c>
      <c r="DU118" s="59">
        <f t="shared" si="98"/>
        <v>176.81257896138806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76.009947575761814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76.009947575761814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2.8421709430404007E-14</v>
      </c>
      <c r="EK118" s="17">
        <f>EJ118*VLOOKUP('Données projet'!$B$15,Paramètres!$A$1:$I$89,3,0)*VLOOKUP('Données projet'!$B$15,Paramètres!$A$1:$I$89,5,0)</f>
        <v>2.7489477361086758E-14</v>
      </c>
      <c r="EL118" s="13">
        <f t="shared" si="99"/>
        <v>4.7995394886724981E-13</v>
      </c>
      <c r="EM118" s="20">
        <f t="shared" si="73"/>
        <v>8.8379730068101964E-13</v>
      </c>
      <c r="EN118" s="59">
        <f t="shared" si="74"/>
        <v>293.33333333333422</v>
      </c>
      <c r="EO118" s="59">
        <f ca="1">AVERAGE(OFFSET($EN$3,0,0,'Données projet'!$E$15+1,1))-AVERAGE(OFFSET($H$3,0,0,'Données projet'!$E$15+1,1))</f>
        <v>218.78765033569107</v>
      </c>
      <c r="EP118" s="59">
        <f t="shared" si="100"/>
        <v>246.54010105494137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170.80796812111521</v>
      </c>
      <c r="FK118" s="59">
        <f t="shared" si="102"/>
        <v>249.84047400410321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0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333.02360594713667</v>
      </c>
      <c r="T119" s="59">
        <f t="shared" si="88"/>
        <v>546.58234447298014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42.404570586974785</v>
      </c>
      <c r="AA119" s="21">
        <f>EXP(-LN(2)/25)*AA118+(1-EXP(-LN(2)/25))/(LN(2)/25)*Calculateur!V119*Calculateur!X119*VLOOKUP('Données projet'!$B$9,Paramètres!$A$1:$I$89,3,0)*0.475*44/12</f>
        <v>12.33720112651406</v>
      </c>
      <c r="AB119" s="21">
        <f>EXP(-LN(2)/2)*AB118+(1-EXP(-LN(2)/2))/(LN(2)/2)*V119*Y119*VLOOKUP('Données projet'!$B$9,Paramètres!$A$1:$I$89,3,0)*0.475*44/12</f>
        <v>8.517851161993373E-10</v>
      </c>
      <c r="AC119" s="22">
        <f t="shared" si="57"/>
        <v>54.741771714340629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-9.9316821433603781E-14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243.26825841283591</v>
      </c>
      <c r="AO119" s="59">
        <f t="shared" si="90"/>
        <v>179.2944312100729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56.87822306842741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56.87822306842741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-5.6843418860808015E-14</v>
      </c>
      <c r="BE119" s="13">
        <f>BD119*VLOOKUP('Données projet'!$B$11,Paramètres!$A$1:$I$89,3,0)*VLOOKUP('Données projet'!$B$11,Paramètres!$A$1:$I$89,5,0)</f>
        <v>-4.1677594708744434E-14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146.45728988963538</v>
      </c>
      <c r="BJ119" s="59">
        <f t="shared" si="92"/>
        <v>156.91778940341118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23.86339651107399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23.86339651107399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-4.0000000000001137</v>
      </c>
      <c r="BZ119" s="13">
        <f>BY119*VLOOKUP('Données projet'!$B$12,Paramètres!$A$1:$I$89,3,0)*VLOOKUP('Données projet'!$B$12,Paramètres!$A$1:$I$89,5,0)</f>
        <v>-3.1824000000000909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238.71022302719206</v>
      </c>
      <c r="CE119" s="59">
        <f t="shared" si="94"/>
        <v>294.28794439094878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39.698113862165414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39.698113862165414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-1.1368683772161603E-13</v>
      </c>
      <c r="CU119" s="17">
        <f>CT119*VLOOKUP('Données projet'!$B$13,Paramètres!$A$1:$I$89,3,0)*VLOOKUP('Données projet'!$B$13,Paramètres!$A$1:$I$89,5,0)</f>
        <v>-9.0449248091317723E-14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238.71022302719206</v>
      </c>
      <c r="CZ119" s="59">
        <f t="shared" si="96"/>
        <v>294.28794439094878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39.206051961626791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39.206051961626791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-1.1368683772161603E-13</v>
      </c>
      <c r="DP119" s="17">
        <f>DO119*VLOOKUP('Données projet'!$B$14,Paramètres!$A$1:$I$89,3,0)*VLOOKUP('Données projet'!$B$14,Paramètres!$A$1:$I$89,5,0)</f>
        <v>-9.7543306765146564E-14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203.34232675618244</v>
      </c>
      <c r="DU119" s="59">
        <f t="shared" si="98"/>
        <v>176.81257896138806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74.519438865291335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74.519438865291335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2.8421709430404007E-14</v>
      </c>
      <c r="EK119" s="17">
        <f>EJ119*VLOOKUP('Données projet'!$B$15,Paramètres!$A$1:$I$89,3,0)*VLOOKUP('Données projet'!$B$15,Paramètres!$A$1:$I$89,5,0)</f>
        <v>2.7489477361086758E-14</v>
      </c>
      <c r="EL119" s="13">
        <f t="shared" si="99"/>
        <v>4.7995394886724981E-13</v>
      </c>
      <c r="EM119" s="20">
        <f t="shared" si="73"/>
        <v>8.8379730068101964E-13</v>
      </c>
      <c r="EN119" s="59">
        <f t="shared" si="74"/>
        <v>293.33333333333422</v>
      </c>
      <c r="EO119" s="59">
        <f ca="1">AVERAGE(OFFSET($EN$3,0,0,'Données projet'!$E$15+1,1))-AVERAGE(OFFSET($H$3,0,0,'Données projet'!$E$15+1,1))</f>
        <v>218.78765033569107</v>
      </c>
      <c r="EP119" s="59">
        <f t="shared" si="100"/>
        <v>246.54010105494137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170.80796812111521</v>
      </c>
      <c r="FK119" s="59">
        <f t="shared" si="102"/>
        <v>249.84047400410321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0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333.02360594713667</v>
      </c>
      <c r="T120" s="59">
        <f t="shared" si="88"/>
        <v>546.58234447298014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41.573042821998385</v>
      </c>
      <c r="AA120" s="21">
        <f>EXP(-LN(2)/25)*AA119+(1-EXP(-LN(2)/25))/(LN(2)/25)*Calculateur!V120*Calculateur!X120*VLOOKUP('Données projet'!$B$9,Paramètres!$A$1:$I$89,3,0)*0.475*44/12</f>
        <v>11.999839712924322</v>
      </c>
      <c r="AB120" s="21">
        <f>EXP(-LN(2)/2)*AB119+(1-EXP(-LN(2)/2))/(LN(2)/2)*V120*Y120*VLOOKUP('Données projet'!$B$9,Paramètres!$A$1:$I$89,3,0)*0.475*44/12</f>
        <v>6.0230303177832275E-10</v>
      </c>
      <c r="AC120" s="22">
        <f t="shared" si="57"/>
        <v>53.572882535525011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-9.9316821433603781E-14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243.26825841283591</v>
      </c>
      <c r="AO120" s="59">
        <f t="shared" si="90"/>
        <v>179.2944312100729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55.762875806346038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55.762875806346038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-5.6843418860808015E-14</v>
      </c>
      <c r="BE120" s="13">
        <f>BD120*VLOOKUP('Données projet'!$B$11,Paramètres!$A$1:$I$89,3,0)*VLOOKUP('Données projet'!$B$11,Paramètres!$A$1:$I$89,5,0)</f>
        <v>-4.1677594708744434E-14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146.45728988963538</v>
      </c>
      <c r="BJ120" s="59">
        <f t="shared" si="92"/>
        <v>156.91778940341118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23.39544986072649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23.39544986072649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-4.0000000000001137</v>
      </c>
      <c r="BZ120" s="13">
        <f>BY120*VLOOKUP('Données projet'!$B$12,Paramètres!$A$1:$I$89,3,0)*VLOOKUP('Données projet'!$B$12,Paramètres!$A$1:$I$89,5,0)</f>
        <v>-3.1824000000000909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238.71022302719206</v>
      </c>
      <c r="CE120" s="59">
        <f t="shared" si="94"/>
        <v>294.28794439094878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38.919658062786922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38.919658062786922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-1.1368683772161603E-13</v>
      </c>
      <c r="CU120" s="17">
        <f>CT120*VLOOKUP('Données projet'!$B$13,Paramètres!$A$1:$I$89,3,0)*VLOOKUP('Données projet'!$B$13,Paramètres!$A$1:$I$89,5,0)</f>
        <v>-9.0449248091317723E-14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238.71022302719206</v>
      </c>
      <c r="CZ120" s="59">
        <f t="shared" si="96"/>
        <v>294.28794439094878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38.437245195989739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38.437245195989739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-1.1368683772161603E-13</v>
      </c>
      <c r="DP120" s="17">
        <f>DO120*VLOOKUP('Données projet'!$B$14,Paramètres!$A$1:$I$89,3,0)*VLOOKUP('Données projet'!$B$14,Paramètres!$A$1:$I$89,5,0)</f>
        <v>-9.7543306765146564E-14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203.34232675618244</v>
      </c>
      <c r="DU120" s="59">
        <f t="shared" si="98"/>
        <v>176.81257896138806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73.058158121512633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73.058158121512633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2.8421709430404007E-14</v>
      </c>
      <c r="EK120" s="17">
        <f>EJ120*VLOOKUP('Données projet'!$B$15,Paramètres!$A$1:$I$89,3,0)*VLOOKUP('Données projet'!$B$15,Paramètres!$A$1:$I$89,5,0)</f>
        <v>2.7489477361086758E-14</v>
      </c>
      <c r="EL120" s="13">
        <f t="shared" si="99"/>
        <v>4.7995394886724981E-13</v>
      </c>
      <c r="EM120" s="20">
        <f t="shared" si="73"/>
        <v>8.8379730068101964E-13</v>
      </c>
      <c r="EN120" s="59">
        <f t="shared" si="74"/>
        <v>293.33333333333422</v>
      </c>
      <c r="EO120" s="59">
        <f ca="1">AVERAGE(OFFSET($EN$3,0,0,'Données projet'!$E$15+1,1))-AVERAGE(OFFSET($H$3,0,0,'Données projet'!$E$15+1,1))</f>
        <v>218.78765033569107</v>
      </c>
      <c r="EP120" s="59">
        <f t="shared" si="100"/>
        <v>246.54010105494137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170.80796812111521</v>
      </c>
      <c r="FK120" s="59">
        <f t="shared" si="102"/>
        <v>249.84047400410321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0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333.02360594713667</v>
      </c>
      <c r="T121" s="59">
        <f t="shared" si="88"/>
        <v>546.58234447298014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40.757820809311319</v>
      </c>
      <c r="AA121" s="21">
        <f>EXP(-LN(2)/25)*AA120+(1-EXP(-LN(2)/25))/(LN(2)/25)*Calculateur!V121*Calculateur!X121*VLOOKUP('Données projet'!$B$9,Paramètres!$A$1:$I$89,3,0)*0.475*44/12</f>
        <v>11.671703464930262</v>
      </c>
      <c r="AB121" s="21">
        <f>EXP(-LN(2)/2)*AB120+(1-EXP(-LN(2)/2))/(LN(2)/2)*V121*Y121*VLOOKUP('Données projet'!$B$9,Paramètres!$A$1:$I$89,3,0)*0.475*44/12</f>
        <v>4.2589255809966865E-10</v>
      </c>
      <c r="AC121" s="22">
        <f t="shared" si="57"/>
        <v>52.429524274667472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-9.9316821433603781E-14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243.26825841283591</v>
      </c>
      <c r="AO121" s="59">
        <f t="shared" si="90"/>
        <v>179.2944312100729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54.669399823779429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54.669399823779429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-5.6843418860808015E-14</v>
      </c>
      <c r="BE121" s="13">
        <f>BD121*VLOOKUP('Données projet'!$B$11,Paramètres!$A$1:$I$89,3,0)*VLOOKUP('Données projet'!$B$11,Paramètres!$A$1:$I$89,5,0)</f>
        <v>-4.1677594708744434E-14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146.45728988963538</v>
      </c>
      <c r="BJ121" s="59">
        <f t="shared" si="92"/>
        <v>156.91778940341118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22.936679358773031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22.936679358773031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-4.0000000000001137</v>
      </c>
      <c r="BZ121" s="13">
        <f>BY121*VLOOKUP('Données projet'!$B$12,Paramètres!$A$1:$I$89,3,0)*VLOOKUP('Données projet'!$B$12,Paramètres!$A$1:$I$89,5,0)</f>
        <v>-3.1824000000000909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238.71022302719206</v>
      </c>
      <c r="CE121" s="59">
        <f t="shared" si="94"/>
        <v>294.28794439094878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38.156467306823096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38.156467306823096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-1.1368683772161603E-13</v>
      </c>
      <c r="CU121" s="17">
        <f>CT121*VLOOKUP('Données projet'!$B$13,Paramètres!$A$1:$I$89,3,0)*VLOOKUP('Données projet'!$B$13,Paramètres!$A$1:$I$89,5,0)</f>
        <v>-9.0449248091317723E-14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238.71022302719206</v>
      </c>
      <c r="CZ121" s="59">
        <f t="shared" si="96"/>
        <v>294.28794439094878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37.683514262101006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37.683514262101006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-1.1368683772161603E-13</v>
      </c>
      <c r="DP121" s="17">
        <f>DO121*VLOOKUP('Données projet'!$B$14,Paramètres!$A$1:$I$89,3,0)*VLOOKUP('Données projet'!$B$14,Paramètres!$A$1:$I$89,5,0)</f>
        <v>-9.7543306765146564E-14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203.34232675618244</v>
      </c>
      <c r="DU121" s="59">
        <f t="shared" si="98"/>
        <v>176.81257896138806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71.625532201826189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71.625532201826189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2.8421709430404007E-14</v>
      </c>
      <c r="EK121" s="17">
        <f>EJ121*VLOOKUP('Données projet'!$B$15,Paramètres!$A$1:$I$89,3,0)*VLOOKUP('Données projet'!$B$15,Paramètres!$A$1:$I$89,5,0)</f>
        <v>2.7489477361086758E-14</v>
      </c>
      <c r="EL121" s="13">
        <f t="shared" si="99"/>
        <v>4.7995394886724981E-13</v>
      </c>
      <c r="EM121" s="20">
        <f t="shared" si="73"/>
        <v>8.8379730068101964E-13</v>
      </c>
      <c r="EN121" s="59">
        <f t="shared" si="74"/>
        <v>293.33333333333422</v>
      </c>
      <c r="EO121" s="59">
        <f ca="1">AVERAGE(OFFSET($EN$3,0,0,'Données projet'!$E$15+1,1))-AVERAGE(OFFSET($H$3,0,0,'Données projet'!$E$15+1,1))</f>
        <v>218.78765033569107</v>
      </c>
      <c r="EP121" s="59">
        <f t="shared" si="100"/>
        <v>246.54010105494137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170.80796812111521</v>
      </c>
      <c r="FK121" s="59">
        <f t="shared" si="102"/>
        <v>249.84047400410321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0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333.02360594713667</v>
      </c>
      <c r="T122" s="59">
        <f t="shared" si="88"/>
        <v>546.58234447298014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39.958584803056716</v>
      </c>
      <c r="AA122" s="21">
        <f>EXP(-LN(2)/25)*AA121+(1-EXP(-LN(2)/25))/(LN(2)/25)*Calculateur!V122*Calculateur!X122*VLOOKUP('Données projet'!$B$9,Paramètres!$A$1:$I$89,3,0)*0.475*44/12</f>
        <v>11.352540119893535</v>
      </c>
      <c r="AB122" s="21">
        <f>EXP(-LN(2)/2)*AB121+(1-EXP(-LN(2)/2))/(LN(2)/2)*V122*Y122*VLOOKUP('Données projet'!$B$9,Paramètres!$A$1:$I$89,3,0)*0.475*44/12</f>
        <v>3.0115151588916138E-10</v>
      </c>
      <c r="AC122" s="22">
        <f t="shared" si="57"/>
        <v>51.311124923251398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-9.9316821433603781E-14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243.26825841283591</v>
      </c>
      <c r="AO122" s="59">
        <f t="shared" si="90"/>
        <v>179.2944312100729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53.597366238276457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53.597366238276457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-5.6843418860808015E-14</v>
      </c>
      <c r="BE122" s="13">
        <f>BD122*VLOOKUP('Données projet'!$B$11,Paramètres!$A$1:$I$89,3,0)*VLOOKUP('Données projet'!$B$11,Paramètres!$A$1:$I$89,5,0)</f>
        <v>-4.1677594708744434E-14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146.45728988963538</v>
      </c>
      <c r="BJ122" s="59">
        <f t="shared" si="92"/>
        <v>156.91778940341118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22.486905066540505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22.486905066540505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-4.0000000000001137</v>
      </c>
      <c r="BZ122" s="13">
        <f>BY122*VLOOKUP('Données projet'!$B$12,Paramètres!$A$1:$I$89,3,0)*VLOOKUP('Données projet'!$B$12,Paramètres!$A$1:$I$89,5,0)</f>
        <v>-3.1824000000000909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238.71022302719206</v>
      </c>
      <c r="CE122" s="59">
        <f t="shared" si="94"/>
        <v>294.28794439094878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37.408242256083319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37.408242256083319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-1.1368683772161603E-13</v>
      </c>
      <c r="CU122" s="17">
        <f>CT122*VLOOKUP('Données projet'!$B$13,Paramètres!$A$1:$I$89,3,0)*VLOOKUP('Données projet'!$B$13,Paramètres!$A$1:$I$89,5,0)</f>
        <v>-9.0449248091317723E-14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238.71022302719206</v>
      </c>
      <c r="CZ122" s="59">
        <f t="shared" si="96"/>
        <v>294.28794439094878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36.944563532095358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36.944563532095358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-1.1368683772161603E-13</v>
      </c>
      <c r="DP122" s="17">
        <f>DO122*VLOOKUP('Données projet'!$B$14,Paramètres!$A$1:$I$89,3,0)*VLOOKUP('Données projet'!$B$14,Paramètres!$A$1:$I$89,5,0)</f>
        <v>-9.7543306765146564E-14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203.34232675618244</v>
      </c>
      <c r="DU122" s="59">
        <f t="shared" si="98"/>
        <v>176.81257896138806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70.220999202609264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70.220999202609264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2.8421709430404007E-14</v>
      </c>
      <c r="EK122" s="17">
        <f>EJ122*VLOOKUP('Données projet'!$B$15,Paramètres!$A$1:$I$89,3,0)*VLOOKUP('Données projet'!$B$15,Paramètres!$A$1:$I$89,5,0)</f>
        <v>2.7489477361086758E-14</v>
      </c>
      <c r="EL122" s="13">
        <f t="shared" si="99"/>
        <v>4.7995394886724981E-13</v>
      </c>
      <c r="EM122" s="20">
        <f t="shared" si="73"/>
        <v>8.8379730068101964E-13</v>
      </c>
      <c r="EN122" s="59">
        <f t="shared" si="74"/>
        <v>293.33333333333422</v>
      </c>
      <c r="EO122" s="59">
        <f ca="1">AVERAGE(OFFSET($EN$3,0,0,'Données projet'!$E$15+1,1))-AVERAGE(OFFSET($H$3,0,0,'Données projet'!$E$15+1,1))</f>
        <v>218.78765033569107</v>
      </c>
      <c r="EP122" s="59">
        <f t="shared" si="100"/>
        <v>246.54010105494137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170.80796812111521</v>
      </c>
      <c r="FK122" s="59">
        <f t="shared" si="102"/>
        <v>249.84047400410321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0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333.02360594713667</v>
      </c>
      <c r="T123" s="59">
        <f t="shared" si="88"/>
        <v>546.58234447298014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39.175021327398937</v>
      </c>
      <c r="AA123" s="21">
        <f>EXP(-LN(2)/25)*AA122+(1-EXP(-LN(2)/25))/(LN(2)/25)*Calculateur!V123*Calculateur!X123*VLOOKUP('Données projet'!$B$9,Paramètres!$A$1:$I$89,3,0)*0.475*44/12</f>
        <v>11.042104313310908</v>
      </c>
      <c r="AB123" s="21">
        <f>EXP(-LN(2)/2)*AB122+(1-EXP(-LN(2)/2))/(LN(2)/2)*V123*Y123*VLOOKUP('Données projet'!$B$9,Paramètres!$A$1:$I$89,3,0)*0.475*44/12</f>
        <v>2.1294627904983433E-10</v>
      </c>
      <c r="AC123" s="22">
        <f t="shared" si="57"/>
        <v>50.217125640922795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-9.9316821433603781E-14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243.26825841283591</v>
      </c>
      <c r="AO123" s="59">
        <f t="shared" si="90"/>
        <v>179.2944312100729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52.546354577509277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52.546354577509277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-5.6843418860808015E-14</v>
      </c>
      <c r="BE123" s="13">
        <f>BD123*VLOOKUP('Données projet'!$B$11,Paramètres!$A$1:$I$89,3,0)*VLOOKUP('Données projet'!$B$11,Paramètres!$A$1:$I$89,5,0)</f>
        <v>-4.1677594708744434E-14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146.45728988963538</v>
      </c>
      <c r="BJ123" s="59">
        <f t="shared" si="92"/>
        <v>156.91778940341118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22.045950573843427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22.045950573843427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-4.0000000000001137</v>
      </c>
      <c r="BZ123" s="13">
        <f>BY123*VLOOKUP('Données projet'!$B$12,Paramètres!$A$1:$I$89,3,0)*VLOOKUP('Données projet'!$B$12,Paramètres!$A$1:$I$89,5,0)</f>
        <v>-3.1824000000000909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238.71022302719206</v>
      </c>
      <c r="CE123" s="59">
        <f t="shared" si="94"/>
        <v>294.28794439094878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36.674689442216334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36.674689442216334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-1.1368683772161603E-13</v>
      </c>
      <c r="CU123" s="17">
        <f>CT123*VLOOKUP('Données projet'!$B$13,Paramètres!$A$1:$I$89,3,0)*VLOOKUP('Données projet'!$B$13,Paramètres!$A$1:$I$89,5,0)</f>
        <v>-9.0449248091317723E-14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238.71022302719206</v>
      </c>
      <c r="CZ123" s="59">
        <f t="shared" si="96"/>
        <v>294.28794439094878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36.220103175189678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36.220103175189678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-1.1368683772161603E-13</v>
      </c>
      <c r="DP123" s="17">
        <f>DO123*VLOOKUP('Données projet'!$B$14,Paramètres!$A$1:$I$89,3,0)*VLOOKUP('Données projet'!$B$14,Paramètres!$A$1:$I$89,5,0)</f>
        <v>-9.7543306765146564E-14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203.34232675618244</v>
      </c>
      <c r="DU123" s="59">
        <f t="shared" si="98"/>
        <v>176.81257896138806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68.844008238826447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68.844008238826447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2.8421709430404007E-14</v>
      </c>
      <c r="EK123" s="17">
        <f>EJ123*VLOOKUP('Données projet'!$B$15,Paramètres!$A$1:$I$89,3,0)*VLOOKUP('Données projet'!$B$15,Paramètres!$A$1:$I$89,5,0)</f>
        <v>2.7489477361086758E-14</v>
      </c>
      <c r="EL123" s="13">
        <f t="shared" si="99"/>
        <v>4.7995394886724981E-13</v>
      </c>
      <c r="EM123" s="20">
        <f t="shared" si="73"/>
        <v>8.8379730068101964E-13</v>
      </c>
      <c r="EN123" s="59">
        <f t="shared" si="74"/>
        <v>293.33333333333422</v>
      </c>
      <c r="EO123" s="59">
        <f ca="1">AVERAGE(OFFSET($EN$3,0,0,'Données projet'!$E$15+1,1))-AVERAGE(OFFSET($H$3,0,0,'Données projet'!$E$15+1,1))</f>
        <v>218.78765033569107</v>
      </c>
      <c r="EP123" s="59">
        <f t="shared" si="100"/>
        <v>246.54010105494137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170.80796812111521</v>
      </c>
      <c r="FK123" s="59">
        <f t="shared" si="102"/>
        <v>249.84047400410321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0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333.02360594713667</v>
      </c>
      <c r="T124" s="59">
        <f t="shared" si="88"/>
        <v>546.58234447298014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38.406823053572275</v>
      </c>
      <c r="AA124" s="21">
        <f>EXP(-LN(2)/25)*AA123+(1-EXP(-LN(2)/25))/(LN(2)/25)*Calculateur!V124*Calculateur!X124*VLOOKUP('Données projet'!$B$9,Paramètres!$A$1:$I$89,3,0)*0.475*44/12</f>
        <v>10.740157390184393</v>
      </c>
      <c r="AB124" s="21">
        <f>EXP(-LN(2)/2)*AB123+(1-EXP(-LN(2)/2))/(LN(2)/2)*V124*Y124*VLOOKUP('Données projet'!$B$9,Paramètres!$A$1:$I$89,3,0)*0.475*44/12</f>
        <v>1.5057575794458069E-10</v>
      </c>
      <c r="AC124" s="22">
        <f t="shared" si="57"/>
        <v>49.146980443907246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-9.9316821433603781E-14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243.26825841283591</v>
      </c>
      <c r="AO124" s="59">
        <f t="shared" si="90"/>
        <v>179.2944312100729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51.515952614355925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51.515952614355925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-4.1677594708744434E-14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146.45728988963538</v>
      </c>
      <c r="BJ124" s="59">
        <f t="shared" si="92"/>
        <v>156.91778940341118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21.613642929792455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21.613642929792455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-4.0000000000001137</v>
      </c>
      <c r="BZ124" s="13">
        <f>BY124*VLOOKUP('Données projet'!$B$12,Paramètres!$A$1:$I$89,3,0)*VLOOKUP('Données projet'!$B$12,Paramètres!$A$1:$I$89,5,0)</f>
        <v>-3.1824000000000909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238.71022302719206</v>
      </c>
      <c r="CE124" s="59">
        <f t="shared" si="94"/>
        <v>294.28794439094878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35.955521151606241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35.955521151606241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-1.1368683772161603E-13</v>
      </c>
      <c r="CU124" s="17">
        <f>CT124*VLOOKUP('Données projet'!$B$13,Paramètres!$A$1:$I$89,3,0)*VLOOKUP('Données projet'!$B$13,Paramètres!$A$1:$I$89,5,0)</f>
        <v>-9.0449248091317723E-14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238.71022302719206</v>
      </c>
      <c r="CZ124" s="59">
        <f t="shared" si="96"/>
        <v>294.28794439094878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35.509849044005733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35.509849044005733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-1.1368683772161603E-13</v>
      </c>
      <c r="DP124" s="17">
        <f>DO124*VLOOKUP('Données projet'!$B$14,Paramètres!$A$1:$I$89,3,0)*VLOOKUP('Données projet'!$B$14,Paramètres!$A$1:$I$89,5,0)</f>
        <v>-9.7543306765146564E-14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203.34232675618244</v>
      </c>
      <c r="DU124" s="59">
        <f t="shared" si="98"/>
        <v>176.81257896138806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67.494019227961843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67.494019227961843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2.8421709430404007E-14</v>
      </c>
      <c r="EK124" s="17">
        <f>EJ124*VLOOKUP('Données projet'!$B$15,Paramètres!$A$1:$I$89,3,0)*VLOOKUP('Données projet'!$B$15,Paramètres!$A$1:$I$89,5,0)</f>
        <v>2.7489477361086758E-14</v>
      </c>
      <c r="EL124" s="13">
        <f t="shared" si="99"/>
        <v>4.7995394886724981E-13</v>
      </c>
      <c r="EM124" s="20">
        <f t="shared" si="73"/>
        <v>8.8379730068101964E-13</v>
      </c>
      <c r="EN124" s="59">
        <f t="shared" si="74"/>
        <v>293.33333333333422</v>
      </c>
      <c r="EO124" s="59">
        <f ca="1">AVERAGE(OFFSET($EN$3,0,0,'Données projet'!$E$15+1,1))-AVERAGE(OFFSET($H$3,0,0,'Données projet'!$E$15+1,1))</f>
        <v>218.78765033569107</v>
      </c>
      <c r="EP124" s="59">
        <f t="shared" si="100"/>
        <v>246.54010105494137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170.80796812111521</v>
      </c>
      <c r="FK124" s="59">
        <f t="shared" si="102"/>
        <v>249.84047400410321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0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333.02360594713667</v>
      </c>
      <c r="T125" s="59">
        <f t="shared" si="88"/>
        <v>546.58234447298014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37.653688679340675</v>
      </c>
      <c r="AA125" s="21">
        <f>EXP(-LN(2)/25)*AA124+(1-EXP(-LN(2)/25))/(LN(2)/25)*Calculateur!V125*Calculateur!X125*VLOOKUP('Données projet'!$B$9,Paramètres!$A$1:$I$89,3,0)*0.475*44/12</f>
        <v>10.44646722154947</v>
      </c>
      <c r="AB125" s="21">
        <f>EXP(-LN(2)/2)*AB124+(1-EXP(-LN(2)/2))/(LN(2)/2)*V125*Y125*VLOOKUP('Données projet'!$B$9,Paramètres!$A$1:$I$89,3,0)*0.475*44/12</f>
        <v>1.0647313952491716E-10</v>
      </c>
      <c r="AC125" s="22">
        <f t="shared" si="57"/>
        <v>48.100155900996619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-9.9316821433603781E-14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243.26825841283591</v>
      </c>
      <c r="AO125" s="59">
        <f t="shared" si="90"/>
        <v>179.2944312100729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50.505756205216869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50.505756205216869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-4.1677594708744434E-14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146.45728988963538</v>
      </c>
      <c r="BJ125" s="59">
        <f t="shared" si="92"/>
        <v>156.91778940341118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21.189812574959696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21.189812574959696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-4.0000000000001137</v>
      </c>
      <c r="BZ125" s="13">
        <f>BY125*VLOOKUP('Données projet'!$B$12,Paramètres!$A$1:$I$89,3,0)*VLOOKUP('Données projet'!$B$12,Paramètres!$A$1:$I$89,5,0)</f>
        <v>-3.1824000000000909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238.71022302719206</v>
      </c>
      <c r="CE125" s="59">
        <f t="shared" si="94"/>
        <v>294.28794439094878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35.250455312525666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35.250455312525666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-1.1368683772161603E-13</v>
      </c>
      <c r="CU125" s="17">
        <f>CT125*VLOOKUP('Données projet'!$B$13,Paramètres!$A$1:$I$89,3,0)*VLOOKUP('Données projet'!$B$13,Paramètres!$A$1:$I$89,5,0)</f>
        <v>-9.0449248091317723E-14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238.71022302719206</v>
      </c>
      <c r="CZ125" s="59">
        <f t="shared" si="96"/>
        <v>294.28794439094878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34.813522563122064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34.813522563122064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-1.1368683772161603E-13</v>
      </c>
      <c r="DP125" s="17">
        <f>DO125*VLOOKUP('Données projet'!$B$14,Paramètres!$A$1:$I$89,3,0)*VLOOKUP('Données projet'!$B$14,Paramètres!$A$1:$I$89,5,0)</f>
        <v>-9.7543306765146564E-14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203.34232675618244</v>
      </c>
      <c r="DU125" s="59">
        <f t="shared" si="98"/>
        <v>176.81257896138806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66.170502678188313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66.170502678188313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2.8421709430404007E-14</v>
      </c>
      <c r="EK125" s="17">
        <f>EJ125*VLOOKUP('Données projet'!$B$15,Paramètres!$A$1:$I$89,3,0)*VLOOKUP('Données projet'!$B$15,Paramètres!$A$1:$I$89,5,0)</f>
        <v>2.7489477361086758E-14</v>
      </c>
      <c r="EL125" s="13">
        <f t="shared" si="99"/>
        <v>4.7995394886724981E-13</v>
      </c>
      <c r="EM125" s="20">
        <f t="shared" si="73"/>
        <v>8.8379730068101964E-13</v>
      </c>
      <c r="EN125" s="59">
        <f t="shared" si="74"/>
        <v>293.33333333333422</v>
      </c>
      <c r="EO125" s="59">
        <f ca="1">AVERAGE(OFFSET($EN$3,0,0,'Données projet'!$E$15+1,1))-AVERAGE(OFFSET($H$3,0,0,'Données projet'!$E$15+1,1))</f>
        <v>218.78765033569107</v>
      </c>
      <c r="EP125" s="59">
        <f t="shared" si="100"/>
        <v>246.54010105494137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170.80796812111521</v>
      </c>
      <c r="FK125" s="59">
        <f t="shared" si="102"/>
        <v>249.84047400410321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0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333.02360594713667</v>
      </c>
      <c r="T126" s="59">
        <f t="shared" si="88"/>
        <v>546.58234447298014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36.915322810821145</v>
      </c>
      <c r="AA126" s="21">
        <f>EXP(-LN(2)/25)*AA125+(1-EXP(-LN(2)/25))/(LN(2)/25)*Calculateur!V126*Calculateur!X126*VLOOKUP('Données projet'!$B$9,Paramètres!$A$1:$I$89,3,0)*0.475*44/12</f>
        <v>10.160808026020364</v>
      </c>
      <c r="AB126" s="21">
        <f>EXP(-LN(2)/2)*AB125+(1-EXP(-LN(2)/2))/(LN(2)/2)*V126*Y126*VLOOKUP('Données projet'!$B$9,Paramètres!$A$1:$I$89,3,0)*0.475*44/12</f>
        <v>7.5287878972290344E-11</v>
      </c>
      <c r="AC126" s="22">
        <f t="shared" si="57"/>
        <v>47.076130836916796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-9.9316821433603781E-14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243.26825841283591</v>
      </c>
      <c r="AO126" s="59">
        <f t="shared" si="90"/>
        <v>179.2944312100729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49.515369131502062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49.515369131502062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-4.1677594708744434E-14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146.45728988963538</v>
      </c>
      <c r="BJ126" s="59">
        <f t="shared" si="92"/>
        <v>156.91778940341118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20.774293274874218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20.774293274874218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-4.0000000000001137</v>
      </c>
      <c r="BZ126" s="13">
        <f>BY126*VLOOKUP('Données projet'!$B$12,Paramètres!$A$1:$I$89,3,0)*VLOOKUP('Données projet'!$B$12,Paramètres!$A$1:$I$89,5,0)</f>
        <v>-3.1824000000000909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238.71022302719206</v>
      </c>
      <c r="CE126" s="59">
        <f t="shared" si="94"/>
        <v>294.28794439094878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34.559215384501762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34.559215384501762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-1.1368683772161603E-13</v>
      </c>
      <c r="CU126" s="17">
        <f>CT126*VLOOKUP('Données projet'!$B$13,Paramètres!$A$1:$I$89,3,0)*VLOOKUP('Données projet'!$B$13,Paramètres!$A$1:$I$89,5,0)</f>
        <v>-9.0449248091317723E-14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238.71022302719206</v>
      </c>
      <c r="CZ126" s="59">
        <f t="shared" si="96"/>
        <v>294.28794439094878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34.130850619811305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34.130850619811305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-1.1368683772161603E-13</v>
      </c>
      <c r="DP126" s="17">
        <f>DO126*VLOOKUP('Données projet'!$B$14,Paramètres!$A$1:$I$89,3,0)*VLOOKUP('Données projet'!$B$14,Paramètres!$A$1:$I$89,5,0)</f>
        <v>-9.7543306765146564E-14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203.34232675618244</v>
      </c>
      <c r="DU126" s="59">
        <f t="shared" si="98"/>
        <v>176.81257896138806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64.872939480690448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64.872939480690448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2.8421709430404007E-14</v>
      </c>
      <c r="EK126" s="17">
        <f>EJ126*VLOOKUP('Données projet'!$B$15,Paramètres!$A$1:$I$89,3,0)*VLOOKUP('Données projet'!$B$15,Paramètres!$A$1:$I$89,5,0)</f>
        <v>2.7489477361086758E-14</v>
      </c>
      <c r="EL126" s="13">
        <f t="shared" si="99"/>
        <v>4.7995394886724981E-13</v>
      </c>
      <c r="EM126" s="20">
        <f t="shared" si="73"/>
        <v>8.8379730068101964E-13</v>
      </c>
      <c r="EN126" s="59">
        <f t="shared" si="74"/>
        <v>293.33333333333422</v>
      </c>
      <c r="EO126" s="59">
        <f ca="1">AVERAGE(OFFSET($EN$3,0,0,'Données projet'!$E$15+1,1))-AVERAGE(OFFSET($H$3,0,0,'Données projet'!$E$15+1,1))</f>
        <v>218.78765033569107</v>
      </c>
      <c r="EP126" s="59">
        <f t="shared" si="100"/>
        <v>246.54010105494137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170.80796812111521</v>
      </c>
      <c r="FK126" s="59">
        <f t="shared" si="102"/>
        <v>249.84047400410321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0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333.02360594713667</v>
      </c>
      <c r="T127" s="59">
        <f t="shared" si="88"/>
        <v>546.58234447298014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36.191435846624572</v>
      </c>
      <c r="AA127" s="21">
        <f>EXP(-LN(2)/25)*AA126+(1-EXP(-LN(2)/25))/(LN(2)/25)*Calculateur!V127*Calculateur!X127*VLOOKUP('Données projet'!$B$9,Paramètres!$A$1:$I$89,3,0)*0.475*44/12</f>
        <v>9.8829601962151656</v>
      </c>
      <c r="AB127" s="21">
        <f>EXP(-LN(2)/2)*AB126+(1-EXP(-LN(2)/2))/(LN(2)/2)*V127*Y127*VLOOKUP('Données projet'!$B$9,Paramètres!$A$1:$I$89,3,0)*0.475*44/12</f>
        <v>5.3236569762458581E-11</v>
      </c>
      <c r="AC127" s="22">
        <f t="shared" si="57"/>
        <v>46.074396042892971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-9.9316821433603781E-14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243.26825841283591</v>
      </c>
      <c r="AO127" s="59">
        <f t="shared" si="90"/>
        <v>179.2944312100729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48.544402944226334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48.544402944226334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-4.1677594708744434E-14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146.45728988963538</v>
      </c>
      <c r="BJ127" s="59">
        <f t="shared" si="92"/>
        <v>156.91778940341118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20.366922054821668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20.366922054821668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-4.0000000000001137</v>
      </c>
      <c r="BZ127" s="13">
        <f>BY127*VLOOKUP('Données projet'!$B$12,Paramètres!$A$1:$I$89,3,0)*VLOOKUP('Données projet'!$B$12,Paramètres!$A$1:$I$89,5,0)</f>
        <v>-3.1824000000000909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238.71022302719206</v>
      </c>
      <c r="CE127" s="59">
        <f t="shared" si="94"/>
        <v>294.28794439094878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33.881530249851686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33.881530249851686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-1.1368683772161603E-13</v>
      </c>
      <c r="CU127" s="17">
        <f>CT127*VLOOKUP('Données projet'!$B$13,Paramètres!$A$1:$I$89,3,0)*VLOOKUP('Données projet'!$B$13,Paramètres!$A$1:$I$89,5,0)</f>
        <v>-9.0449248091317723E-14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238.71022302719206</v>
      </c>
      <c r="CZ127" s="59">
        <f t="shared" si="96"/>
        <v>294.28794439094878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33.461565456920098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33.461565456920098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-1.1368683772161603E-13</v>
      </c>
      <c r="DP127" s="17">
        <f>DO127*VLOOKUP('Données projet'!$B$14,Paramètres!$A$1:$I$89,3,0)*VLOOKUP('Données projet'!$B$14,Paramètres!$A$1:$I$89,5,0)</f>
        <v>-9.7543306765146564E-14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203.34232675618244</v>
      </c>
      <c r="DU127" s="59">
        <f t="shared" si="98"/>
        <v>176.81257896138806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63.600820706060119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63.600820706060119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2.8421709430404007E-14</v>
      </c>
      <c r="EK127" s="17">
        <f>EJ127*VLOOKUP('Données projet'!$B$15,Paramètres!$A$1:$I$89,3,0)*VLOOKUP('Données projet'!$B$15,Paramètres!$A$1:$I$89,5,0)</f>
        <v>2.7489477361086758E-14</v>
      </c>
      <c r="EL127" s="13">
        <f t="shared" si="99"/>
        <v>4.7995394886724981E-13</v>
      </c>
      <c r="EM127" s="20">
        <f t="shared" si="73"/>
        <v>8.8379730068101964E-13</v>
      </c>
      <c r="EN127" s="59">
        <f t="shared" si="74"/>
        <v>293.33333333333422</v>
      </c>
      <c r="EO127" s="59">
        <f ca="1">AVERAGE(OFFSET($EN$3,0,0,'Données projet'!$E$15+1,1))-AVERAGE(OFFSET($H$3,0,0,'Données projet'!$E$15+1,1))</f>
        <v>218.78765033569107</v>
      </c>
      <c r="EP127" s="59">
        <f t="shared" si="100"/>
        <v>246.54010105494137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170.80796812111521</v>
      </c>
      <c r="FK127" s="59">
        <f t="shared" si="102"/>
        <v>249.84047400410321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0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333.02360594713667</v>
      </c>
      <c r="T128" s="59">
        <f t="shared" si="88"/>
        <v>546.58234447298014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35.481743864268445</v>
      </c>
      <c r="AA128" s="21">
        <f>EXP(-LN(2)/25)*AA127+(1-EXP(-LN(2)/25))/(LN(2)/25)*Calculateur!V128*Calculateur!X128*VLOOKUP('Données projet'!$B$9,Paramètres!$A$1:$I$89,3,0)*0.475*44/12</f>
        <v>9.6127101299273736</v>
      </c>
      <c r="AB128" s="21">
        <f>EXP(-LN(2)/2)*AB127+(1-EXP(-LN(2)/2))/(LN(2)/2)*V128*Y128*VLOOKUP('Données projet'!$B$9,Paramètres!$A$1:$I$89,3,0)*0.475*44/12</f>
        <v>3.7643939486145172E-11</v>
      </c>
      <c r="AC128" s="22">
        <f t="shared" si="57"/>
        <v>45.094453994233461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-9.9316821433603781E-14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243.26825841283591</v>
      </c>
      <c r="AO128" s="59">
        <f t="shared" si="90"/>
        <v>179.2944312100729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47.59247681165219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47.59247681165219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-4.1677594708744434E-14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146.45728988963538</v>
      </c>
      <c r="BJ128" s="59">
        <f t="shared" si="92"/>
        <v>156.91778940341118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19.96753913592244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19.96753913592244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-4.0000000000001137</v>
      </c>
      <c r="BZ128" s="13">
        <f>BY128*VLOOKUP('Données projet'!$B$12,Paramètres!$A$1:$I$89,3,0)*VLOOKUP('Données projet'!$B$12,Paramètres!$A$1:$I$89,5,0)</f>
        <v>-3.1824000000000909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238.71022302719206</v>
      </c>
      <c r="CE128" s="59">
        <f t="shared" si="94"/>
        <v>294.28794439094878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33.217134107344982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33.217134107344982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-1.1368683772161603E-13</v>
      </c>
      <c r="CU128" s="17">
        <f>CT128*VLOOKUP('Données projet'!$B$13,Paramètres!$A$1:$I$89,3,0)*VLOOKUP('Données projet'!$B$13,Paramètres!$A$1:$I$89,5,0)</f>
        <v>-9.0449248091317723E-14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238.71022302719206</v>
      </c>
      <c r="CZ128" s="59">
        <f t="shared" si="96"/>
        <v>294.28794439094878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32.80540456784955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32.80540456784955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-1.1368683772161603E-13</v>
      </c>
      <c r="DP128" s="17">
        <f>DO128*VLOOKUP('Données projet'!$B$14,Paramètres!$A$1:$I$89,3,0)*VLOOKUP('Données projet'!$B$14,Paramètres!$A$1:$I$89,5,0)</f>
        <v>-9.7543306765146564E-14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203.34232675618244</v>
      </c>
      <c r="DU128" s="59">
        <f t="shared" si="98"/>
        <v>176.81257896138806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62.353647404684452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62.353647404684452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2.8421709430404007E-14</v>
      </c>
      <c r="EK128" s="17">
        <f>EJ128*VLOOKUP('Données projet'!$B$15,Paramètres!$A$1:$I$89,3,0)*VLOOKUP('Données projet'!$B$15,Paramètres!$A$1:$I$89,5,0)</f>
        <v>2.7489477361086758E-14</v>
      </c>
      <c r="EL128" s="13">
        <f t="shared" si="99"/>
        <v>4.7995394886724981E-13</v>
      </c>
      <c r="EM128" s="20">
        <f t="shared" si="73"/>
        <v>8.8379730068101964E-13</v>
      </c>
      <c r="EN128" s="59">
        <f t="shared" si="74"/>
        <v>293.33333333333422</v>
      </c>
      <c r="EO128" s="59">
        <f ca="1">AVERAGE(OFFSET($EN$3,0,0,'Données projet'!$E$15+1,1))-AVERAGE(OFFSET($H$3,0,0,'Données projet'!$E$15+1,1))</f>
        <v>218.78765033569107</v>
      </c>
      <c r="EP128" s="59">
        <f t="shared" si="100"/>
        <v>246.54010105494137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170.80796812111521</v>
      </c>
      <c r="FK128" s="59">
        <f t="shared" si="102"/>
        <v>249.84047400410321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0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333.02360594713667</v>
      </c>
      <c r="T129" s="59">
        <f t="shared" si="88"/>
        <v>546.58234447298014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34.785968508816957</v>
      </c>
      <c r="AA129" s="21">
        <f>EXP(-LN(2)/25)*AA128+(1-EXP(-LN(2)/25))/(LN(2)/25)*Calculateur!V129*Calculateur!X129*VLOOKUP('Données projet'!$B$9,Paramètres!$A$1:$I$89,3,0)*0.475*44/12</f>
        <v>9.3498500659140547</v>
      </c>
      <c r="AB129" s="21">
        <f>EXP(-LN(2)/2)*AB128+(1-EXP(-LN(2)/2))/(LN(2)/2)*V129*Y129*VLOOKUP('Données projet'!$B$9,Paramètres!$A$1:$I$89,3,0)*0.475*44/12</f>
        <v>2.6618284881229291E-11</v>
      </c>
      <c r="AC129" s="22">
        <f t="shared" si="57"/>
        <v>44.135818574757629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-9.9316821433603781E-14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243.26825841283591</v>
      </c>
      <c r="AO129" s="59">
        <f t="shared" si="90"/>
        <v>179.2944312100729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46.659217369920214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46.659217369920214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-4.1677594708744434E-14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146.45728988963538</v>
      </c>
      <c r="BJ129" s="59">
        <f t="shared" si="92"/>
        <v>156.91778940341118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19.575987872463298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19.575987872463298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-4.0000000000001137</v>
      </c>
      <c r="BZ129" s="13">
        <f>BY129*VLOOKUP('Données projet'!$B$12,Paramètres!$A$1:$I$89,3,0)*VLOOKUP('Données projet'!$B$12,Paramètres!$A$1:$I$89,5,0)</f>
        <v>-3.1824000000000909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238.71022302719206</v>
      </c>
      <c r="CE129" s="59">
        <f t="shared" si="94"/>
        <v>294.28794439094878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32.565766367951198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32.565766367951198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-1.1368683772161603E-13</v>
      </c>
      <c r="CU129" s="17">
        <f>CT129*VLOOKUP('Données projet'!$B$13,Paramètres!$A$1:$I$89,3,0)*VLOOKUP('Données projet'!$B$13,Paramètres!$A$1:$I$89,5,0)</f>
        <v>-9.0449248091317723E-14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238.71022302719206</v>
      </c>
      <c r="CZ129" s="59">
        <f t="shared" si="96"/>
        <v>294.28794439094878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32.162110593595052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32.162110593595052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-1.1368683772161603E-13</v>
      </c>
      <c r="DP129" s="17">
        <f>DO129*VLOOKUP('Données projet'!$B$14,Paramètres!$A$1:$I$89,3,0)*VLOOKUP('Données projet'!$B$14,Paramètres!$A$1:$I$89,5,0)</f>
        <v>-9.7543306765146564E-14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203.34232675618244</v>
      </c>
      <c r="DU129" s="59">
        <f t="shared" si="98"/>
        <v>176.81257896138806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61.130930411048162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61.130930411048162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2.8421709430404007E-14</v>
      </c>
      <c r="EK129" s="17">
        <f>EJ129*VLOOKUP('Données projet'!$B$15,Paramètres!$A$1:$I$89,3,0)*VLOOKUP('Données projet'!$B$15,Paramètres!$A$1:$I$89,5,0)</f>
        <v>2.7489477361086758E-14</v>
      </c>
      <c r="EL129" s="13">
        <f t="shared" si="99"/>
        <v>4.7995394886724981E-13</v>
      </c>
      <c r="EM129" s="20">
        <f t="shared" si="73"/>
        <v>8.8379730068101964E-13</v>
      </c>
      <c r="EN129" s="59">
        <f t="shared" si="74"/>
        <v>293.33333333333422</v>
      </c>
      <c r="EO129" s="59">
        <f ca="1">AVERAGE(OFFSET($EN$3,0,0,'Données projet'!$E$15+1,1))-AVERAGE(OFFSET($H$3,0,0,'Données projet'!$E$15+1,1))</f>
        <v>218.78765033569107</v>
      </c>
      <c r="EP129" s="59">
        <f t="shared" si="100"/>
        <v>246.54010105494137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170.80796812111521</v>
      </c>
      <c r="FK129" s="59">
        <f t="shared" si="102"/>
        <v>249.84047400410321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0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333.02360594713667</v>
      </c>
      <c r="T130" s="59">
        <f t="shared" si="88"/>
        <v>546.58234447298014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34.103836883704808</v>
      </c>
      <c r="AA130" s="21">
        <f>EXP(-LN(2)/25)*AA129+(1-EXP(-LN(2)/25))/(LN(2)/25)*Calculateur!V130*Calculateur!X130*VLOOKUP('Données projet'!$B$9,Paramètres!$A$1:$I$89,3,0)*0.475*44/12</f>
        <v>9.0941779241743887</v>
      </c>
      <c r="AB130" s="21">
        <f>EXP(-LN(2)/2)*AB129+(1-EXP(-LN(2)/2))/(LN(2)/2)*V130*Y130*VLOOKUP('Données projet'!$B$9,Paramètres!$A$1:$I$89,3,0)*0.475*44/12</f>
        <v>1.8821969743072586E-11</v>
      </c>
      <c r="AC130" s="22">
        <f t="shared" si="57"/>
        <v>43.198014807898019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-9.9316821433603781E-14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243.26825841283591</v>
      </c>
      <c r="AO130" s="59">
        <f t="shared" si="90"/>
        <v>179.2944312100729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45.744258576608551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45.744258576608551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-4.1677594708744434E-14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146.45728988963538</v>
      </c>
      <c r="BJ130" s="59">
        <f t="shared" si="92"/>
        <v>156.91778940341118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19.192114690457899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19.192114690457899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-4.0000000000001137</v>
      </c>
      <c r="BZ130" s="13">
        <f>BY130*VLOOKUP('Données projet'!$B$12,Paramètres!$A$1:$I$89,3,0)*VLOOKUP('Données projet'!$B$12,Paramètres!$A$1:$I$89,5,0)</f>
        <v>-3.1824000000000909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238.71022302719206</v>
      </c>
      <c r="CE130" s="59">
        <f t="shared" si="94"/>
        <v>294.28794439094878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31.927171552631837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31.927171552631837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-1.1368683772161603E-13</v>
      </c>
      <c r="CU130" s="17">
        <f>CT130*VLOOKUP('Données projet'!$B$13,Paramètres!$A$1:$I$89,3,0)*VLOOKUP('Données projet'!$B$13,Paramètres!$A$1:$I$89,5,0)</f>
        <v>-9.0449248091317723E-14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238.71022302719206</v>
      </c>
      <c r="CZ130" s="59">
        <f t="shared" si="96"/>
        <v>294.28794439094878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31.531431221805104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31.531431221805104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-1.1368683772161603E-13</v>
      </c>
      <c r="DP130" s="17">
        <f>DO130*VLOOKUP('Données projet'!$B$14,Paramètres!$A$1:$I$89,3,0)*VLOOKUP('Données projet'!$B$14,Paramètres!$A$1:$I$89,5,0)</f>
        <v>-9.7543306765146564E-14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203.34232675618244</v>
      </c>
      <c r="DU130" s="59">
        <f t="shared" si="98"/>
        <v>176.81257896138806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59.93219015187335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59.93219015187335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2.8421709430404007E-14</v>
      </c>
      <c r="EK130" s="17">
        <f>EJ130*VLOOKUP('Données projet'!$B$15,Paramètres!$A$1:$I$89,3,0)*VLOOKUP('Données projet'!$B$15,Paramètres!$A$1:$I$89,5,0)</f>
        <v>2.7489477361086758E-14</v>
      </c>
      <c r="EL130" s="13">
        <f t="shared" si="99"/>
        <v>4.7995394886724981E-13</v>
      </c>
      <c r="EM130" s="20">
        <f t="shared" si="73"/>
        <v>8.8379730068101964E-13</v>
      </c>
      <c r="EN130" s="59">
        <f t="shared" si="74"/>
        <v>293.33333333333422</v>
      </c>
      <c r="EO130" s="59">
        <f ca="1">AVERAGE(OFFSET($EN$3,0,0,'Données projet'!$E$15+1,1))-AVERAGE(OFFSET($H$3,0,0,'Données projet'!$E$15+1,1))</f>
        <v>218.78765033569107</v>
      </c>
      <c r="EP130" s="59">
        <f t="shared" si="100"/>
        <v>246.54010105494137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170.80796812111521</v>
      </c>
      <c r="FK130" s="59">
        <f t="shared" si="102"/>
        <v>249.84047400410321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0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333.02360594713667</v>
      </c>
      <c r="T131" s="59">
        <f t="shared" si="88"/>
        <v>546.58234447298014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33.435081443701897</v>
      </c>
      <c r="AA131" s="21">
        <f>EXP(-LN(2)/25)*AA130+(1-EXP(-LN(2)/25))/(LN(2)/25)*Calculateur!V131*Calculateur!X131*VLOOKUP('Données projet'!$B$9,Paramètres!$A$1:$I$89,3,0)*0.475*44/12</f>
        <v>8.8454971505958078</v>
      </c>
      <c r="AB131" s="21">
        <f>EXP(-LN(2)/2)*AB130+(1-EXP(-LN(2)/2))/(LN(2)/2)*V131*Y131*VLOOKUP('Données projet'!$B$9,Paramètres!$A$1:$I$89,3,0)*0.475*44/12</f>
        <v>1.3309142440614645E-11</v>
      </c>
      <c r="AC131" s="22">
        <f t="shared" si="57"/>
        <v>42.280578594311017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-9.9316821433603781E-14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243.26825841283591</v>
      </c>
      <c r="AO131" s="59">
        <f t="shared" si="90"/>
        <v>179.2944312100729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44.847241567163969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44.847241567163969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-4.1677594708744434E-14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146.45728988963538</v>
      </c>
      <c r="BJ131" s="59">
        <f t="shared" si="92"/>
        <v>156.91778940341118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18.815769027412106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18.815769027412106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-4.0000000000001137</v>
      </c>
      <c r="BZ131" s="13">
        <f>BY131*VLOOKUP('Données projet'!$B$12,Paramètres!$A$1:$I$89,3,0)*VLOOKUP('Données projet'!$B$12,Paramètres!$A$1:$I$89,5,0)</f>
        <v>-3.1824000000000909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238.71022302719206</v>
      </c>
      <c r="CE131" s="59">
        <f t="shared" si="94"/>
        <v>294.28794439094878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31.301099192136512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31.301099192136512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-1.1368683772161603E-13</v>
      </c>
      <c r="CU131" s="17">
        <f>CT131*VLOOKUP('Données projet'!$B$13,Paramètres!$A$1:$I$89,3,0)*VLOOKUP('Données projet'!$B$13,Paramètres!$A$1:$I$89,5,0)</f>
        <v>-9.0449248091317723E-14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238.71022302719206</v>
      </c>
      <c r="CZ131" s="59">
        <f t="shared" si="96"/>
        <v>294.28794439094878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30.913119087819521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30.913119087819521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-1.1368683772161603E-13</v>
      </c>
      <c r="DP131" s="17">
        <f>DO131*VLOOKUP('Données projet'!$B$14,Paramètres!$A$1:$I$89,3,0)*VLOOKUP('Données projet'!$B$14,Paramètres!$A$1:$I$89,5,0)</f>
        <v>-9.7543306765146564E-14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203.34232675618244</v>
      </c>
      <c r="DU131" s="59">
        <f t="shared" si="98"/>
        <v>176.81257896138806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58.756956458021598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58.756956458021598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2.8421709430404007E-14</v>
      </c>
      <c r="EK131" s="17">
        <f>EJ131*VLOOKUP('Données projet'!$B$15,Paramètres!$A$1:$I$89,3,0)*VLOOKUP('Données projet'!$B$15,Paramètres!$A$1:$I$89,5,0)</f>
        <v>2.7489477361086758E-14</v>
      </c>
      <c r="EL131" s="13">
        <f t="shared" si="99"/>
        <v>4.7995394886724981E-13</v>
      </c>
      <c r="EM131" s="20">
        <f t="shared" si="73"/>
        <v>8.8379730068101964E-13</v>
      </c>
      <c r="EN131" s="59">
        <f t="shared" si="74"/>
        <v>293.33333333333422</v>
      </c>
      <c r="EO131" s="59">
        <f ca="1">AVERAGE(OFFSET($EN$3,0,0,'Données projet'!$E$15+1,1))-AVERAGE(OFFSET($H$3,0,0,'Données projet'!$E$15+1,1))</f>
        <v>218.78765033569107</v>
      </c>
      <c r="EP131" s="59">
        <f t="shared" si="100"/>
        <v>246.54010105494137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170.80796812111521</v>
      </c>
      <c r="FK131" s="59">
        <f t="shared" si="102"/>
        <v>249.84047400410321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0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333.02360594713667</v>
      </c>
      <c r="T132" s="59">
        <f t="shared" si="88"/>
        <v>546.58234447298014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32.779439889976906</v>
      </c>
      <c r="AA132" s="21">
        <f>EXP(-LN(2)/25)*AA131+(1-EXP(-LN(2)/25))/(LN(2)/25)*Calculateur!V132*Calculateur!X132*VLOOKUP('Données projet'!$B$9,Paramètres!$A$1:$I$89,3,0)*0.475*44/12</f>
        <v>8.6036165658482862</v>
      </c>
      <c r="AB132" s="21">
        <f>EXP(-LN(2)/2)*AB131+(1-EXP(-LN(2)/2))/(LN(2)/2)*V132*Y132*VLOOKUP('Données projet'!$B$9,Paramètres!$A$1:$I$89,3,0)*0.475*44/12</f>
        <v>9.410984871536293E-12</v>
      </c>
      <c r="AC132" s="22">
        <f t="shared" ref="AC132:AC153" si="111">SUM(Z132:AB132)</f>
        <v>41.383056455834598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-9.9316821433603781E-14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243.26825841283591</v>
      </c>
      <c r="AO132" s="59">
        <f t="shared" si="90"/>
        <v>179.2944312100729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43.967814514148245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43.967814514148245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-4.1677594708744434E-14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146.45728988963538</v>
      </c>
      <c r="BJ132" s="59">
        <f t="shared" si="92"/>
        <v>156.91778940341118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18.446803273270451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18.446803273270451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-4.0000000000001137</v>
      </c>
      <c r="BZ132" s="13">
        <f>BY132*VLOOKUP('Données projet'!$B$12,Paramètres!$A$1:$I$89,3,0)*VLOOKUP('Données projet'!$B$12,Paramètres!$A$1:$I$89,5,0)</f>
        <v>-3.1824000000000909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238.71022302719206</v>
      </c>
      <c r="CE132" s="59">
        <f t="shared" si="94"/>
        <v>294.28794439094878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30.687303728764064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30.687303728764064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-1.1368683772161603E-13</v>
      </c>
      <c r="CU132" s="17">
        <f>CT132*VLOOKUP('Données projet'!$B$13,Paramètres!$A$1:$I$89,3,0)*VLOOKUP('Données projet'!$B$13,Paramètres!$A$1:$I$89,5,0)</f>
        <v>-9.0449248091317723E-14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238.71022302719206</v>
      </c>
      <c r="CZ132" s="59">
        <f t="shared" si="96"/>
        <v>294.28794439094878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30.306931677648233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30.306931677648233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-1.1368683772161603E-13</v>
      </c>
      <c r="DP132" s="17">
        <f>DO132*VLOOKUP('Données projet'!$B$14,Paramètres!$A$1:$I$89,3,0)*VLOOKUP('Données projet'!$B$14,Paramètres!$A$1:$I$89,5,0)</f>
        <v>-9.7543306765146564E-14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203.34232675618244</v>
      </c>
      <c r="DU132" s="59">
        <f t="shared" si="98"/>
        <v>176.81257896138806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57.604768380084508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57.604768380084508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2.8421709430404007E-14</v>
      </c>
      <c r="EK132" s="17">
        <f>EJ132*VLOOKUP('Données projet'!$B$15,Paramètres!$A$1:$I$89,3,0)*VLOOKUP('Données projet'!$B$15,Paramètres!$A$1:$I$89,5,0)</f>
        <v>2.7489477361086758E-14</v>
      </c>
      <c r="EL132" s="13">
        <f t="shared" si="99"/>
        <v>4.7995394886724981E-13</v>
      </c>
      <c r="EM132" s="20">
        <f t="shared" ref="EM132:EM153" si="127">(EK132+EL132)*0.475*44/12</f>
        <v>8.8379730068101964E-13</v>
      </c>
      <c r="EN132" s="59">
        <f t="shared" ref="EN132:EN195" si="128">EM132+(EE132+EF132)*44/12</f>
        <v>293.33333333333422</v>
      </c>
      <c r="EO132" s="59">
        <f ca="1">AVERAGE(OFFSET($EN$3,0,0,'Données projet'!$E$15+1,1))-AVERAGE(OFFSET($H$3,0,0,'Données projet'!$E$15+1,1))</f>
        <v>218.78765033569107</v>
      </c>
      <c r="EP132" s="59">
        <f t="shared" si="100"/>
        <v>246.54010105494137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170.80796812111521</v>
      </c>
      <c r="FK132" s="59">
        <f t="shared" si="102"/>
        <v>249.84047400410321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0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333.02360594713667</v>
      </c>
      <c r="T133" s="59">
        <f t="shared" ref="T133:T196" si="142">$T$3</f>
        <v>546.58234447298014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32.136655067218598</v>
      </c>
      <c r="AA133" s="21">
        <f>EXP(-LN(2)/25)*AA132+(1-EXP(-LN(2)/25))/(LN(2)/25)*Calculateur!V133*Calculateur!X133*VLOOKUP('Données projet'!$B$9,Paramètres!$A$1:$I$89,3,0)*0.475*44/12</f>
        <v>8.3683502184106331</v>
      </c>
      <c r="AB133" s="21">
        <f>EXP(-LN(2)/2)*AB132+(1-EXP(-LN(2)/2))/(LN(2)/2)*V133*Y133*VLOOKUP('Données projet'!$B$9,Paramètres!$A$1:$I$89,3,0)*0.475*44/12</f>
        <v>6.6545712203073227E-12</v>
      </c>
      <c r="AC133" s="22">
        <f t="shared" si="111"/>
        <v>40.505005285635889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-9.9316821433603781E-14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243.26825841283591</v>
      </c>
      <c r="AO133" s="59">
        <f t="shared" ref="AO133:AO196" si="144">$AO$3</f>
        <v>179.2944312100729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43.10563248924462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43.10563248924462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-4.1677594708744434E-14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146.45728988963538</v>
      </c>
      <c r="BJ133" s="59">
        <f t="shared" ref="BJ133:BJ196" si="146">$BJ$3</f>
        <v>156.91778940341118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18.085072712520628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18.085072712520628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-4.0000000000001137</v>
      </c>
      <c r="BZ133" s="13">
        <f>BY133*VLOOKUP('Données projet'!$B$12,Paramètres!$A$1:$I$89,3,0)*VLOOKUP('Données projet'!$B$12,Paramètres!$A$1:$I$89,5,0)</f>
        <v>-3.1824000000000909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238.71022302719206</v>
      </c>
      <c r="CE133" s="59">
        <f t="shared" ref="CE133:CE196" si="148">$CE$3</f>
        <v>294.28794439094878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30.085544420050084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30.085544420050084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-9.0449248091317723E-14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238.71022302719206</v>
      </c>
      <c r="CZ133" s="59">
        <f t="shared" ref="CZ133:CZ196" si="150">$CZ$3</f>
        <v>294.28794439094878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29.712631232852594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29.712631232852594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-1.1368683772161603E-13</v>
      </c>
      <c r="DP133" s="17">
        <f>DO133*VLOOKUP('Données projet'!$B$14,Paramètres!$A$1:$I$89,3,0)*VLOOKUP('Données projet'!$B$14,Paramètres!$A$1:$I$89,5,0)</f>
        <v>-9.7543306765146564E-14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203.34232675618244</v>
      </c>
      <c r="DU133" s="59">
        <f t="shared" ref="DU133:DU196" si="152">$DU$3</f>
        <v>176.81257896138806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56.475174007590425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56.475174007590425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2.8421709430404007E-14</v>
      </c>
      <c r="EK133" s="17">
        <f>EJ133*VLOOKUP('Données projet'!$B$15,Paramètres!$A$1:$I$89,3,0)*VLOOKUP('Données projet'!$B$15,Paramètres!$A$1:$I$89,5,0)</f>
        <v>2.7489477361086758E-14</v>
      </c>
      <c r="EL133" s="13">
        <f t="shared" ref="EL133:EL153" si="153">EXP(-1.0587+0.8836*LN(EK133)+0.284)</f>
        <v>4.7995394886724981E-13</v>
      </c>
      <c r="EM133" s="20">
        <f t="shared" si="127"/>
        <v>8.8379730068101964E-13</v>
      </c>
      <c r="EN133" s="59">
        <f t="shared" si="128"/>
        <v>293.33333333333422</v>
      </c>
      <c r="EO133" s="59">
        <f ca="1">AVERAGE(OFFSET($EN$3,0,0,'Données projet'!$E$15+1,1))-AVERAGE(OFFSET($H$3,0,0,'Données projet'!$E$15+1,1))</f>
        <v>218.78765033569107</v>
      </c>
      <c r="EP133" s="59">
        <f t="shared" ref="EP133:EP196" si="154">$EP$3</f>
        <v>246.54010105494137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170.80796812111521</v>
      </c>
      <c r="FK133" s="59">
        <f t="shared" ref="FK133:FK196" si="156">$FK$3</f>
        <v>249.84047400410321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0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333.02360594713667</v>
      </c>
      <c r="T134" s="59">
        <f t="shared" si="142"/>
        <v>546.58234447298014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31.506474862774553</v>
      </c>
      <c r="AA134" s="21">
        <f>EXP(-LN(2)/25)*AA133+(1-EXP(-LN(2)/25))/(LN(2)/25)*Calculateur!V134*Calculateur!X134*VLOOKUP('Données projet'!$B$9,Paramètres!$A$1:$I$89,3,0)*0.475*44/12</f>
        <v>8.139517241615783</v>
      </c>
      <c r="AB134" s="21">
        <f>EXP(-LN(2)/2)*AB133+(1-EXP(-LN(2)/2))/(LN(2)/2)*V134*Y134*VLOOKUP('Données projet'!$B$9,Paramètres!$A$1:$I$89,3,0)*0.475*44/12</f>
        <v>4.7054924357681465E-12</v>
      </c>
      <c r="AC134" s="22">
        <f t="shared" si="111"/>
        <v>39.645992104395042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-9.9316821433603781E-14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243.26825841283591</v>
      </c>
      <c r="AO134" s="59">
        <f t="shared" si="144"/>
        <v>179.2944312100729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42.260357327970247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42.260357327970247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-4.1677594708744434E-14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146.45728988963538</v>
      </c>
      <c r="BJ134" s="59">
        <f t="shared" si="146"/>
        <v>156.91778940341118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17.730435467433253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17.730435467433253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-4.0000000000001137</v>
      </c>
      <c r="BZ134" s="13">
        <f>BY134*VLOOKUP('Données projet'!$B$12,Paramètres!$A$1:$I$89,3,0)*VLOOKUP('Données projet'!$B$12,Paramètres!$A$1:$I$89,5,0)</f>
        <v>-3.1824000000000909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238.71022302719206</v>
      </c>
      <c r="CE134" s="59">
        <f t="shared" si="148"/>
        <v>294.28794439094878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29.495585244343051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29.495585244343051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-9.0449248091317723E-14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238.71022302719206</v>
      </c>
      <c r="CZ134" s="59">
        <f t="shared" si="150"/>
        <v>294.28794439094878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29.129984657291917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29.129984657291917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-1.1368683772161603E-13</v>
      </c>
      <c r="DP134" s="17">
        <f>DO134*VLOOKUP('Données projet'!$B$14,Paramètres!$A$1:$I$89,3,0)*VLOOKUP('Données projet'!$B$14,Paramètres!$A$1:$I$89,5,0)</f>
        <v>-9.7543306765146564E-14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203.34232675618244</v>
      </c>
      <c r="DU134" s="59">
        <f t="shared" si="152"/>
        <v>176.81257896138806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55.367730291756416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55.367730291756416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2.8421709430404007E-14</v>
      </c>
      <c r="EK134" s="17">
        <f>EJ134*VLOOKUP('Données projet'!$B$15,Paramètres!$A$1:$I$89,3,0)*VLOOKUP('Données projet'!$B$15,Paramètres!$A$1:$I$89,5,0)</f>
        <v>2.7489477361086758E-14</v>
      </c>
      <c r="EL134" s="13">
        <f t="shared" si="153"/>
        <v>4.7995394886724981E-13</v>
      </c>
      <c r="EM134" s="20">
        <f t="shared" si="127"/>
        <v>8.8379730068101964E-13</v>
      </c>
      <c r="EN134" s="59">
        <f t="shared" si="128"/>
        <v>293.33333333333422</v>
      </c>
      <c r="EO134" s="59">
        <f ca="1">AVERAGE(OFFSET($EN$3,0,0,'Données projet'!$E$15+1,1))-AVERAGE(OFFSET($H$3,0,0,'Données projet'!$E$15+1,1))</f>
        <v>218.78765033569107</v>
      </c>
      <c r="EP134" s="59">
        <f t="shared" si="154"/>
        <v>246.54010105494137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170.80796812111521</v>
      </c>
      <c r="FK134" s="59">
        <f t="shared" si="156"/>
        <v>249.84047400410321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0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333.02360594713667</v>
      </c>
      <c r="T135" s="59">
        <f t="shared" si="142"/>
        <v>546.58234447298014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30.888652107767683</v>
      </c>
      <c r="AA135" s="21">
        <f>EXP(-LN(2)/25)*AA134+(1-EXP(-LN(2)/25))/(LN(2)/25)*Calculateur!V135*Calculateur!X135*VLOOKUP('Données projet'!$B$9,Paramètres!$A$1:$I$89,3,0)*0.475*44/12</f>
        <v>7.9169417146051906</v>
      </c>
      <c r="AB135" s="21">
        <f>EXP(-LN(2)/2)*AB134+(1-EXP(-LN(2)/2))/(LN(2)/2)*V135*Y135*VLOOKUP('Données projet'!$B$9,Paramètres!$A$1:$I$89,3,0)*0.475*44/12</f>
        <v>3.3272856101536613E-12</v>
      </c>
      <c r="AC135" s="22">
        <f t="shared" si="111"/>
        <v>38.805593822376196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-9.9316821433603781E-14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243.26825841283591</v>
      </c>
      <c r="AO135" s="59">
        <f t="shared" si="144"/>
        <v>179.2944312100729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41.431657497041527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41.431657497041527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-4.1677594708744434E-14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146.45728988963538</v>
      </c>
      <c r="BJ135" s="59">
        <f t="shared" si="146"/>
        <v>156.91778940341118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17.382752442414677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17.382752442414677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-4.0000000000001137</v>
      </c>
      <c r="BZ135" s="13">
        <f>BY135*VLOOKUP('Données projet'!$B$12,Paramètres!$A$1:$I$89,3,0)*VLOOKUP('Données projet'!$B$12,Paramètres!$A$1:$I$89,5,0)</f>
        <v>-3.1824000000000909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238.71022302719206</v>
      </c>
      <c r="CE135" s="59">
        <f t="shared" si="148"/>
        <v>294.28794439094878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28.917194808232065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28.917194808232065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-9.0449248091317723E-14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238.71022302719206</v>
      </c>
      <c r="CZ135" s="59">
        <f t="shared" si="150"/>
        <v>294.28794439094878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28.558763425698665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28.558763425698665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-1.1368683772161603E-13</v>
      </c>
      <c r="DP135" s="17">
        <f>DO135*VLOOKUP('Données projet'!$B$14,Paramètres!$A$1:$I$89,3,0)*VLOOKUP('Données projet'!$B$14,Paramètres!$A$1:$I$89,5,0)</f>
        <v>-9.7543306765146564E-14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203.34232675618244</v>
      </c>
      <c r="DU135" s="59">
        <f t="shared" si="152"/>
        <v>176.81257896138806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54.282002871715946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54.282002871715946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2.8421709430404007E-14</v>
      </c>
      <c r="EK135" s="17">
        <f>EJ135*VLOOKUP('Données projet'!$B$15,Paramètres!$A$1:$I$89,3,0)*VLOOKUP('Données projet'!$B$15,Paramètres!$A$1:$I$89,5,0)</f>
        <v>2.7489477361086758E-14</v>
      </c>
      <c r="EL135" s="13">
        <f t="shared" si="153"/>
        <v>4.7995394886724981E-13</v>
      </c>
      <c r="EM135" s="20">
        <f t="shared" si="127"/>
        <v>8.8379730068101964E-13</v>
      </c>
      <c r="EN135" s="59">
        <f t="shared" si="128"/>
        <v>293.33333333333422</v>
      </c>
      <c r="EO135" s="59">
        <f ca="1">AVERAGE(OFFSET($EN$3,0,0,'Données projet'!$E$15+1,1))-AVERAGE(OFFSET($H$3,0,0,'Données projet'!$E$15+1,1))</f>
        <v>218.78765033569107</v>
      </c>
      <c r="EP135" s="59">
        <f t="shared" si="154"/>
        <v>246.54010105494137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170.80796812111521</v>
      </c>
      <c r="FK135" s="59">
        <f t="shared" si="156"/>
        <v>249.84047400410321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0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333.02360594713667</v>
      </c>
      <c r="T136" s="59">
        <f t="shared" si="142"/>
        <v>546.58234447298014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30.282944480151826</v>
      </c>
      <c r="AA136" s="21">
        <f>EXP(-LN(2)/25)*AA135+(1-EXP(-LN(2)/25))/(LN(2)/25)*Calculateur!V136*Calculateur!X136*VLOOKUP('Données projet'!$B$9,Paramètres!$A$1:$I$89,3,0)*0.475*44/12</f>
        <v>7.7004525270854414</v>
      </c>
      <c r="AB136" s="21">
        <f>EXP(-LN(2)/2)*AB135+(1-EXP(-LN(2)/2))/(LN(2)/2)*V136*Y136*VLOOKUP('Données projet'!$B$9,Paramètres!$A$1:$I$89,3,0)*0.475*44/12</f>
        <v>2.3527462178840733E-12</v>
      </c>
      <c r="AC136" s="22">
        <f t="shared" si="111"/>
        <v>37.983397007239617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-9.9316821433603781E-14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243.26825841283591</v>
      </c>
      <c r="AO136" s="59">
        <f t="shared" si="144"/>
        <v>179.2944312100729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40.619207964340333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40.619207964340333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-4.1677594708744434E-14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146.45728988963538</v>
      </c>
      <c r="BJ136" s="59">
        <f t="shared" si="146"/>
        <v>156.91778940341118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17.041887269451014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17.041887269451014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-4.0000000000001137</v>
      </c>
      <c r="BZ136" s="13">
        <f>BY136*VLOOKUP('Données projet'!$B$12,Paramètres!$A$1:$I$89,3,0)*VLOOKUP('Données projet'!$B$12,Paramètres!$A$1:$I$89,5,0)</f>
        <v>-3.1824000000000909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238.71022302719206</v>
      </c>
      <c r="CE136" s="59">
        <f t="shared" si="148"/>
        <v>294.28794439094878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28.350146255789884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28.350146255789884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-9.0449248091317723E-14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238.71022302719206</v>
      </c>
      <c r="CZ136" s="59">
        <f t="shared" si="150"/>
        <v>294.28794439094878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27.998743494046408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27.998743494046408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-1.1368683772161603E-13</v>
      </c>
      <c r="DP136" s="17">
        <f>DO136*VLOOKUP('Données projet'!$B$14,Paramètres!$A$1:$I$89,3,0)*VLOOKUP('Données projet'!$B$14,Paramètres!$A$1:$I$89,5,0)</f>
        <v>-9.7543306765146564E-14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203.34232675618244</v>
      </c>
      <c r="DU136" s="59">
        <f t="shared" si="152"/>
        <v>176.81257896138806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53.217565904154128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53.217565904154128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2.8421709430404007E-14</v>
      </c>
      <c r="EK136" s="17">
        <f>EJ136*VLOOKUP('Données projet'!$B$15,Paramètres!$A$1:$I$89,3,0)*VLOOKUP('Données projet'!$B$15,Paramètres!$A$1:$I$89,5,0)</f>
        <v>2.7489477361086758E-14</v>
      </c>
      <c r="EL136" s="13">
        <f t="shared" si="153"/>
        <v>4.7995394886724981E-13</v>
      </c>
      <c r="EM136" s="20">
        <f t="shared" si="127"/>
        <v>8.8379730068101964E-13</v>
      </c>
      <c r="EN136" s="59">
        <f t="shared" si="128"/>
        <v>293.33333333333422</v>
      </c>
      <c r="EO136" s="59">
        <f ca="1">AVERAGE(OFFSET($EN$3,0,0,'Données projet'!$E$15+1,1))-AVERAGE(OFFSET($H$3,0,0,'Données projet'!$E$15+1,1))</f>
        <v>218.78765033569107</v>
      </c>
      <c r="EP136" s="59">
        <f t="shared" si="154"/>
        <v>246.54010105494137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170.80796812111521</v>
      </c>
      <c r="FK136" s="59">
        <f t="shared" si="156"/>
        <v>249.84047400410321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0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333.02360594713667</v>
      </c>
      <c r="T137" s="59">
        <f t="shared" si="142"/>
        <v>546.58234447298014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29.689114409668345</v>
      </c>
      <c r="AA137" s="21">
        <f>EXP(-LN(2)/25)*AA136+(1-EXP(-LN(2)/25))/(LN(2)/25)*Calculateur!V137*Calculateur!X137*VLOOKUP('Données projet'!$B$9,Paramètres!$A$1:$I$89,3,0)*0.475*44/12</f>
        <v>7.4898832477830908</v>
      </c>
      <c r="AB137" s="21">
        <f>EXP(-LN(2)/2)*AB136+(1-EXP(-LN(2)/2))/(LN(2)/2)*V137*Y137*VLOOKUP('Données projet'!$B$9,Paramètres!$A$1:$I$89,3,0)*0.475*44/12</f>
        <v>1.6636428050768307E-12</v>
      </c>
      <c r="AC137" s="22">
        <f t="shared" si="111"/>
        <v>37.178997657453095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-9.9316821433603781E-14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243.26825841283591</v>
      </c>
      <c r="AO137" s="59">
        <f t="shared" si="144"/>
        <v>179.2944312100729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39.822690071430124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39.822690071430124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-4.1677594708744434E-14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146.45728988963538</v>
      </c>
      <c r="BJ137" s="59">
        <f t="shared" si="146"/>
        <v>156.91778940341118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16.707706254621939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16.707706254621939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-4.0000000000001137</v>
      </c>
      <c r="BZ137" s="13">
        <f>BY137*VLOOKUP('Données projet'!$B$12,Paramètres!$A$1:$I$89,3,0)*VLOOKUP('Données projet'!$B$12,Paramètres!$A$1:$I$89,5,0)</f>
        <v>-3.1824000000000909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238.71022302719206</v>
      </c>
      <c r="CE137" s="59">
        <f t="shared" si="148"/>
        <v>294.28794439094878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27.794217179595631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27.794217179595631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-9.0449248091317723E-14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238.71022302719206</v>
      </c>
      <c r="CZ137" s="59">
        <f t="shared" si="150"/>
        <v>294.28794439094878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27.449705211675422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27.449705211675422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-1.1368683772161603E-13</v>
      </c>
      <c r="DP137" s="17">
        <f>DO137*VLOOKUP('Données projet'!$B$14,Paramètres!$A$1:$I$89,3,0)*VLOOKUP('Données projet'!$B$14,Paramètres!$A$1:$I$89,5,0)</f>
        <v>-9.7543306765146564E-14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203.34232675618244</v>
      </c>
      <c r="DU137" s="59">
        <f t="shared" si="152"/>
        <v>176.81257896138806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52.174001896283755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52.174001896283755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2.8421709430404007E-14</v>
      </c>
      <c r="EK137" s="17">
        <f>EJ137*VLOOKUP('Données projet'!$B$15,Paramètres!$A$1:$I$89,3,0)*VLOOKUP('Données projet'!$B$15,Paramètres!$A$1:$I$89,5,0)</f>
        <v>2.7489477361086758E-14</v>
      </c>
      <c r="EL137" s="13">
        <f t="shared" si="153"/>
        <v>4.7995394886724981E-13</v>
      </c>
      <c r="EM137" s="20">
        <f t="shared" si="127"/>
        <v>8.8379730068101964E-13</v>
      </c>
      <c r="EN137" s="59">
        <f t="shared" si="128"/>
        <v>293.33333333333422</v>
      </c>
      <c r="EO137" s="59">
        <f ca="1">AVERAGE(OFFSET($EN$3,0,0,'Données projet'!$E$15+1,1))-AVERAGE(OFFSET($H$3,0,0,'Données projet'!$E$15+1,1))</f>
        <v>218.78765033569107</v>
      </c>
      <c r="EP137" s="59">
        <f t="shared" si="154"/>
        <v>246.54010105494137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170.80796812111521</v>
      </c>
      <c r="FK137" s="59">
        <f t="shared" si="156"/>
        <v>249.84047400410321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0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333.02360594713667</v>
      </c>
      <c r="T138" s="59">
        <f t="shared" si="142"/>
        <v>546.58234447298014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29.106928984666467</v>
      </c>
      <c r="AA138" s="21">
        <f>EXP(-LN(2)/25)*AA137+(1-EXP(-LN(2)/25))/(LN(2)/25)*Calculateur!V138*Calculateur!X138*VLOOKUP('Données projet'!$B$9,Paramètres!$A$1:$I$89,3,0)*0.475*44/12</f>
        <v>7.2850719964966206</v>
      </c>
      <c r="AB138" s="21">
        <f>EXP(-LN(2)/2)*AB137+(1-EXP(-LN(2)/2))/(LN(2)/2)*V138*Y138*VLOOKUP('Données projet'!$B$9,Paramètres!$A$1:$I$89,3,0)*0.475*44/12</f>
        <v>1.1763731089420366E-12</v>
      </c>
      <c r="AC138" s="22">
        <f t="shared" si="111"/>
        <v>36.392000981164266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-9.9316821433603781E-14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243.26825841283591</v>
      </c>
      <c r="AO138" s="59">
        <f t="shared" si="144"/>
        <v>179.2944312100729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39.041791408571939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39.041791408571939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-4.1677594708744434E-14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146.45728988963538</v>
      </c>
      <c r="BJ138" s="59">
        <f t="shared" si="146"/>
        <v>156.91778940341118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16.380078325663369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16.380078325663369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-4.0000000000001137</v>
      </c>
      <c r="BZ138" s="13">
        <f>BY138*VLOOKUP('Données projet'!$B$12,Paramètres!$A$1:$I$89,3,0)*VLOOKUP('Données projet'!$B$12,Paramètres!$A$1:$I$89,5,0)</f>
        <v>-3.1824000000000909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238.71022302719206</v>
      </c>
      <c r="CE138" s="59">
        <f t="shared" si="148"/>
        <v>294.28794439094878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27.249189533502289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27.249189533502289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-9.0449248091317723E-14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238.71022302719206</v>
      </c>
      <c r="CZ138" s="59">
        <f t="shared" si="150"/>
        <v>294.28794439094878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26.911433235141445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26.911433235141445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-1.1368683772161603E-13</v>
      </c>
      <c r="DP138" s="17">
        <f>DO138*VLOOKUP('Données projet'!$B$14,Paramètres!$A$1:$I$89,3,0)*VLOOKUP('Données projet'!$B$14,Paramètres!$A$1:$I$89,5,0)</f>
        <v>-9.7543306765146564E-14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203.34232675618244</v>
      </c>
      <c r="DU138" s="59">
        <f t="shared" si="152"/>
        <v>176.81257896138806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51.150901542096527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51.150901542096527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2.8421709430404007E-14</v>
      </c>
      <c r="EK138" s="17">
        <f>EJ138*VLOOKUP('Données projet'!$B$15,Paramètres!$A$1:$I$89,3,0)*VLOOKUP('Données projet'!$B$15,Paramètres!$A$1:$I$89,5,0)</f>
        <v>2.7489477361086758E-14</v>
      </c>
      <c r="EL138" s="13">
        <f t="shared" si="153"/>
        <v>4.7995394886724981E-13</v>
      </c>
      <c r="EM138" s="20">
        <f t="shared" si="127"/>
        <v>8.8379730068101964E-13</v>
      </c>
      <c r="EN138" s="59">
        <f t="shared" si="128"/>
        <v>293.33333333333422</v>
      </c>
      <c r="EO138" s="59">
        <f ca="1">AVERAGE(OFFSET($EN$3,0,0,'Données projet'!$E$15+1,1))-AVERAGE(OFFSET($H$3,0,0,'Données projet'!$E$15+1,1))</f>
        <v>218.78765033569107</v>
      </c>
      <c r="EP138" s="59">
        <f t="shared" si="154"/>
        <v>246.54010105494137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170.80796812111521</v>
      </c>
      <c r="FK138" s="59">
        <f t="shared" si="156"/>
        <v>249.84047400410321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0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333.02360594713667</v>
      </c>
      <c r="T139" s="59">
        <f t="shared" si="142"/>
        <v>546.58234447298014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28.536159860750828</v>
      </c>
      <c r="AA139" s="21">
        <f>EXP(-LN(2)/25)*AA138+(1-EXP(-LN(2)/25))/(LN(2)/25)*Calculateur!V139*Calculateur!X139*VLOOKUP('Données projet'!$B$9,Paramètres!$A$1:$I$89,3,0)*0.475*44/12</f>
        <v>7.0858613196471341</v>
      </c>
      <c r="AB139" s="21">
        <f>EXP(-LN(2)/2)*AB138+(1-EXP(-LN(2)/2))/(LN(2)/2)*V139*Y139*VLOOKUP('Données projet'!$B$9,Paramètres!$A$1:$I$89,3,0)*0.475*44/12</f>
        <v>8.3182140253841534E-13</v>
      </c>
      <c r="AC139" s="22">
        <f t="shared" si="111"/>
        <v>35.622021180398797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-9.9316821433603781E-14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243.26825841283591</v>
      </c>
      <c r="AO139" s="59">
        <f t="shared" si="144"/>
        <v>179.2944312100729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38.276205692191247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38.276205692191247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-4.1677594708744434E-14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146.45728988963538</v>
      </c>
      <c r="BJ139" s="59">
        <f t="shared" si="146"/>
        <v>156.91778940341118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16.058874980558375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16.058874980558375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-4.0000000000001137</v>
      </c>
      <c r="BZ139" s="13">
        <f>BY139*VLOOKUP('Données projet'!$B$12,Paramètres!$A$1:$I$89,3,0)*VLOOKUP('Données projet'!$B$12,Paramètres!$A$1:$I$89,5,0)</f>
        <v>-3.1824000000000909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238.71022302719206</v>
      </c>
      <c r="CE139" s="59">
        <f t="shared" si="148"/>
        <v>294.28794439094878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26.714849547114799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26.714849547114799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-9.0449248091317723E-14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238.71022302719206</v>
      </c>
      <c r="CZ139" s="59">
        <f t="shared" si="150"/>
        <v>294.28794439094878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26.383716443753812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26.383716443753812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-1.1368683772161603E-13</v>
      </c>
      <c r="DP139" s="17">
        <f>DO139*VLOOKUP('Données projet'!$B$14,Paramètres!$A$1:$I$89,3,0)*VLOOKUP('Données projet'!$B$14,Paramètres!$A$1:$I$89,5,0)</f>
        <v>-9.7543306765146564E-14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203.34232675618244</v>
      </c>
      <c r="DU139" s="59">
        <f t="shared" si="152"/>
        <v>176.81257896138806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50.147863561825311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50.147863561825311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2.8421709430404007E-14</v>
      </c>
      <c r="EK139" s="17">
        <f>EJ139*VLOOKUP('Données projet'!$B$15,Paramètres!$A$1:$I$89,3,0)*VLOOKUP('Données projet'!$B$15,Paramètres!$A$1:$I$89,5,0)</f>
        <v>2.7489477361086758E-14</v>
      </c>
      <c r="EL139" s="13">
        <f t="shared" si="153"/>
        <v>4.7995394886724981E-13</v>
      </c>
      <c r="EM139" s="20">
        <f t="shared" si="127"/>
        <v>8.8379730068101964E-13</v>
      </c>
      <c r="EN139" s="59">
        <f t="shared" si="128"/>
        <v>293.33333333333422</v>
      </c>
      <c r="EO139" s="59">
        <f ca="1">AVERAGE(OFFSET($EN$3,0,0,'Données projet'!$E$15+1,1))-AVERAGE(OFFSET($H$3,0,0,'Données projet'!$E$15+1,1))</f>
        <v>218.78765033569107</v>
      </c>
      <c r="EP139" s="59">
        <f t="shared" si="154"/>
        <v>246.54010105494137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170.80796812111521</v>
      </c>
      <c r="FK139" s="59">
        <f t="shared" si="156"/>
        <v>249.84047400410321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0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333.02360594713667</v>
      </c>
      <c r="T140" s="59">
        <f t="shared" si="142"/>
        <v>546.58234447298014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27.976583171220387</v>
      </c>
      <c r="AA140" s="21">
        <f>EXP(-LN(2)/25)*AA139+(1-EXP(-LN(2)/25))/(LN(2)/25)*Calculateur!V140*Calculateur!X140*VLOOKUP('Données projet'!$B$9,Paramètres!$A$1:$I$89,3,0)*0.475*44/12</f>
        <v>6.892098069232131</v>
      </c>
      <c r="AB140" s="21">
        <f>EXP(-LN(2)/2)*AB139+(1-EXP(-LN(2)/2))/(LN(2)/2)*V140*Y140*VLOOKUP('Données projet'!$B$9,Paramètres!$A$1:$I$89,3,0)*0.475*44/12</f>
        <v>5.8818655447101831E-13</v>
      </c>
      <c r="AC140" s="22">
        <f t="shared" si="111"/>
        <v>34.868681240453107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-9.9316821433603781E-14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243.26825841283591</v>
      </c>
      <c r="AO140" s="59">
        <f t="shared" si="144"/>
        <v>179.2944312100729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37.525632644747603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37.525632644747603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-4.1677594708744434E-14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146.45728988963538</v>
      </c>
      <c r="BJ140" s="59">
        <f t="shared" si="146"/>
        <v>156.91778940341118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15.743970237136192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15.743970237136192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-4.0000000000001137</v>
      </c>
      <c r="BZ140" s="13">
        <f>BY140*VLOOKUP('Données projet'!$B$12,Paramètres!$A$1:$I$89,3,0)*VLOOKUP('Données projet'!$B$12,Paramètres!$A$1:$I$89,5,0)</f>
        <v>-3.1824000000000909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238.71022302719206</v>
      </c>
      <c r="CE140" s="59">
        <f t="shared" si="148"/>
        <v>294.28794439094878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26.19098764194516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26.19098764194516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-9.0449248091317723E-14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238.71022302719206</v>
      </c>
      <c r="CZ140" s="59">
        <f t="shared" si="150"/>
        <v>294.28794439094878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25.866347856769831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25.866347856769831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-1.1368683772161603E-13</v>
      </c>
      <c r="DP140" s="17">
        <f>DO140*VLOOKUP('Données projet'!$B$14,Paramètres!$A$1:$I$89,3,0)*VLOOKUP('Données projet'!$B$14,Paramètres!$A$1:$I$89,5,0)</f>
        <v>-9.7543306765146564E-14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203.34232675618244</v>
      </c>
      <c r="DU140" s="59">
        <f t="shared" si="152"/>
        <v>176.81257896138806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49.164494544554458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49.164494544554458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2.8421709430404007E-14</v>
      </c>
      <c r="EK140" s="17">
        <f>EJ140*VLOOKUP('Données projet'!$B$15,Paramètres!$A$1:$I$89,3,0)*VLOOKUP('Données projet'!$B$15,Paramètres!$A$1:$I$89,5,0)</f>
        <v>2.7489477361086758E-14</v>
      </c>
      <c r="EL140" s="13">
        <f t="shared" si="153"/>
        <v>4.7995394886724981E-13</v>
      </c>
      <c r="EM140" s="20">
        <f t="shared" si="127"/>
        <v>8.8379730068101964E-13</v>
      </c>
      <c r="EN140" s="59">
        <f t="shared" si="128"/>
        <v>293.33333333333422</v>
      </c>
      <c r="EO140" s="59">
        <f ca="1">AVERAGE(OFFSET($EN$3,0,0,'Données projet'!$E$15+1,1))-AVERAGE(OFFSET($H$3,0,0,'Données projet'!$E$15+1,1))</f>
        <v>218.78765033569107</v>
      </c>
      <c r="EP140" s="59">
        <f t="shared" si="154"/>
        <v>246.54010105494137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170.80796812111521</v>
      </c>
      <c r="FK140" s="59">
        <f t="shared" si="156"/>
        <v>249.84047400410321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0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333.02360594713667</v>
      </c>
      <c r="T141" s="59">
        <f t="shared" si="142"/>
        <v>546.58234447298014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27.427979439263556</v>
      </c>
      <c r="AA141" s="21">
        <f>EXP(-LN(2)/25)*AA140+(1-EXP(-LN(2)/25))/(LN(2)/25)*Calculateur!V141*Calculateur!X141*VLOOKUP('Données projet'!$B$9,Paramètres!$A$1:$I$89,3,0)*0.475*44/12</f>
        <v>6.7036332850892926</v>
      </c>
      <c r="AB141" s="21">
        <f>EXP(-LN(2)/2)*AB140+(1-EXP(-LN(2)/2))/(LN(2)/2)*V141*Y141*VLOOKUP('Données projet'!$B$9,Paramètres!$A$1:$I$89,3,0)*0.475*44/12</f>
        <v>4.1591070126920767E-13</v>
      </c>
      <c r="AC141" s="22">
        <f t="shared" si="111"/>
        <v>34.131612724353268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-9.9316821433603781E-14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243.26825841283591</v>
      </c>
      <c r="AO141" s="59">
        <f t="shared" si="144"/>
        <v>179.2944312100729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36.789777876959974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36.789777876959974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-4.1677594708744434E-14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146.45728988963538</v>
      </c>
      <c r="BJ141" s="59">
        <f t="shared" si="146"/>
        <v>156.91778940341118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15.435240583659592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15.435240583659592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-4.0000000000001137</v>
      </c>
      <c r="BZ141" s="13">
        <f>BY141*VLOOKUP('Données projet'!$B$12,Paramètres!$A$1:$I$89,3,0)*VLOOKUP('Données projet'!$B$12,Paramètres!$A$1:$I$89,5,0)</f>
        <v>-3.1824000000000909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238.71022302719206</v>
      </c>
      <c r="CE141" s="59">
        <f t="shared" si="148"/>
        <v>294.28794439094878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25.677398349211686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25.677398349211686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-9.0449248091317723E-14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238.71022302719206</v>
      </c>
      <c r="CZ141" s="59">
        <f t="shared" si="150"/>
        <v>294.28794439094878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25.359124552212926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25.359124552212926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-1.1368683772161603E-13</v>
      </c>
      <c r="DP141" s="17">
        <f>DO141*VLOOKUP('Données projet'!$B$14,Paramètres!$A$1:$I$89,3,0)*VLOOKUP('Données projet'!$B$14,Paramètres!$A$1:$I$89,5,0)</f>
        <v>-9.7543306765146564E-14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203.34232675618244</v>
      </c>
      <c r="DU141" s="59">
        <f t="shared" si="152"/>
        <v>176.81257896138806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48.200408793916409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48.200408793916409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2.8421709430404007E-14</v>
      </c>
      <c r="EK141" s="17">
        <f>EJ141*VLOOKUP('Données projet'!$B$15,Paramètres!$A$1:$I$89,3,0)*VLOOKUP('Données projet'!$B$15,Paramètres!$A$1:$I$89,5,0)</f>
        <v>2.7489477361086758E-14</v>
      </c>
      <c r="EL141" s="13">
        <f t="shared" si="153"/>
        <v>4.7995394886724981E-13</v>
      </c>
      <c r="EM141" s="20">
        <f t="shared" si="127"/>
        <v>8.8379730068101964E-13</v>
      </c>
      <c r="EN141" s="59">
        <f t="shared" si="128"/>
        <v>293.33333333333422</v>
      </c>
      <c r="EO141" s="59">
        <f ca="1">AVERAGE(OFFSET($EN$3,0,0,'Données projet'!$E$15+1,1))-AVERAGE(OFFSET($H$3,0,0,'Données projet'!$E$15+1,1))</f>
        <v>218.78765033569107</v>
      </c>
      <c r="EP141" s="59">
        <f t="shared" si="154"/>
        <v>246.54010105494137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170.80796812111521</v>
      </c>
      <c r="FK141" s="59">
        <f t="shared" si="156"/>
        <v>249.84047400410321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0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333.02360594713667</v>
      </c>
      <c r="T142" s="59">
        <f t="shared" si="142"/>
        <v>546.58234447298014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26.890133491875162</v>
      </c>
      <c r="AA142" s="21">
        <f>EXP(-LN(2)/25)*AA141+(1-EXP(-LN(2)/25))/(LN(2)/25)*Calculateur!V142*Calculateur!X142*VLOOKUP('Données projet'!$B$9,Paramètres!$A$1:$I$89,3,0)*0.475*44/12</f>
        <v>6.5203220803797723</v>
      </c>
      <c r="AB142" s="21">
        <f>EXP(-LN(2)/2)*AB141+(1-EXP(-LN(2)/2))/(LN(2)/2)*V142*Y142*VLOOKUP('Données projet'!$B$9,Paramètres!$A$1:$I$89,3,0)*0.475*44/12</f>
        <v>2.9409327723550916E-13</v>
      </c>
      <c r="AC142" s="22">
        <f t="shared" si="111"/>
        <v>33.410455572255223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-9.9316821433603781E-14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243.26825841283591</v>
      </c>
      <c r="AO142" s="59">
        <f t="shared" si="144"/>
        <v>179.2944312100729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36.068352772341569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36.068352772341569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-4.1677594708744434E-14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146.45728988963538</v>
      </c>
      <c r="BJ142" s="59">
        <f t="shared" si="146"/>
        <v>156.91778940341118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15.132564930381172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15.132564930381172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-4.0000000000001137</v>
      </c>
      <c r="BZ142" s="13">
        <f>BY142*VLOOKUP('Données projet'!$B$12,Paramètres!$A$1:$I$89,3,0)*VLOOKUP('Données projet'!$B$12,Paramètres!$A$1:$I$89,5,0)</f>
        <v>-3.1824000000000909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238.71022302719206</v>
      </c>
      <c r="CE142" s="59">
        <f t="shared" si="148"/>
        <v>294.28794439094878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25.173880229250177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25.173880229250177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-9.0449248091317723E-14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238.71022302719206</v>
      </c>
      <c r="CZ142" s="59">
        <f t="shared" si="150"/>
        <v>294.28794439094878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24.861847587282714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24.861847587282714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-1.1368683772161603E-13</v>
      </c>
      <c r="DP142" s="17">
        <f>DO142*VLOOKUP('Données projet'!$B$14,Paramètres!$A$1:$I$89,3,0)*VLOOKUP('Données projet'!$B$14,Paramètres!$A$1:$I$89,5,0)</f>
        <v>-9.7543306765146564E-14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203.34232675618244</v>
      </c>
      <c r="DU142" s="59">
        <f t="shared" si="152"/>
        <v>176.81257896138806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47.255228176814128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47.255228176814128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2.8421709430404007E-14</v>
      </c>
      <c r="EK142" s="17">
        <f>EJ142*VLOOKUP('Données projet'!$B$15,Paramètres!$A$1:$I$89,3,0)*VLOOKUP('Données projet'!$B$15,Paramètres!$A$1:$I$89,5,0)</f>
        <v>2.7489477361086758E-14</v>
      </c>
      <c r="EL142" s="13">
        <f t="shared" si="153"/>
        <v>4.7995394886724981E-13</v>
      </c>
      <c r="EM142" s="20">
        <f t="shared" si="127"/>
        <v>8.8379730068101964E-13</v>
      </c>
      <c r="EN142" s="59">
        <f t="shared" si="128"/>
        <v>293.33333333333422</v>
      </c>
      <c r="EO142" s="59">
        <f ca="1">AVERAGE(OFFSET($EN$3,0,0,'Données projet'!$E$15+1,1))-AVERAGE(OFFSET($H$3,0,0,'Données projet'!$E$15+1,1))</f>
        <v>218.78765033569107</v>
      </c>
      <c r="EP142" s="59">
        <f t="shared" si="154"/>
        <v>246.54010105494137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170.80796812111521</v>
      </c>
      <c r="FK142" s="59">
        <f t="shared" si="156"/>
        <v>249.84047400410321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0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333.02360594713667</v>
      </c>
      <c r="T143" s="59">
        <f t="shared" si="142"/>
        <v>546.58234447298014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26.362834375461421</v>
      </c>
      <c r="AA143" s="21">
        <f>EXP(-LN(2)/25)*AA142+(1-EXP(-LN(2)/25))/(LN(2)/25)*Calculateur!V143*Calculateur!X143*VLOOKUP('Données projet'!$B$9,Paramètres!$A$1:$I$89,3,0)*0.475*44/12</f>
        <v>6.342023530202952</v>
      </c>
      <c r="AB143" s="21">
        <f>EXP(-LN(2)/2)*AB142+(1-EXP(-LN(2)/2))/(LN(2)/2)*V143*Y143*VLOOKUP('Données projet'!$B$9,Paramètres!$A$1:$I$89,3,0)*0.475*44/12</f>
        <v>2.0795535063460383E-13</v>
      </c>
      <c r="AC143" s="22">
        <f t="shared" si="111"/>
        <v>32.704857905664582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-9.9316821433603781E-14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243.26825841283591</v>
      </c>
      <c r="AO143" s="59">
        <f t="shared" si="144"/>
        <v>179.2944312100729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35.361074373998868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35.361074373998868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-4.1677594708744434E-14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146.45728988963538</v>
      </c>
      <c r="BJ143" s="59">
        <f t="shared" si="146"/>
        <v>156.91778940341118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14.835824562049622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14.835824562049622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-4.0000000000001137</v>
      </c>
      <c r="BZ143" s="13">
        <f>BY143*VLOOKUP('Données projet'!$B$12,Paramètres!$A$1:$I$89,3,0)*VLOOKUP('Données projet'!$B$12,Paramètres!$A$1:$I$89,5,0)</f>
        <v>-3.1824000000000909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238.71022302719206</v>
      </c>
      <c r="CE143" s="59">
        <f t="shared" si="148"/>
        <v>294.28794439094878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24.680235792505385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24.680235792505385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-9.0449248091317723E-14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238.71022302719206</v>
      </c>
      <c r="CZ143" s="59">
        <f t="shared" si="150"/>
        <v>294.28794439094878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24.374321920325784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24.374321920325784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-1.1368683772161603E-13</v>
      </c>
      <c r="DP143" s="17">
        <f>DO143*VLOOKUP('Données projet'!$B$14,Paramètres!$A$1:$I$89,3,0)*VLOOKUP('Données projet'!$B$14,Paramètres!$A$1:$I$89,5,0)</f>
        <v>-9.7543306765146564E-14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203.34232675618244</v>
      </c>
      <c r="DU143" s="59">
        <f t="shared" si="152"/>
        <v>176.81257896138806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46.328581975109969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46.328581975109969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2.8421709430404007E-14</v>
      </c>
      <c r="EK143" s="17">
        <f>EJ143*VLOOKUP('Données projet'!$B$15,Paramètres!$A$1:$I$89,3,0)*VLOOKUP('Données projet'!$B$15,Paramètres!$A$1:$I$89,5,0)</f>
        <v>2.7489477361086758E-14</v>
      </c>
      <c r="EL143" s="13">
        <f t="shared" si="153"/>
        <v>4.7995394886724981E-13</v>
      </c>
      <c r="EM143" s="20">
        <f t="shared" si="127"/>
        <v>8.8379730068101964E-13</v>
      </c>
      <c r="EN143" s="59">
        <f t="shared" si="128"/>
        <v>293.33333333333422</v>
      </c>
      <c r="EO143" s="59">
        <f ca="1">AVERAGE(OFFSET($EN$3,0,0,'Données projet'!$E$15+1,1))-AVERAGE(OFFSET($H$3,0,0,'Données projet'!$E$15+1,1))</f>
        <v>218.78765033569107</v>
      </c>
      <c r="EP143" s="59">
        <f t="shared" si="154"/>
        <v>246.54010105494137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170.80796812111521</v>
      </c>
      <c r="FK143" s="59">
        <f t="shared" si="156"/>
        <v>249.84047400410321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0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333.02360594713667</v>
      </c>
      <c r="T144" s="59">
        <f t="shared" si="142"/>
        <v>546.58234447298014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25.84587527309985</v>
      </c>
      <c r="AA144" s="21">
        <f>EXP(-LN(2)/25)*AA143+(1-EXP(-LN(2)/25))/(LN(2)/25)*Calculateur!V144*Calculateur!X144*VLOOKUP('Données projet'!$B$9,Paramètres!$A$1:$I$89,3,0)*0.475*44/12</f>
        <v>6.16860056325703</v>
      </c>
      <c r="AB144" s="21">
        <f>EXP(-LN(2)/2)*AB143+(1-EXP(-LN(2)/2))/(LN(2)/2)*V144*Y144*VLOOKUP('Données projet'!$B$9,Paramètres!$A$1:$I$89,3,0)*0.475*44/12</f>
        <v>1.4704663861775458E-13</v>
      </c>
      <c r="AC144" s="22">
        <f t="shared" si="111"/>
        <v>32.014475836357029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-9.9316821433603781E-14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243.26825841283591</v>
      </c>
      <c r="AO144" s="59">
        <f t="shared" si="144"/>
        <v>179.2944312100729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34.667665273650442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34.667665273650442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-4.1677594708744434E-14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146.45728988963538</v>
      </c>
      <c r="BJ144" s="59">
        <f t="shared" si="146"/>
        <v>156.91778940341118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14.544903091347301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14.544903091347301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-4.0000000000001137</v>
      </c>
      <c r="BZ144" s="13">
        <f>BY144*VLOOKUP('Données projet'!$B$12,Paramètres!$A$1:$I$89,3,0)*VLOOKUP('Données projet'!$B$12,Paramètres!$A$1:$I$89,5,0)</f>
        <v>-3.1824000000000909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238.71022302719206</v>
      </c>
      <c r="CE144" s="59">
        <f t="shared" si="148"/>
        <v>294.28794439094878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24.196271422071781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24.196271422071781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-9.0449248091317723E-14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238.71022302719206</v>
      </c>
      <c r="CZ144" s="59">
        <f t="shared" si="150"/>
        <v>294.28794439094878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23.896356334336584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23.896356334336584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-1.1368683772161603E-13</v>
      </c>
      <c r="DP144" s="17">
        <f>DO144*VLOOKUP('Données projet'!$B$14,Paramètres!$A$1:$I$89,3,0)*VLOOKUP('Données projet'!$B$14,Paramètres!$A$1:$I$89,5,0)</f>
        <v>-9.7543306765146564E-14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203.34232675618244</v>
      </c>
      <c r="DU144" s="59">
        <f t="shared" si="152"/>
        <v>176.81257896138806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45.420106740222856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45.420106740222856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2.8421709430404007E-14</v>
      </c>
      <c r="EK144" s="17">
        <f>EJ144*VLOOKUP('Données projet'!$B$15,Paramètres!$A$1:$I$89,3,0)*VLOOKUP('Données projet'!$B$15,Paramètres!$A$1:$I$89,5,0)</f>
        <v>2.7489477361086758E-14</v>
      </c>
      <c r="EL144" s="13">
        <f t="shared" si="153"/>
        <v>4.7995394886724981E-13</v>
      </c>
      <c r="EM144" s="20">
        <f t="shared" si="127"/>
        <v>8.8379730068101964E-13</v>
      </c>
      <c r="EN144" s="59">
        <f t="shared" si="128"/>
        <v>293.33333333333422</v>
      </c>
      <c r="EO144" s="59">
        <f ca="1">AVERAGE(OFFSET($EN$3,0,0,'Données projet'!$E$15+1,1))-AVERAGE(OFFSET($H$3,0,0,'Données projet'!$E$15+1,1))</f>
        <v>218.78765033569107</v>
      </c>
      <c r="EP144" s="59">
        <f t="shared" si="154"/>
        <v>246.54010105494137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170.80796812111521</v>
      </c>
      <c r="FK144" s="59">
        <f t="shared" si="156"/>
        <v>249.84047400410321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0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333.02360594713667</v>
      </c>
      <c r="T145" s="59">
        <f t="shared" si="142"/>
        <v>546.58234447298014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25.339053423421671</v>
      </c>
      <c r="AA145" s="21">
        <f>EXP(-LN(2)/25)*AA144+(1-EXP(-LN(2)/25))/(LN(2)/25)*Calculateur!V145*Calculateur!X145*VLOOKUP('Données projet'!$B$9,Paramètres!$A$1:$I$89,3,0)*0.475*44/12</f>
        <v>5.999919856462161</v>
      </c>
      <c r="AB145" s="21">
        <f>EXP(-LN(2)/2)*AB144+(1-EXP(-LN(2)/2))/(LN(2)/2)*V145*Y145*VLOOKUP('Données projet'!$B$9,Paramètres!$A$1:$I$89,3,0)*0.475*44/12</f>
        <v>1.0397767531730192E-13</v>
      </c>
      <c r="AC145" s="22">
        <f t="shared" si="111"/>
        <v>31.338973279883934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-9.9316821433603781E-14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243.26825841283591</v>
      </c>
      <c r="AO145" s="59">
        <f t="shared" si="144"/>
        <v>179.2944312100729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33.987853502822063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33.987853502822063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-4.1677594708744434E-14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146.45728988963538</v>
      </c>
      <c r="BJ145" s="59">
        <f t="shared" si="146"/>
        <v>156.91778940341118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14.259686413240876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14.259686413240876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-4.0000000000001137</v>
      </c>
      <c r="BZ145" s="13">
        <f>BY145*VLOOKUP('Données projet'!$B$12,Paramètres!$A$1:$I$89,3,0)*VLOOKUP('Données projet'!$B$12,Paramètres!$A$1:$I$89,5,0)</f>
        <v>-3.1824000000000909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238.71022302719206</v>
      </c>
      <c r="CE145" s="59">
        <f t="shared" si="148"/>
        <v>294.28794439094878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23.721797297753263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23.721797297753263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-9.0449248091317723E-14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238.71022302719206</v>
      </c>
      <c r="CZ145" s="59">
        <f t="shared" si="150"/>
        <v>294.28794439094878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23.427763361958412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23.427763361958412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-1.1368683772161603E-13</v>
      </c>
      <c r="DP145" s="17">
        <f>DO145*VLOOKUP('Données projet'!$B$14,Paramètres!$A$1:$I$89,3,0)*VLOOKUP('Données projet'!$B$14,Paramètres!$A$1:$I$89,5,0)</f>
        <v>-9.7543306765146564E-14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203.34232675618244</v>
      </c>
      <c r="DU145" s="59">
        <f t="shared" si="152"/>
        <v>176.81257896138806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44.529446150576703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44.529446150576703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2.8421709430404007E-14</v>
      </c>
      <c r="EK145" s="17">
        <f>EJ145*VLOOKUP('Données projet'!$B$15,Paramètres!$A$1:$I$89,3,0)*VLOOKUP('Données projet'!$B$15,Paramètres!$A$1:$I$89,5,0)</f>
        <v>2.7489477361086758E-14</v>
      </c>
      <c r="EL145" s="13">
        <f t="shared" si="153"/>
        <v>4.7995394886724981E-13</v>
      </c>
      <c r="EM145" s="20">
        <f t="shared" si="127"/>
        <v>8.8379730068101964E-13</v>
      </c>
      <c r="EN145" s="59">
        <f t="shared" si="128"/>
        <v>293.33333333333422</v>
      </c>
      <c r="EO145" s="59">
        <f ca="1">AVERAGE(OFFSET($EN$3,0,0,'Données projet'!$E$15+1,1))-AVERAGE(OFFSET($H$3,0,0,'Données projet'!$E$15+1,1))</f>
        <v>218.78765033569107</v>
      </c>
      <c r="EP145" s="59">
        <f t="shared" si="154"/>
        <v>246.54010105494137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170.80796812111521</v>
      </c>
      <c r="FK145" s="59">
        <f t="shared" si="156"/>
        <v>249.84047400410321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0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333.02360594713667</v>
      </c>
      <c r="T146" s="59">
        <f t="shared" si="142"/>
        <v>546.58234447298014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24.842170041084877</v>
      </c>
      <c r="AA146" s="21">
        <f>EXP(-LN(2)/25)*AA145+(1-EXP(-LN(2)/25))/(LN(2)/25)*Calculateur!V146*Calculateur!X146*VLOOKUP('Données projet'!$B$9,Paramètres!$A$1:$I$89,3,0)*0.475*44/12</f>
        <v>5.8358517324651311</v>
      </c>
      <c r="AB146" s="21">
        <f>EXP(-LN(2)/2)*AB145+(1-EXP(-LN(2)/2))/(LN(2)/2)*V146*Y146*VLOOKUP('Données projet'!$B$9,Paramètres!$A$1:$I$89,3,0)*0.475*44/12</f>
        <v>7.3523319308877289E-14</v>
      </c>
      <c r="AC146" s="22">
        <f t="shared" si="111"/>
        <v>30.678021773550082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-9.9316821433603781E-14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243.26825841283591</v>
      </c>
      <c r="AO146" s="59">
        <f t="shared" si="144"/>
        <v>179.2944312100729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33.321372426175387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33.321372426175387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-4.1677594708744434E-14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146.45728988963538</v>
      </c>
      <c r="BJ146" s="59">
        <f t="shared" si="146"/>
        <v>156.91778940341118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13.980062660227123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13.980062660227123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-4.0000000000001137</v>
      </c>
      <c r="BZ146" s="13">
        <f>BY146*VLOOKUP('Données projet'!$B$12,Paramètres!$A$1:$I$89,3,0)*VLOOKUP('Données projet'!$B$12,Paramètres!$A$1:$I$89,5,0)</f>
        <v>-3.1824000000000909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238.71022302719206</v>
      </c>
      <c r="CE146" s="59">
        <f t="shared" si="148"/>
        <v>294.28794439094878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23.25662732161199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23.25662732161199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-9.0449248091317723E-14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238.71022302719206</v>
      </c>
      <c r="CZ146" s="59">
        <f t="shared" si="150"/>
        <v>294.28794439094878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22.968359211955086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22.968359211955086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-1.1368683772161603E-13</v>
      </c>
      <c r="DP146" s="17">
        <f>DO146*VLOOKUP('Données projet'!$B$14,Paramètres!$A$1:$I$89,3,0)*VLOOKUP('Données projet'!$B$14,Paramètres!$A$1:$I$89,5,0)</f>
        <v>-9.7543306765146564E-14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203.34232675618244</v>
      </c>
      <c r="DU146" s="59">
        <f t="shared" si="152"/>
        <v>176.81257896138806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43.656250871844193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43.656250871844193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2.8421709430404007E-14</v>
      </c>
      <c r="EK146" s="17">
        <f>EJ146*VLOOKUP('Données projet'!$B$15,Paramètres!$A$1:$I$89,3,0)*VLOOKUP('Données projet'!$B$15,Paramètres!$A$1:$I$89,5,0)</f>
        <v>2.7489477361086758E-14</v>
      </c>
      <c r="EL146" s="13">
        <f t="shared" si="153"/>
        <v>4.7995394886724981E-13</v>
      </c>
      <c r="EM146" s="20">
        <f t="shared" si="127"/>
        <v>8.8379730068101964E-13</v>
      </c>
      <c r="EN146" s="59">
        <f t="shared" si="128"/>
        <v>293.33333333333422</v>
      </c>
      <c r="EO146" s="59">
        <f ca="1">AVERAGE(OFFSET($EN$3,0,0,'Données projet'!$E$15+1,1))-AVERAGE(OFFSET($H$3,0,0,'Données projet'!$E$15+1,1))</f>
        <v>218.78765033569107</v>
      </c>
      <c r="EP146" s="59">
        <f t="shared" si="154"/>
        <v>246.54010105494137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170.80796812111521</v>
      </c>
      <c r="FK146" s="59">
        <f t="shared" si="156"/>
        <v>249.84047400410321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0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333.02360594713667</v>
      </c>
      <c r="T147" s="59">
        <f t="shared" si="142"/>
        <v>546.58234447298014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24.355030238806769</v>
      </c>
      <c r="AA147" s="21">
        <f>EXP(-LN(2)/25)*AA146+(1-EXP(-LN(2)/25))/(LN(2)/25)*Calculateur!V147*Calculateur!X147*VLOOKUP('Données projet'!$B$9,Paramètres!$A$1:$I$89,3,0)*0.475*44/12</f>
        <v>5.6762700599467673</v>
      </c>
      <c r="AB147" s="21">
        <f>EXP(-LN(2)/2)*AB146+(1-EXP(-LN(2)/2))/(LN(2)/2)*V147*Y147*VLOOKUP('Données projet'!$B$9,Paramètres!$A$1:$I$89,3,0)*0.475*44/12</f>
        <v>5.1988837658650958E-14</v>
      </c>
      <c r="AC147" s="22">
        <f t="shared" si="111"/>
        <v>30.031300298753589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-9.9316821433603781E-14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243.26825841283591</v>
      </c>
      <c r="AO147" s="59">
        <f t="shared" si="144"/>
        <v>179.2944312100729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32.667960636928434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32.667960636928434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-4.1677594708744434E-14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146.45728988963538</v>
      </c>
      <c r="BJ147" s="59">
        <f t="shared" si="146"/>
        <v>156.91778940341118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13.705922158456321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13.705922158456321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-4.0000000000001137</v>
      </c>
      <c r="BZ147" s="13">
        <f>BY147*VLOOKUP('Données projet'!$B$12,Paramètres!$A$1:$I$89,3,0)*VLOOKUP('Données projet'!$B$12,Paramètres!$A$1:$I$89,5,0)</f>
        <v>-3.1824000000000909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238.71022302719206</v>
      </c>
      <c r="CE147" s="59">
        <f t="shared" si="148"/>
        <v>294.28794439094878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22.80057904497718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22.80057904497718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-9.0449248091317723E-14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238.71022302719206</v>
      </c>
      <c r="CZ147" s="59">
        <f t="shared" si="150"/>
        <v>294.28794439094878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22.517963697124461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22.517963697124461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-1.1368683772161603E-13</v>
      </c>
      <c r="DP147" s="17">
        <f>DO147*VLOOKUP('Données projet'!$B$14,Paramètres!$A$1:$I$89,3,0)*VLOOKUP('Données projet'!$B$14,Paramètres!$A$1:$I$89,5,0)</f>
        <v>-9.7543306765146564E-14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203.34232675618244</v>
      </c>
      <c r="DU147" s="59">
        <f t="shared" si="152"/>
        <v>176.81257896138806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42.800178419931093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42.800178419931093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2.8421709430404007E-14</v>
      </c>
      <c r="EK147" s="17">
        <f>EJ147*VLOOKUP('Données projet'!$B$15,Paramètres!$A$1:$I$89,3,0)*VLOOKUP('Données projet'!$B$15,Paramètres!$A$1:$I$89,5,0)</f>
        <v>2.7489477361086758E-14</v>
      </c>
      <c r="EL147" s="13">
        <f t="shared" si="153"/>
        <v>4.7995394886724981E-13</v>
      </c>
      <c r="EM147" s="20">
        <f t="shared" si="127"/>
        <v>8.8379730068101964E-13</v>
      </c>
      <c r="EN147" s="59">
        <f t="shared" si="128"/>
        <v>293.33333333333422</v>
      </c>
      <c r="EO147" s="59">
        <f ca="1">AVERAGE(OFFSET($EN$3,0,0,'Données projet'!$E$15+1,1))-AVERAGE(OFFSET($H$3,0,0,'Données projet'!$E$15+1,1))</f>
        <v>218.78765033569107</v>
      </c>
      <c r="EP147" s="59">
        <f t="shared" si="154"/>
        <v>246.54010105494137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170.80796812111521</v>
      </c>
      <c r="FK147" s="59">
        <f t="shared" si="156"/>
        <v>249.84047400410321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0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333.02360594713667</v>
      </c>
      <c r="T148" s="59">
        <f t="shared" si="142"/>
        <v>546.58234447298014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23.877442950925396</v>
      </c>
      <c r="AA148" s="21">
        <f>EXP(-LN(2)/25)*AA147+(1-EXP(-LN(2)/25))/(LN(2)/25)*Calculateur!V148*Calculateur!X148*VLOOKUP('Données projet'!$B$9,Paramètres!$A$1:$I$89,3,0)*0.475*44/12</f>
        <v>5.521052156655454</v>
      </c>
      <c r="AB148" s="21">
        <f>EXP(-LN(2)/2)*AB147+(1-EXP(-LN(2)/2))/(LN(2)/2)*V148*Y148*VLOOKUP('Données projet'!$B$9,Paramètres!$A$1:$I$89,3,0)*0.475*44/12</f>
        <v>3.6761659654438645E-14</v>
      </c>
      <c r="AC148" s="22">
        <f t="shared" si="111"/>
        <v>29.398495107580885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-9.9316821433603781E-14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243.26825841283591</v>
      </c>
      <c r="AO148" s="59">
        <f t="shared" si="144"/>
        <v>179.2944312100729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32.027361854326777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32.027361854326777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-4.1677594708744434E-14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146.45728988963538</v>
      </c>
      <c r="BJ148" s="59">
        <f t="shared" si="146"/>
        <v>156.91778940341118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13.437157384716048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13.437157384716048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-4.0000000000001137</v>
      </c>
      <c r="BZ148" s="13">
        <f>BY148*VLOOKUP('Données projet'!$B$12,Paramètres!$A$1:$I$89,3,0)*VLOOKUP('Données projet'!$B$12,Paramètres!$A$1:$I$89,5,0)</f>
        <v>-3.1824000000000909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238.71022302719206</v>
      </c>
      <c r="CE148" s="59">
        <f t="shared" si="148"/>
        <v>294.28794439094878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22.353473596885195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22.353473596885195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-9.0449248091317723E-14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238.71022302719206</v>
      </c>
      <c r="CZ148" s="59">
        <f t="shared" si="150"/>
        <v>294.28794439094878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22.076400163625525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22.076400163625525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-1.1368683772161603E-13</v>
      </c>
      <c r="DP148" s="17">
        <f>DO148*VLOOKUP('Données projet'!$B$14,Paramètres!$A$1:$I$89,3,0)*VLOOKUP('Données projet'!$B$14,Paramètres!$A$1:$I$89,5,0)</f>
        <v>-9.7543306765146564E-14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203.34232675618244</v>
      </c>
      <c r="DU148" s="59">
        <f t="shared" si="152"/>
        <v>176.81257896138806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41.960893026647376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41.960893026647376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2.8421709430404007E-14</v>
      </c>
      <c r="EK148" s="17">
        <f>EJ148*VLOOKUP('Données projet'!$B$15,Paramètres!$A$1:$I$89,3,0)*VLOOKUP('Données projet'!$B$15,Paramètres!$A$1:$I$89,5,0)</f>
        <v>2.7489477361086758E-14</v>
      </c>
      <c r="EL148" s="13">
        <f t="shared" si="153"/>
        <v>4.7995394886724981E-13</v>
      </c>
      <c r="EM148" s="20">
        <f t="shared" si="127"/>
        <v>8.8379730068101964E-13</v>
      </c>
      <c r="EN148" s="59">
        <f t="shared" si="128"/>
        <v>293.33333333333422</v>
      </c>
      <c r="EO148" s="59">
        <f ca="1">AVERAGE(OFFSET($EN$3,0,0,'Données projet'!$E$15+1,1))-AVERAGE(OFFSET($H$3,0,0,'Données projet'!$E$15+1,1))</f>
        <v>218.78765033569107</v>
      </c>
      <c r="EP148" s="59">
        <f t="shared" si="154"/>
        <v>246.54010105494137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170.80796812111521</v>
      </c>
      <c r="FK148" s="59">
        <f t="shared" si="156"/>
        <v>249.84047400410321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0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333.02360594713667</v>
      </c>
      <c r="T149" s="59">
        <f t="shared" si="142"/>
        <v>546.58234447298014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23.409220858459893</v>
      </c>
      <c r="AA149" s="21">
        <f>EXP(-LN(2)/25)*AA148+(1-EXP(-LN(2)/25))/(LN(2)/25)*Calculateur!V149*Calculateur!X149*VLOOKUP('Données projet'!$B$9,Paramètres!$A$1:$I$89,3,0)*0.475*44/12</f>
        <v>5.3700786950921966</v>
      </c>
      <c r="AB149" s="21">
        <f>EXP(-LN(2)/2)*AB148+(1-EXP(-LN(2)/2))/(LN(2)/2)*V149*Y149*VLOOKUP('Données projet'!$B$9,Paramètres!$A$1:$I$89,3,0)*0.475*44/12</f>
        <v>2.5994418829325479E-14</v>
      </c>
      <c r="AC149" s="22">
        <f t="shared" si="111"/>
        <v>28.779299553552114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-9.9316821433603781E-14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243.26825841283591</v>
      </c>
      <c r="AO149" s="59">
        <f t="shared" si="144"/>
        <v>179.2944312100729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31.399324823125262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31.399324823125262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-4.1677594708744434E-14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146.45728988963538</v>
      </c>
      <c r="BJ149" s="59">
        <f t="shared" si="146"/>
        <v>156.91778940341118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13.173662924258497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13.173662924258497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-4.0000000000001137</v>
      </c>
      <c r="BZ149" s="13">
        <f>BY149*VLOOKUP('Données projet'!$B$12,Paramètres!$A$1:$I$89,3,0)*VLOOKUP('Données projet'!$B$12,Paramètres!$A$1:$I$89,5,0)</f>
        <v>-3.1824000000000909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238.71022302719206</v>
      </c>
      <c r="CE149" s="59">
        <f t="shared" si="148"/>
        <v>294.28794439094878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21.915135613922896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21.915135613922896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-9.0449248091317723E-14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238.71022302719206</v>
      </c>
      <c r="CZ149" s="59">
        <f t="shared" si="150"/>
        <v>294.28794439094878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21.643495421691345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21.643495421691345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-1.1368683772161603E-13</v>
      </c>
      <c r="DP149" s="17">
        <f>DO149*VLOOKUP('Données projet'!$B$14,Paramètres!$A$1:$I$89,3,0)*VLOOKUP('Données projet'!$B$14,Paramètres!$A$1:$I$89,5,0)</f>
        <v>-9.7543306765146564E-14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203.34232675618244</v>
      </c>
      <c r="DU149" s="59">
        <f t="shared" si="152"/>
        <v>176.81257896138806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41.13806550801241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41.13806550801241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2.8421709430404007E-14</v>
      </c>
      <c r="EK149" s="17">
        <f>EJ149*VLOOKUP('Données projet'!$B$15,Paramètres!$A$1:$I$89,3,0)*VLOOKUP('Données projet'!$B$15,Paramètres!$A$1:$I$89,5,0)</f>
        <v>2.7489477361086758E-14</v>
      </c>
      <c r="EL149" s="13">
        <f t="shared" si="153"/>
        <v>4.7995394886724981E-13</v>
      </c>
      <c r="EM149" s="20">
        <f t="shared" si="127"/>
        <v>8.8379730068101964E-13</v>
      </c>
      <c r="EN149" s="59">
        <f t="shared" si="128"/>
        <v>293.33333333333422</v>
      </c>
      <c r="EO149" s="59">
        <f ca="1">AVERAGE(OFFSET($EN$3,0,0,'Données projet'!$E$15+1,1))-AVERAGE(OFFSET($H$3,0,0,'Données projet'!$E$15+1,1))</f>
        <v>218.78765033569107</v>
      </c>
      <c r="EP149" s="59">
        <f t="shared" si="154"/>
        <v>246.54010105494137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170.80796812111521</v>
      </c>
      <c r="FK149" s="59">
        <f t="shared" si="156"/>
        <v>249.84047400410321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0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333.02360594713667</v>
      </c>
      <c r="T150" s="59">
        <f t="shared" si="142"/>
        <v>546.58234447298014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22.95018031564036</v>
      </c>
      <c r="AA150" s="21">
        <f>EXP(-LN(2)/25)*AA149+(1-EXP(-LN(2)/25))/(LN(2)/25)*Calculateur!V150*Calculateur!X150*VLOOKUP('Données projet'!$B$9,Paramètres!$A$1:$I$89,3,0)*0.475*44/12</f>
        <v>5.2232336107747352</v>
      </c>
      <c r="AB150" s="21">
        <f>EXP(-LN(2)/2)*AB149+(1-EXP(-LN(2)/2))/(LN(2)/2)*V150*Y150*VLOOKUP('Données projet'!$B$9,Paramètres!$A$1:$I$89,3,0)*0.475*44/12</f>
        <v>1.8380829827219322E-14</v>
      </c>
      <c r="AC150" s="22">
        <f t="shared" si="111"/>
        <v>28.173413926415112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-9.9316821433603781E-14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243.26825841283591</v>
      </c>
      <c r="AO150" s="59">
        <f t="shared" si="144"/>
        <v>179.2944312100729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30.783603215040845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30.783603215040845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-4.1677594708744434E-14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146.45728988963538</v>
      </c>
      <c r="BJ150" s="59">
        <f t="shared" si="146"/>
        <v>156.91778940341118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12.915335429454768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12.915335429454768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-4.0000000000001137</v>
      </c>
      <c r="BZ150" s="13">
        <f>BY150*VLOOKUP('Données projet'!$B$12,Paramètres!$A$1:$I$89,3,0)*VLOOKUP('Données projet'!$B$12,Paramètres!$A$1:$I$89,5,0)</f>
        <v>-3.1824000000000909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238.71022302719206</v>
      </c>
      <c r="CE150" s="59">
        <f t="shared" si="148"/>
        <v>294.28794439094878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21.48539317144672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21.48539317144672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-9.0449248091317723E-14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238.71022302719206</v>
      </c>
      <c r="CZ150" s="59">
        <f t="shared" si="150"/>
        <v>294.28794439094878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21.219079677700673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21.219079677700673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-1.1368683772161603E-13</v>
      </c>
      <c r="DP150" s="17">
        <f>DO150*VLOOKUP('Données projet'!$B$14,Paramètres!$A$1:$I$89,3,0)*VLOOKUP('Données projet'!$B$14,Paramètres!$A$1:$I$89,5,0)</f>
        <v>-9.7543306765146564E-14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203.34232675618244</v>
      </c>
      <c r="DU150" s="59">
        <f t="shared" si="152"/>
        <v>176.81257896138806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40.331373135142641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40.331373135142641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2.8421709430404007E-14</v>
      </c>
      <c r="EK150" s="17">
        <f>EJ150*VLOOKUP('Données projet'!$B$15,Paramètres!$A$1:$I$89,3,0)*VLOOKUP('Données projet'!$B$15,Paramètres!$A$1:$I$89,5,0)</f>
        <v>2.7489477361086758E-14</v>
      </c>
      <c r="EL150" s="13">
        <f t="shared" si="153"/>
        <v>4.7995394886724981E-13</v>
      </c>
      <c r="EM150" s="20">
        <f t="shared" si="127"/>
        <v>8.8379730068101964E-13</v>
      </c>
      <c r="EN150" s="59">
        <f t="shared" si="128"/>
        <v>293.33333333333422</v>
      </c>
      <c r="EO150" s="59">
        <f ca="1">AVERAGE(OFFSET($EN$3,0,0,'Données projet'!$E$15+1,1))-AVERAGE(OFFSET($H$3,0,0,'Données projet'!$E$15+1,1))</f>
        <v>218.78765033569107</v>
      </c>
      <c r="EP150" s="59">
        <f t="shared" si="154"/>
        <v>246.54010105494137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170.80796812111521</v>
      </c>
      <c r="FK150" s="59">
        <f t="shared" si="156"/>
        <v>249.84047400410321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0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333.02360594713667</v>
      </c>
      <c r="T151" s="59">
        <f t="shared" si="142"/>
        <v>546.58234447298014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22.500141277878434</v>
      </c>
      <c r="AA151" s="21">
        <f>EXP(-LN(2)/25)*AA150+(1-EXP(-LN(2)/25))/(LN(2)/25)*Calculateur!V151*Calculateur!X151*VLOOKUP('Données projet'!$B$9,Paramètres!$A$1:$I$89,3,0)*0.475*44/12</f>
        <v>5.080404013010182</v>
      </c>
      <c r="AB151" s="21">
        <f>EXP(-LN(2)/2)*AB150+(1-EXP(-LN(2)/2))/(LN(2)/2)*V151*Y151*VLOOKUP('Données projet'!$B$9,Paramètres!$A$1:$I$89,3,0)*0.475*44/12</f>
        <v>1.299720941466274E-14</v>
      </c>
      <c r="AC151" s="22">
        <f t="shared" si="111"/>
        <v>27.580545290888629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-9.9316821433603781E-14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243.26825841283591</v>
      </c>
      <c r="AO151" s="59">
        <f t="shared" si="144"/>
        <v>179.2944312100729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30.179955532137864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30.179955532137864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-4.1677594708744434E-14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146.45728988963538</v>
      </c>
      <c r="BJ151" s="59">
        <f t="shared" si="146"/>
        <v>156.91778940341118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12.662073579259925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12.662073579259925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-4.0000000000001137</v>
      </c>
      <c r="BZ151" s="13">
        <f>BY151*VLOOKUP('Données projet'!$B$12,Paramètres!$A$1:$I$89,3,0)*VLOOKUP('Données projet'!$B$12,Paramètres!$A$1:$I$89,5,0)</f>
        <v>-3.1824000000000909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238.71022302719206</v>
      </c>
      <c r="CE151" s="59">
        <f t="shared" si="148"/>
        <v>294.28794439094878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21.064077716150493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21.064077716150493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-9.0449248091317723E-14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238.71022302719206</v>
      </c>
      <c r="CZ151" s="59">
        <f t="shared" si="150"/>
        <v>294.28794439094878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20.802986467581615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20.802986467581615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-1.1368683772161603E-13</v>
      </c>
      <c r="DP151" s="17">
        <f>DO151*VLOOKUP('Données projet'!$B$14,Paramètres!$A$1:$I$89,3,0)*VLOOKUP('Données projet'!$B$14,Paramètres!$A$1:$I$89,5,0)</f>
        <v>-9.7543306765146564E-14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203.34232675618244</v>
      </c>
      <c r="DU151" s="59">
        <f t="shared" si="152"/>
        <v>176.81257896138806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39.540499507671086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39.540499507671086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2.8421709430404007E-14</v>
      </c>
      <c r="EK151" s="17">
        <f>EJ151*VLOOKUP('Données projet'!$B$15,Paramètres!$A$1:$I$89,3,0)*VLOOKUP('Données projet'!$B$15,Paramètres!$A$1:$I$89,5,0)</f>
        <v>2.7489477361086758E-14</v>
      </c>
      <c r="EL151" s="13">
        <f t="shared" si="153"/>
        <v>4.7995394886724981E-13</v>
      </c>
      <c r="EM151" s="20">
        <f t="shared" si="127"/>
        <v>8.8379730068101964E-13</v>
      </c>
      <c r="EN151" s="59">
        <f t="shared" si="128"/>
        <v>293.33333333333422</v>
      </c>
      <c r="EO151" s="59">
        <f ca="1">AVERAGE(OFFSET($EN$3,0,0,'Données projet'!$E$15+1,1))-AVERAGE(OFFSET($H$3,0,0,'Données projet'!$E$15+1,1))</f>
        <v>218.78765033569107</v>
      </c>
      <c r="EP151" s="59">
        <f t="shared" si="154"/>
        <v>246.54010105494137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170.80796812111521</v>
      </c>
      <c r="FK151" s="59">
        <f t="shared" si="156"/>
        <v>249.84047400410321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0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333.02360594713667</v>
      </c>
      <c r="T152" s="59">
        <f t="shared" si="142"/>
        <v>546.58234447298014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22.05892723115031</v>
      </c>
      <c r="AA152" s="21">
        <f>EXP(-LN(2)/25)*AA151+(1-EXP(-LN(2)/25))/(LN(2)/25)*Calculateur!V152*Calculateur!X152*VLOOKUP('Données projet'!$B$9,Paramètres!$A$1:$I$89,3,0)*0.475*44/12</f>
        <v>4.9414800981075828</v>
      </c>
      <c r="AB152" s="21">
        <f>EXP(-LN(2)/2)*AB151+(1-EXP(-LN(2)/2))/(LN(2)/2)*V152*Y152*VLOOKUP('Données projet'!$B$9,Paramètres!$A$1:$I$89,3,0)*0.475*44/12</f>
        <v>9.1904149136096611E-15</v>
      </c>
      <c r="AC152" s="22">
        <f t="shared" si="111"/>
        <v>27.000407329257904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-9.9316821433603781E-14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243.26825841283591</v>
      </c>
      <c r="AO152" s="59">
        <f t="shared" si="144"/>
        <v>179.2944312100729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29.58814501210788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29.58814501210788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-4.1677594708744434E-14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146.45728988963538</v>
      </c>
      <c r="BJ152" s="59">
        <f t="shared" si="146"/>
        <v>156.91778940341118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12.413778039472929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12.413778039472929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-4.0000000000001137</v>
      </c>
      <c r="BZ152" s="13">
        <f>BY152*VLOOKUP('Données projet'!$B$12,Paramètres!$A$1:$I$89,3,0)*VLOOKUP('Données projet'!$B$12,Paramètres!$A$1:$I$89,5,0)</f>
        <v>-3.1824000000000909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238.71022302719206</v>
      </c>
      <c r="CE152" s="59">
        <f t="shared" si="148"/>
        <v>294.28794439094878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20.651023999955573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20.651023999955573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-9.0449248091317723E-14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238.71022302719206</v>
      </c>
      <c r="CZ152" s="59">
        <f t="shared" si="150"/>
        <v>294.28794439094878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20.395052591521193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20.395052591521193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-1.1368683772161603E-13</v>
      </c>
      <c r="DP152" s="17">
        <f>DO152*VLOOKUP('Données projet'!$B$14,Paramètres!$A$1:$I$89,3,0)*VLOOKUP('Données projet'!$B$14,Paramètres!$A$1:$I$89,5,0)</f>
        <v>-9.7543306765146564E-14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203.34232675618244</v>
      </c>
      <c r="DU152" s="59">
        <f t="shared" si="152"/>
        <v>176.81257896138806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38.765134429648967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38.765134429648967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2.8421709430404007E-14</v>
      </c>
      <c r="EK152" s="17">
        <f>EJ152*VLOOKUP('Données projet'!$B$15,Paramètres!$A$1:$I$89,3,0)*VLOOKUP('Données projet'!$B$15,Paramètres!$A$1:$I$89,5,0)</f>
        <v>2.7489477361086758E-14</v>
      </c>
      <c r="EL152" s="13">
        <f t="shared" si="153"/>
        <v>4.7995394886724981E-13</v>
      </c>
      <c r="EM152" s="20">
        <f t="shared" si="127"/>
        <v>8.8379730068101964E-13</v>
      </c>
      <c r="EN152" s="59">
        <f t="shared" si="128"/>
        <v>293.33333333333422</v>
      </c>
      <c r="EO152" s="59">
        <f ca="1">AVERAGE(OFFSET($EN$3,0,0,'Données projet'!$E$15+1,1))-AVERAGE(OFFSET($H$3,0,0,'Données projet'!$E$15+1,1))</f>
        <v>218.78765033569107</v>
      </c>
      <c r="EP152" s="59">
        <f t="shared" si="154"/>
        <v>246.54010105494137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170.80796812111521</v>
      </c>
      <c r="FK152" s="59">
        <f t="shared" si="156"/>
        <v>249.84047400410321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0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333.02360594713667</v>
      </c>
      <c r="T153" s="59">
        <f t="shared" si="142"/>
        <v>546.58234447298014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21.626365122764529</v>
      </c>
      <c r="AA153" s="21">
        <f>EXP(-LN(2)/25)*AA152+(1-EXP(-LN(2)/25))/(LN(2)/25)*Calculateur!V153*Calculateur!X153*VLOOKUP('Données projet'!$B$9,Paramètres!$A$1:$I$89,3,0)*0.475*44/12</f>
        <v>4.8063550649636868</v>
      </c>
      <c r="AB153" s="21">
        <f>EXP(-LN(2)/2)*AB152+(1-EXP(-LN(2)/2))/(LN(2)/2)*V153*Y153*VLOOKUP('Données projet'!$B$9,Paramètres!$A$1:$I$89,3,0)*0.475*44/12</f>
        <v>6.4986047073313698E-15</v>
      </c>
      <c r="AC153" s="22">
        <f t="shared" si="111"/>
        <v>26.432720187728222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-9.9316821433603781E-14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243.26825841283591</v>
      </c>
      <c r="AO153" s="59">
        <f t="shared" si="144"/>
        <v>179.2944312100729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29.007939535406909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29.007939535406909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-4.1677594708744434E-14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146.45728988963538</v>
      </c>
      <c r="BJ153" s="59">
        <f t="shared" si="146"/>
        <v>156.91778940341118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12.170351423775829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12.170351423775829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-4.0000000000001137</v>
      </c>
      <c r="BZ153" s="13">
        <f>BY153*VLOOKUP('Données projet'!$B$12,Paramètres!$A$1:$I$89,3,0)*VLOOKUP('Données projet'!$B$12,Paramètres!$A$1:$I$89,5,0)</f>
        <v>-3.1824000000000909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238.71022302719206</v>
      </c>
      <c r="CE153" s="59">
        <f t="shared" si="148"/>
        <v>294.28794439094878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20.246070015197343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20.246070015197343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-9.0449248091317723E-14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238.71022302719206</v>
      </c>
      <c r="CZ153" s="59">
        <f t="shared" si="150"/>
        <v>294.28794439094878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19.99511804995522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19.99511804995522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-1.1368683772161603E-13</v>
      </c>
      <c r="DP153" s="17">
        <f>DO153*VLOOKUP('Données projet'!$B$14,Paramètres!$A$1:$I$89,3,0)*VLOOKUP('Données projet'!$B$14,Paramètres!$A$1:$I$89,5,0)</f>
        <v>-9.7543306765146564E-14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203.34232675618244</v>
      </c>
      <c r="DU153" s="59">
        <f t="shared" si="152"/>
        <v>176.81257896138806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38.004973787880864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38.004973787880864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2.8421709430404007E-14</v>
      </c>
      <c r="EK153" s="17">
        <f>EJ153*VLOOKUP('Données projet'!$B$15,Paramètres!$A$1:$I$89,3,0)*VLOOKUP('Données projet'!$B$15,Paramètres!$A$1:$I$89,5,0)</f>
        <v>2.7489477361086758E-14</v>
      </c>
      <c r="EL153" s="13">
        <f t="shared" si="153"/>
        <v>4.7995394886724981E-13</v>
      </c>
      <c r="EM153" s="20">
        <f t="shared" si="127"/>
        <v>8.8379730068101964E-13</v>
      </c>
      <c r="EN153" s="59">
        <f t="shared" si="128"/>
        <v>293.33333333333422</v>
      </c>
      <c r="EO153" s="59">
        <f ca="1">AVERAGE(OFFSET($EN$3,0,0,'Données projet'!$E$15+1,1))-AVERAGE(OFFSET($H$3,0,0,'Données projet'!$E$15+1,1))</f>
        <v>218.78765033569107</v>
      </c>
      <c r="EP153" s="59">
        <f t="shared" si="154"/>
        <v>246.54010105494137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170.80796812111521</v>
      </c>
      <c r="FK153" s="59">
        <f t="shared" si="156"/>
        <v>249.84047400410321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0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333.02360594713667</v>
      </c>
      <c r="T154" s="59">
        <f t="shared" si="142"/>
        <v>546.58234447298014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21.20228529348736</v>
      </c>
      <c r="AA154" s="21">
        <f>EXP(-LN(2)/25)*AA153+(1-EXP(-LN(2)/25))/(LN(2)/25)*Calculateur!V154*Calculateur!X154*VLOOKUP('Données projet'!$B$9,Paramètres!$A$1:$I$89,3,0)*0.475*44/12</f>
        <v>4.6749250329570273</v>
      </c>
      <c r="AB154" s="21">
        <f>EXP(-LN(2)/2)*AB153+(1-EXP(-LN(2)/2))/(LN(2)/2)*V154*Y154*VLOOKUP('Données projet'!$B$9,Paramètres!$A$1:$I$89,3,0)*0.475*44/12</f>
        <v>4.5952074568048306E-15</v>
      </c>
      <c r="AC154" s="22">
        <f t="shared" ref="AC154:AC203" si="163">SUM(Z154:AB154)</f>
        <v>25.877210326444391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-9.9316821433603781E-14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243.26825841283591</v>
      </c>
      <c r="AO154" s="59">
        <f t="shared" si="144"/>
        <v>179.2944312100729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28.439111534213648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28.439111534213648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-4.1677594708744434E-14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146.45728988963538</v>
      </c>
      <c r="BJ154" s="59">
        <f t="shared" si="146"/>
        <v>156.91778940341118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11.931698255536975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11.931698255536975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-4.0000000000001137</v>
      </c>
      <c r="BZ154" s="13">
        <f>BY154*VLOOKUP('Données projet'!$B$12,Paramètres!$A$1:$I$89,3,0)*VLOOKUP('Données projet'!$B$12,Paramètres!$A$1:$I$89,5,0)</f>
        <v>-3.1824000000000909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238.71022302719206</v>
      </c>
      <c r="CE154" s="59">
        <f t="shared" si="148"/>
        <v>294.28794439094878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19.849056931082682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19.849056931082682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-9.0449248091317723E-14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238.71022302719206</v>
      </c>
      <c r="CZ154" s="59">
        <f t="shared" si="150"/>
        <v>294.28794439094878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19.603025980813371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19.603025980813371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-1.1368683772161603E-13</v>
      </c>
      <c r="DP154" s="17">
        <f>DO154*VLOOKUP('Données projet'!$B$14,Paramètres!$A$1:$I$89,3,0)*VLOOKUP('Données projet'!$B$14,Paramètres!$A$1:$I$89,5,0)</f>
        <v>-9.7543306765146564E-14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203.34232675618244</v>
      </c>
      <c r="DU154" s="59">
        <f t="shared" si="152"/>
        <v>176.81257896138806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37.259719432645625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37.259719432645625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2.8421709430404007E-14</v>
      </c>
      <c r="EK154" s="17">
        <f>EJ154*VLOOKUP('Données projet'!$B$15,Paramètres!$A$1:$I$89,3,0)*VLOOKUP('Données projet'!$B$15,Paramètres!$A$1:$I$89,5,0)</f>
        <v>2.7489477361086758E-14</v>
      </c>
      <c r="EL154" s="13">
        <f t="shared" ref="EL154:EL203" si="179">EXP(-1.0587+0.8836*LN(EK154)+0.284)</f>
        <v>4.7995394886724981E-13</v>
      </c>
      <c r="EM154" s="20">
        <f t="shared" ref="EM154:EM203" si="180">(EK154+EL154)*0.475*44/12</f>
        <v>8.8379730068101964E-13</v>
      </c>
      <c r="EN154" s="59">
        <f t="shared" si="128"/>
        <v>293.33333333333422</v>
      </c>
      <c r="EO154" s="59">
        <f ca="1">AVERAGE(OFFSET($EN$3,0,0,'Données projet'!$E$15+1,1))-AVERAGE(OFFSET($H$3,0,0,'Données projet'!$E$15+1,1))</f>
        <v>218.78765033569107</v>
      </c>
      <c r="EP154" s="59">
        <f t="shared" si="154"/>
        <v>246.54010105494137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170.80796812111521</v>
      </c>
      <c r="FK154" s="59">
        <f t="shared" si="156"/>
        <v>249.84047400410321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0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333.02360594713667</v>
      </c>
      <c r="T155" s="59">
        <f t="shared" si="142"/>
        <v>546.58234447298014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20.786521410999161</v>
      </c>
      <c r="AA155" s="21">
        <f>EXP(-LN(2)/25)*AA154+(1-EXP(-LN(2)/25))/(LN(2)/25)*Calculateur!V155*Calculateur!X155*VLOOKUP('Données projet'!$B$9,Paramètres!$A$1:$I$89,3,0)*0.475*44/12</f>
        <v>4.5470889620871944</v>
      </c>
      <c r="AB155" s="21">
        <f>EXP(-LN(2)/2)*AB154+(1-EXP(-LN(2)/2))/(LN(2)/2)*V155*Y155*VLOOKUP('Données projet'!$B$9,Paramètres!$A$1:$I$89,3,0)*0.475*44/12</f>
        <v>3.2493023536656849E-15</v>
      </c>
      <c r="AC155" s="22">
        <f t="shared" si="163"/>
        <v>25.333610373086358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-9.9316821433603781E-14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243.26825841283591</v>
      </c>
      <c r="AO155" s="59">
        <f t="shared" si="144"/>
        <v>179.2944312100729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27.881437903172966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27.881437903172966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-4.1677594708744434E-14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146.45728988963538</v>
      </c>
      <c r="BJ155" s="59">
        <f t="shared" si="146"/>
        <v>156.91778940341118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11.697724930363226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11.697724930363226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-4.0000000000001137</v>
      </c>
      <c r="BZ155" s="13">
        <f>BY155*VLOOKUP('Données projet'!$B$12,Paramètres!$A$1:$I$89,3,0)*VLOOKUP('Données projet'!$B$12,Paramètres!$A$1:$I$89,5,0)</f>
        <v>-3.1824000000000909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238.71022302719206</v>
      </c>
      <c r="CE155" s="59">
        <f t="shared" si="148"/>
        <v>294.28794439094878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19.45982903139344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19.45982903139344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-9.0449248091317723E-14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238.71022302719206</v>
      </c>
      <c r="CZ155" s="59">
        <f t="shared" si="150"/>
        <v>294.28794439094878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19.218622597994845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19.218622597994845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-1.1368683772161603E-13</v>
      </c>
      <c r="DP155" s="17">
        <f>DO155*VLOOKUP('Données projet'!$B$14,Paramètres!$A$1:$I$89,3,0)*VLOOKUP('Données projet'!$B$14,Paramètres!$A$1:$I$89,5,0)</f>
        <v>-9.7543306765146564E-14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203.34232675618244</v>
      </c>
      <c r="DU155" s="59">
        <f t="shared" si="152"/>
        <v>176.81257896138806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36.529079060756274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36.529079060756274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2.8421709430404007E-14</v>
      </c>
      <c r="EK155" s="17">
        <f>EJ155*VLOOKUP('Données projet'!$B$15,Paramètres!$A$1:$I$89,3,0)*VLOOKUP('Données projet'!$B$15,Paramètres!$A$1:$I$89,5,0)</f>
        <v>2.7489477361086758E-14</v>
      </c>
      <c r="EL155" s="13">
        <f t="shared" si="179"/>
        <v>4.7995394886724981E-13</v>
      </c>
      <c r="EM155" s="20">
        <f t="shared" si="180"/>
        <v>8.8379730068101964E-13</v>
      </c>
      <c r="EN155" s="59">
        <f t="shared" si="128"/>
        <v>293.33333333333422</v>
      </c>
      <c r="EO155" s="59">
        <f ca="1">AVERAGE(OFFSET($EN$3,0,0,'Données projet'!$E$15+1,1))-AVERAGE(OFFSET($H$3,0,0,'Données projet'!$E$15+1,1))</f>
        <v>218.78765033569107</v>
      </c>
      <c r="EP155" s="59">
        <f t="shared" si="154"/>
        <v>246.54010105494137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170.80796812111521</v>
      </c>
      <c r="FK155" s="59">
        <f t="shared" si="156"/>
        <v>249.84047400410321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0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333.02360594713667</v>
      </c>
      <c r="T156" s="59">
        <f t="shared" si="142"/>
        <v>546.58234447298014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20.378910404655628</v>
      </c>
      <c r="AA156" s="21">
        <f>EXP(-LN(2)/25)*AA155+(1-EXP(-LN(2)/25))/(LN(2)/25)*Calculateur!V156*Calculateur!X156*VLOOKUP('Données projet'!$B$9,Paramètres!$A$1:$I$89,3,0)*0.475*44/12</f>
        <v>4.4227485752979039</v>
      </c>
      <c r="AB156" s="21">
        <f>EXP(-LN(2)/2)*AB155+(1-EXP(-LN(2)/2))/(LN(2)/2)*V156*Y156*VLOOKUP('Données projet'!$B$9,Paramètres!$A$1:$I$89,3,0)*0.475*44/12</f>
        <v>2.2976037284024153E-15</v>
      </c>
      <c r="AC156" s="22">
        <f t="shared" si="163"/>
        <v>24.801658979953533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-9.9316821433603781E-14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243.26825841283591</v>
      </c>
      <c r="AO156" s="59">
        <f t="shared" si="144"/>
        <v>179.2944312100729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27.334699911889661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27.334699911889661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-4.1677594708744434E-14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146.45728988963538</v>
      </c>
      <c r="BJ156" s="59">
        <f t="shared" si="146"/>
        <v>156.91778940341118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11.468339679386496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11.468339679386496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-4.0000000000001137</v>
      </c>
      <c r="BZ156" s="13">
        <f>BY156*VLOOKUP('Données projet'!$B$12,Paramètres!$A$1:$I$89,3,0)*VLOOKUP('Données projet'!$B$12,Paramètres!$A$1:$I$89,5,0)</f>
        <v>-3.1824000000000909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238.71022302719206</v>
      </c>
      <c r="CE156" s="59">
        <f t="shared" si="148"/>
        <v>294.28794439094878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19.078233653411527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19.078233653411527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-9.0449248091317723E-14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238.71022302719206</v>
      </c>
      <c r="CZ156" s="59">
        <f t="shared" si="150"/>
        <v>294.28794439094878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18.841757131050478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18.841757131050478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-1.1368683772161603E-13</v>
      </c>
      <c r="DP156" s="17">
        <f>DO156*VLOOKUP('Données projet'!$B$14,Paramètres!$A$1:$I$89,3,0)*VLOOKUP('Données projet'!$B$14,Paramètres!$A$1:$I$89,5,0)</f>
        <v>-9.7543306765146564E-14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203.34232675618244</v>
      </c>
      <c r="DU156" s="59">
        <f t="shared" si="152"/>
        <v>176.81257896138806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35.812766100913052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35.812766100913052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2.8421709430404007E-14</v>
      </c>
      <c r="EK156" s="17">
        <f>EJ156*VLOOKUP('Données projet'!$B$15,Paramètres!$A$1:$I$89,3,0)*VLOOKUP('Données projet'!$B$15,Paramètres!$A$1:$I$89,5,0)</f>
        <v>2.7489477361086758E-14</v>
      </c>
      <c r="EL156" s="13">
        <f t="shared" si="179"/>
        <v>4.7995394886724981E-13</v>
      </c>
      <c r="EM156" s="20">
        <f t="shared" si="180"/>
        <v>8.8379730068101964E-13</v>
      </c>
      <c r="EN156" s="59">
        <f t="shared" si="128"/>
        <v>293.33333333333422</v>
      </c>
      <c r="EO156" s="59">
        <f ca="1">AVERAGE(OFFSET($EN$3,0,0,'Données projet'!$E$15+1,1))-AVERAGE(OFFSET($H$3,0,0,'Données projet'!$E$15+1,1))</f>
        <v>218.78765033569107</v>
      </c>
      <c r="EP156" s="59">
        <f t="shared" si="154"/>
        <v>246.54010105494137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170.80796812111521</v>
      </c>
      <c r="FK156" s="59">
        <f t="shared" si="156"/>
        <v>249.84047400410321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0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333.02360594713667</v>
      </c>
      <c r="T157" s="59">
        <f t="shared" si="142"/>
        <v>546.58234447298014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19.979292401528326</v>
      </c>
      <c r="AA157" s="21">
        <f>EXP(-LN(2)/25)*AA156+(1-EXP(-LN(2)/25))/(LN(2)/25)*Calculateur!V157*Calculateur!X157*VLOOKUP('Données projet'!$B$9,Paramètres!$A$1:$I$89,3,0)*0.475*44/12</f>
        <v>4.3018082829241431</v>
      </c>
      <c r="AB157" s="21">
        <f>EXP(-LN(2)/2)*AB156+(1-EXP(-LN(2)/2))/(LN(2)/2)*V157*Y157*VLOOKUP('Données projet'!$B$9,Paramètres!$A$1:$I$89,3,0)*0.475*44/12</f>
        <v>1.6246511768328425E-15</v>
      </c>
      <c r="AC157" s="22">
        <f t="shared" si="163"/>
        <v>24.281100684452468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-9.9316821433603781E-14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243.26825841283591</v>
      </c>
      <c r="AO157" s="59">
        <f t="shared" si="144"/>
        <v>179.2944312100729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26.798683119138175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26.798683119138175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-4.1677594708744434E-14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146.45728988963538</v>
      </c>
      <c r="BJ157" s="59">
        <f t="shared" si="146"/>
        <v>156.91778940341118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11.243452533270233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11.243452533270233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-4.0000000000001137</v>
      </c>
      <c r="BZ157" s="13">
        <f>BY157*VLOOKUP('Données projet'!$B$12,Paramètres!$A$1:$I$89,3,0)*VLOOKUP('Données projet'!$B$12,Paramètres!$A$1:$I$89,5,0)</f>
        <v>-3.1824000000000909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238.71022302719206</v>
      </c>
      <c r="CE157" s="59">
        <f t="shared" si="148"/>
        <v>294.28794439094878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18.704121128041638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18.704121128041638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-9.0449248091317723E-14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238.71022302719206</v>
      </c>
      <c r="CZ157" s="59">
        <f t="shared" si="150"/>
        <v>294.28794439094878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18.472281766047654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18.472281766047654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-1.1368683772161603E-13</v>
      </c>
      <c r="DP157" s="17">
        <f>DO157*VLOOKUP('Données projet'!$B$14,Paramètres!$A$1:$I$89,3,0)*VLOOKUP('Données projet'!$B$14,Paramètres!$A$1:$I$89,5,0)</f>
        <v>-9.7543306765146564E-14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203.34232675618244</v>
      </c>
      <c r="DU157" s="59">
        <f t="shared" si="152"/>
        <v>176.81257896138806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35.110499601304589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35.110499601304589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2.8421709430404007E-14</v>
      </c>
      <c r="EK157" s="17">
        <f>EJ157*VLOOKUP('Données projet'!$B$15,Paramètres!$A$1:$I$89,3,0)*VLOOKUP('Données projet'!$B$15,Paramètres!$A$1:$I$89,5,0)</f>
        <v>2.7489477361086758E-14</v>
      </c>
      <c r="EL157" s="13">
        <f t="shared" si="179"/>
        <v>4.7995394886724981E-13</v>
      </c>
      <c r="EM157" s="20">
        <f t="shared" si="180"/>
        <v>8.8379730068101964E-13</v>
      </c>
      <c r="EN157" s="59">
        <f t="shared" si="128"/>
        <v>293.33333333333422</v>
      </c>
      <c r="EO157" s="59">
        <f ca="1">AVERAGE(OFFSET($EN$3,0,0,'Données projet'!$E$15+1,1))-AVERAGE(OFFSET($H$3,0,0,'Données projet'!$E$15+1,1))</f>
        <v>218.78765033569107</v>
      </c>
      <c r="EP157" s="59">
        <f t="shared" si="154"/>
        <v>246.54010105494137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170.80796812111521</v>
      </c>
      <c r="FK157" s="59">
        <f t="shared" si="156"/>
        <v>249.84047400410321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0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333.02360594713667</v>
      </c>
      <c r="T158" s="59">
        <f t="shared" si="142"/>
        <v>546.58234447298014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19.587510663699437</v>
      </c>
      <c r="AA158" s="21">
        <f>EXP(-LN(2)/25)*AA157+(1-EXP(-LN(2)/25))/(LN(2)/25)*Calculateur!V158*Calculateur!X158*VLOOKUP('Données projet'!$B$9,Paramètres!$A$1:$I$89,3,0)*0.475*44/12</f>
        <v>4.1841751092053165</v>
      </c>
      <c r="AB158" s="21">
        <f>EXP(-LN(2)/2)*AB157+(1-EXP(-LN(2)/2))/(LN(2)/2)*V158*Y158*VLOOKUP('Données projet'!$B$9,Paramètres!$A$1:$I$89,3,0)*0.475*44/12</f>
        <v>1.1488018642012076E-15</v>
      </c>
      <c r="AC158" s="22">
        <f t="shared" si="163"/>
        <v>23.771685772904753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-9.9316821433603781E-14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243.26825841283591</v>
      </c>
      <c r="AO158" s="59">
        <f t="shared" si="144"/>
        <v>179.2944312100729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26.273177288754585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26.273177288754585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-4.1677594708744434E-14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146.45728988963538</v>
      </c>
      <c r="BJ158" s="59">
        <f t="shared" si="146"/>
        <v>156.91778940341118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11.022975286921694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11.022975286921694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-4.0000000000001137</v>
      </c>
      <c r="BZ158" s="13">
        <f>BY158*VLOOKUP('Données projet'!$B$12,Paramètres!$A$1:$I$89,3,0)*VLOOKUP('Données projet'!$B$12,Paramètres!$A$1:$I$89,5,0)</f>
        <v>-3.1824000000000909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238.71022302719206</v>
      </c>
      <c r="CE158" s="59">
        <f t="shared" si="148"/>
        <v>294.28794439094878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18.337344721108146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18.337344721108146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-9.0449248091317723E-14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238.71022302719206</v>
      </c>
      <c r="CZ158" s="59">
        <f t="shared" si="150"/>
        <v>294.28794439094878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18.110051587594814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18.110051587594814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-1.1368683772161603E-13</v>
      </c>
      <c r="DP158" s="17">
        <f>DO158*VLOOKUP('Données projet'!$B$14,Paramètres!$A$1:$I$89,3,0)*VLOOKUP('Données projet'!$B$14,Paramètres!$A$1:$I$89,5,0)</f>
        <v>-9.7543306765146564E-14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203.34232675618244</v>
      </c>
      <c r="DU158" s="59">
        <f t="shared" si="152"/>
        <v>176.81257896138806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34.422004119413181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34.422004119413181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2.8421709430404007E-14</v>
      </c>
      <c r="EK158" s="17">
        <f>EJ158*VLOOKUP('Données projet'!$B$15,Paramètres!$A$1:$I$89,3,0)*VLOOKUP('Données projet'!$B$15,Paramètres!$A$1:$I$89,5,0)</f>
        <v>2.7489477361086758E-14</v>
      </c>
      <c r="EL158" s="13">
        <f t="shared" si="179"/>
        <v>4.7995394886724981E-13</v>
      </c>
      <c r="EM158" s="20">
        <f t="shared" si="180"/>
        <v>8.8379730068101964E-13</v>
      </c>
      <c r="EN158" s="59">
        <f t="shared" si="128"/>
        <v>293.33333333333422</v>
      </c>
      <c r="EO158" s="59">
        <f ca="1">AVERAGE(OFFSET($EN$3,0,0,'Données projet'!$E$15+1,1))-AVERAGE(OFFSET($H$3,0,0,'Données projet'!$E$15+1,1))</f>
        <v>218.78765033569107</v>
      </c>
      <c r="EP158" s="59">
        <f t="shared" si="154"/>
        <v>246.54010105494137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170.80796812111521</v>
      </c>
      <c r="FK158" s="59">
        <f t="shared" si="156"/>
        <v>249.84047400410321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0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333.02360594713667</v>
      </c>
      <c r="T159" s="59">
        <f t="shared" si="142"/>
        <v>546.58234447298014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19.203411526786109</v>
      </c>
      <c r="AA159" s="21">
        <f>EXP(-LN(2)/25)*AA158+(1-EXP(-LN(2)/25))/(LN(2)/25)*Calculateur!V159*Calculateur!X159*VLOOKUP('Données projet'!$B$9,Paramètres!$A$1:$I$89,3,0)*0.475*44/12</f>
        <v>4.0697586208078915</v>
      </c>
      <c r="AB159" s="21">
        <f>EXP(-LN(2)/2)*AB158+(1-EXP(-LN(2)/2))/(LN(2)/2)*V159*Y159*VLOOKUP('Données projet'!$B$9,Paramètres!$A$1:$I$89,3,0)*0.475*44/12</f>
        <v>8.1232558841642123E-16</v>
      </c>
      <c r="AC159" s="22">
        <f t="shared" si="163"/>
        <v>23.273170147594001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-9.9316821433603781E-14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243.26825841283591</v>
      </c>
      <c r="AO159" s="59">
        <f t="shared" si="144"/>
        <v>179.2944312100729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25.757976307177913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25.757976307177913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-4.1677594708744434E-14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146.45728988963538</v>
      </c>
      <c r="BJ159" s="59">
        <f t="shared" si="146"/>
        <v>156.91778940341118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10.80682146489621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10.80682146489621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-4.0000000000001137</v>
      </c>
      <c r="BZ159" s="13">
        <f>BY159*VLOOKUP('Données projet'!$B$12,Paramètres!$A$1:$I$89,3,0)*VLOOKUP('Données projet'!$B$12,Paramètres!$A$1:$I$89,5,0)</f>
        <v>-3.1824000000000909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238.71022302719206</v>
      </c>
      <c r="CE159" s="59">
        <f t="shared" si="148"/>
        <v>294.28794439094878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17.977760575803099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17.977760575803099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-9.0449248091317723E-14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238.71022302719206</v>
      </c>
      <c r="CZ159" s="59">
        <f t="shared" si="150"/>
        <v>294.28794439094878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17.754924522002842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17.754924522002842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-1.1368683772161603E-13</v>
      </c>
      <c r="DP159" s="17">
        <f>DO159*VLOOKUP('Données projet'!$B$14,Paramètres!$A$1:$I$89,3,0)*VLOOKUP('Données projet'!$B$14,Paramètres!$A$1:$I$89,5,0)</f>
        <v>-9.7543306765146564E-14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203.34232675618244</v>
      </c>
      <c r="DU159" s="59">
        <f t="shared" si="152"/>
        <v>176.81257896138806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33.747009613980886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33.747009613980886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2.8421709430404007E-14</v>
      </c>
      <c r="EK159" s="17">
        <f>EJ159*VLOOKUP('Données projet'!$B$15,Paramètres!$A$1:$I$89,3,0)*VLOOKUP('Données projet'!$B$15,Paramètres!$A$1:$I$89,5,0)</f>
        <v>2.7489477361086758E-14</v>
      </c>
      <c r="EL159" s="13">
        <f t="shared" si="179"/>
        <v>4.7995394886724981E-13</v>
      </c>
      <c r="EM159" s="20">
        <f t="shared" si="180"/>
        <v>8.8379730068101964E-13</v>
      </c>
      <c r="EN159" s="59">
        <f t="shared" si="128"/>
        <v>293.33333333333422</v>
      </c>
      <c r="EO159" s="59">
        <f ca="1">AVERAGE(OFFSET($EN$3,0,0,'Données projet'!$E$15+1,1))-AVERAGE(OFFSET($H$3,0,0,'Données projet'!$E$15+1,1))</f>
        <v>218.78765033569107</v>
      </c>
      <c r="EP159" s="59">
        <f t="shared" si="154"/>
        <v>246.54010105494137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170.80796812111521</v>
      </c>
      <c r="FK159" s="59">
        <f t="shared" si="156"/>
        <v>249.84047400410321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0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333.02360594713667</v>
      </c>
      <c r="T160" s="59">
        <f t="shared" si="142"/>
        <v>546.58234447298014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18.826844339670309</v>
      </c>
      <c r="AA160" s="21">
        <f>EXP(-LN(2)/25)*AA159+(1-EXP(-LN(2)/25))/(LN(2)/25)*Calculateur!V160*Calculateur!X160*VLOOKUP('Données projet'!$B$9,Paramètres!$A$1:$I$89,3,0)*0.475*44/12</f>
        <v>3.9584708573025953</v>
      </c>
      <c r="AB160" s="21">
        <f>EXP(-LN(2)/2)*AB159+(1-EXP(-LN(2)/2))/(LN(2)/2)*V160*Y160*VLOOKUP('Données projet'!$B$9,Paramètres!$A$1:$I$89,3,0)*0.475*44/12</f>
        <v>5.7440093210060382E-16</v>
      </c>
      <c r="AC160" s="22">
        <f t="shared" si="163"/>
        <v>22.785315196972903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-9.9316821433603781E-14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243.26825841283591</v>
      </c>
      <c r="AO160" s="59">
        <f t="shared" si="144"/>
        <v>179.2944312100729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25.252878102608388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25.252878102608388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-4.1677594708744434E-14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146.45728988963538</v>
      </c>
      <c r="BJ160" s="59">
        <f t="shared" si="146"/>
        <v>156.91778940341118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10.594906287479832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10.594906287479832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-4.0000000000001137</v>
      </c>
      <c r="BZ160" s="13">
        <f>BY160*VLOOKUP('Données projet'!$B$12,Paramètres!$A$1:$I$89,3,0)*VLOOKUP('Données projet'!$B$12,Paramètres!$A$1:$I$89,5,0)</f>
        <v>-3.1824000000000909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238.71022302719206</v>
      </c>
      <c r="CE160" s="59">
        <f t="shared" si="148"/>
        <v>294.28794439094878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17.625227656262812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17.625227656262812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-9.0449248091317723E-14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238.71022302719206</v>
      </c>
      <c r="CZ160" s="59">
        <f t="shared" si="150"/>
        <v>294.28794439094878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17.406761281561007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17.406761281561007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-1.1368683772161603E-13</v>
      </c>
      <c r="DP160" s="17">
        <f>DO160*VLOOKUP('Données projet'!$B$14,Paramètres!$A$1:$I$89,3,0)*VLOOKUP('Données projet'!$B$14,Paramètres!$A$1:$I$89,5,0)</f>
        <v>-9.7543306765146564E-14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203.34232675618244</v>
      </c>
      <c r="DU160" s="59">
        <f t="shared" si="152"/>
        <v>176.81257896138806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33.085251339094121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33.085251339094121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2.8421709430404007E-14</v>
      </c>
      <c r="EK160" s="17">
        <f>EJ160*VLOOKUP('Données projet'!$B$15,Paramètres!$A$1:$I$89,3,0)*VLOOKUP('Données projet'!$B$15,Paramètres!$A$1:$I$89,5,0)</f>
        <v>2.7489477361086758E-14</v>
      </c>
      <c r="EL160" s="13">
        <f t="shared" si="179"/>
        <v>4.7995394886724981E-13</v>
      </c>
      <c r="EM160" s="20">
        <f t="shared" si="180"/>
        <v>8.8379730068101964E-13</v>
      </c>
      <c r="EN160" s="59">
        <f t="shared" si="128"/>
        <v>293.33333333333422</v>
      </c>
      <c r="EO160" s="59">
        <f ca="1">AVERAGE(OFFSET($EN$3,0,0,'Données projet'!$E$15+1,1))-AVERAGE(OFFSET($H$3,0,0,'Données projet'!$E$15+1,1))</f>
        <v>218.78765033569107</v>
      </c>
      <c r="EP160" s="59">
        <f t="shared" si="154"/>
        <v>246.54010105494137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170.80796812111521</v>
      </c>
      <c r="FK160" s="59">
        <f t="shared" si="156"/>
        <v>249.84047400410321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0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333.02360594713667</v>
      </c>
      <c r="T161" s="59">
        <f t="shared" si="142"/>
        <v>546.58234447298014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18.457661405410544</v>
      </c>
      <c r="AA161" s="21">
        <f>EXP(-LN(2)/25)*AA160+(1-EXP(-LN(2)/25))/(LN(2)/25)*Calculateur!V161*Calculateur!X161*VLOOKUP('Données projet'!$B$9,Paramètres!$A$1:$I$89,3,0)*0.475*44/12</f>
        <v>3.8502262635427207</v>
      </c>
      <c r="AB161" s="21">
        <f>EXP(-LN(2)/2)*AB160+(1-EXP(-LN(2)/2))/(LN(2)/2)*V161*Y161*VLOOKUP('Données projet'!$B$9,Paramètres!$A$1:$I$89,3,0)*0.475*44/12</f>
        <v>4.0616279420821061E-16</v>
      </c>
      <c r="AC161" s="22">
        <f t="shared" si="163"/>
        <v>22.307887668953263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-9.9316821433603781E-14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243.26825841283591</v>
      </c>
      <c r="AO161" s="59">
        <f t="shared" si="144"/>
        <v>179.2944312100729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24.757684565750989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24.757684565750989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-4.1677594708744434E-14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146.45728988963538</v>
      </c>
      <c r="BJ161" s="59">
        <f t="shared" si="146"/>
        <v>156.91778940341118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10.387146637437093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10.387146637437093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-4.0000000000001137</v>
      </c>
      <c r="BZ161" s="13">
        <f>BY161*VLOOKUP('Données projet'!$B$12,Paramètres!$A$1:$I$89,3,0)*VLOOKUP('Données projet'!$B$12,Paramètres!$A$1:$I$89,5,0)</f>
        <v>-3.1824000000000909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238.71022302719206</v>
      </c>
      <c r="CE161" s="59">
        <f t="shared" si="148"/>
        <v>294.28794439094878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17.279607692250863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17.279607692250863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-9.0449248091317723E-14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238.71022302719206</v>
      </c>
      <c r="CZ161" s="59">
        <f t="shared" si="150"/>
        <v>294.28794439094878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17.065425309905628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17.065425309905628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-1.1368683772161603E-13</v>
      </c>
      <c r="DP161" s="17">
        <f>DO161*VLOOKUP('Données projet'!$B$14,Paramètres!$A$1:$I$89,3,0)*VLOOKUP('Données projet'!$B$14,Paramètres!$A$1:$I$89,5,0)</f>
        <v>-9.7543306765146564E-14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203.34232675618244</v>
      </c>
      <c r="DU161" s="59">
        <f t="shared" si="152"/>
        <v>176.81257896138806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32.436469740345188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32.436469740345188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2.8421709430404007E-14</v>
      </c>
      <c r="EK161" s="17">
        <f>EJ161*VLOOKUP('Données projet'!$B$15,Paramètres!$A$1:$I$89,3,0)*VLOOKUP('Données projet'!$B$15,Paramètres!$A$1:$I$89,5,0)</f>
        <v>2.7489477361086758E-14</v>
      </c>
      <c r="EL161" s="13">
        <f t="shared" si="179"/>
        <v>4.7995394886724981E-13</v>
      </c>
      <c r="EM161" s="20">
        <f t="shared" si="180"/>
        <v>8.8379730068101964E-13</v>
      </c>
      <c r="EN161" s="59">
        <f t="shared" si="128"/>
        <v>293.33333333333422</v>
      </c>
      <c r="EO161" s="59">
        <f ca="1">AVERAGE(OFFSET($EN$3,0,0,'Données projet'!$E$15+1,1))-AVERAGE(OFFSET($H$3,0,0,'Données projet'!$E$15+1,1))</f>
        <v>218.78765033569107</v>
      </c>
      <c r="EP161" s="59">
        <f t="shared" si="154"/>
        <v>246.54010105494137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170.80796812111521</v>
      </c>
      <c r="FK161" s="59">
        <f t="shared" si="156"/>
        <v>249.84047400410321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0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333.02360594713667</v>
      </c>
      <c r="T162" s="59">
        <f t="shared" si="142"/>
        <v>546.58234447298014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18.095717923312261</v>
      </c>
      <c r="AA162" s="21">
        <f>EXP(-LN(2)/25)*AA161+(1-EXP(-LN(2)/25))/(LN(2)/25)*Calculateur!V162*Calculateur!X162*VLOOKUP('Données projet'!$B$9,Paramètres!$A$1:$I$89,3,0)*0.475*44/12</f>
        <v>3.7449416238915454</v>
      </c>
      <c r="AB162" s="21">
        <f>EXP(-LN(2)/2)*AB161+(1-EXP(-LN(2)/2))/(LN(2)/2)*V162*Y162*VLOOKUP('Données projet'!$B$9,Paramètres!$A$1:$I$89,3,0)*0.475*44/12</f>
        <v>2.8720046605030191E-16</v>
      </c>
      <c r="AC162" s="22">
        <f t="shared" si="163"/>
        <v>21.840659547203806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-9.9316821433603781E-14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243.26825841283591</v>
      </c>
      <c r="AO162" s="59">
        <f t="shared" si="144"/>
        <v>179.2944312100729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24.272201472113128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24.272201472113128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-4.1677594708744434E-14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146.45728988963538</v>
      </c>
      <c r="BJ162" s="59">
        <f t="shared" si="146"/>
        <v>156.91778940341118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10.183461027410818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10.183461027410818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-4.0000000000001137</v>
      </c>
      <c r="BZ162" s="13">
        <f>BY162*VLOOKUP('Données projet'!$B$12,Paramètres!$A$1:$I$89,3,0)*VLOOKUP('Données projet'!$B$12,Paramètres!$A$1:$I$89,5,0)</f>
        <v>-3.1824000000000909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238.71022302719206</v>
      </c>
      <c r="CE162" s="59">
        <f t="shared" si="148"/>
        <v>294.28794439094878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16.940765124925825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16.940765124925825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-9.0449248091317723E-14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238.71022302719206</v>
      </c>
      <c r="CZ162" s="59">
        <f t="shared" si="150"/>
        <v>294.28794439094878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16.730782728460024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16.730782728460024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-1.1368683772161603E-13</v>
      </c>
      <c r="DP162" s="17">
        <f>DO162*VLOOKUP('Données projet'!$B$14,Paramètres!$A$1:$I$89,3,0)*VLOOKUP('Données projet'!$B$14,Paramètres!$A$1:$I$89,5,0)</f>
        <v>-9.7543306765146564E-14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203.34232675618244</v>
      </c>
      <c r="DU162" s="59">
        <f t="shared" si="152"/>
        <v>176.81257896138806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31.800410353030024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31.800410353030024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2.8421709430404007E-14</v>
      </c>
      <c r="EK162" s="17">
        <f>EJ162*VLOOKUP('Données projet'!$B$15,Paramètres!$A$1:$I$89,3,0)*VLOOKUP('Données projet'!$B$15,Paramètres!$A$1:$I$89,5,0)</f>
        <v>2.7489477361086758E-14</v>
      </c>
      <c r="EL162" s="13">
        <f t="shared" si="179"/>
        <v>4.7995394886724981E-13</v>
      </c>
      <c r="EM162" s="20">
        <f t="shared" si="180"/>
        <v>8.8379730068101964E-13</v>
      </c>
      <c r="EN162" s="59">
        <f t="shared" si="128"/>
        <v>293.33333333333422</v>
      </c>
      <c r="EO162" s="59">
        <f ca="1">AVERAGE(OFFSET($EN$3,0,0,'Données projet'!$E$15+1,1))-AVERAGE(OFFSET($H$3,0,0,'Données projet'!$E$15+1,1))</f>
        <v>218.78765033569107</v>
      </c>
      <c r="EP162" s="59">
        <f t="shared" si="154"/>
        <v>246.54010105494137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170.80796812111521</v>
      </c>
      <c r="FK162" s="59">
        <f t="shared" si="156"/>
        <v>249.84047400410321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0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333.02360594713667</v>
      </c>
      <c r="T163" s="59">
        <f t="shared" si="142"/>
        <v>546.58234447298014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17.740871932134198</v>
      </c>
      <c r="AA163" s="21">
        <f>EXP(-LN(2)/25)*AA162+(1-EXP(-LN(2)/25))/(LN(2)/25)*Calculateur!V163*Calculateur!X163*VLOOKUP('Données projet'!$B$9,Paramètres!$A$1:$I$89,3,0)*0.475*44/12</f>
        <v>3.6425359982483103</v>
      </c>
      <c r="AB163" s="21">
        <f>EXP(-LN(2)/2)*AB162+(1-EXP(-LN(2)/2))/(LN(2)/2)*V163*Y163*VLOOKUP('Données projet'!$B$9,Paramètres!$A$1:$I$89,3,0)*0.475*44/12</f>
        <v>2.0308139710410531E-16</v>
      </c>
      <c r="AC163" s="22">
        <f t="shared" si="163"/>
        <v>21.383407930382507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-9.9316821433603781E-14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243.26825841283591</v>
      </c>
      <c r="AO163" s="59">
        <f t="shared" si="144"/>
        <v>179.2944312100729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23.796238405826056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23.796238405826056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-4.1677594708744434E-14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146.45728988963538</v>
      </c>
      <c r="BJ163" s="59">
        <f t="shared" si="146"/>
        <v>156.91778940341118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9.983769567961204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9.983769567961204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-4.0000000000001137</v>
      </c>
      <c r="BZ163" s="13">
        <f>BY163*VLOOKUP('Données projet'!$B$12,Paramètres!$A$1:$I$89,3,0)*VLOOKUP('Données projet'!$B$12,Paramètres!$A$1:$I$89,5,0)</f>
        <v>-3.1824000000000909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238.71022302719206</v>
      </c>
      <c r="CE163" s="59">
        <f t="shared" si="148"/>
        <v>294.28794439094878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16.608567053672473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16.608567053672473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-9.0449248091317723E-14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238.71022302719206</v>
      </c>
      <c r="CZ163" s="59">
        <f t="shared" si="150"/>
        <v>294.28794439094878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16.40270228392475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16.40270228392475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-1.1368683772161603E-13</v>
      </c>
      <c r="DP163" s="17">
        <f>DO163*VLOOKUP('Données projet'!$B$14,Paramètres!$A$1:$I$89,3,0)*VLOOKUP('Données projet'!$B$14,Paramètres!$A$1:$I$89,5,0)</f>
        <v>-9.7543306765146564E-14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203.34232675618244</v>
      </c>
      <c r="DU163" s="59">
        <f t="shared" si="152"/>
        <v>176.81257896138806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31.17682370234219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31.17682370234219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2.8421709430404007E-14</v>
      </c>
      <c r="EK163" s="17">
        <f>EJ163*VLOOKUP('Données projet'!$B$15,Paramètres!$A$1:$I$89,3,0)*VLOOKUP('Données projet'!$B$15,Paramètres!$A$1:$I$89,5,0)</f>
        <v>2.7489477361086758E-14</v>
      </c>
      <c r="EL163" s="13">
        <f t="shared" si="179"/>
        <v>4.7995394886724981E-13</v>
      </c>
      <c r="EM163" s="20">
        <f t="shared" si="180"/>
        <v>8.8379730068101964E-13</v>
      </c>
      <c r="EN163" s="59">
        <f t="shared" si="128"/>
        <v>293.33333333333422</v>
      </c>
      <c r="EO163" s="59">
        <f ca="1">AVERAGE(OFFSET($EN$3,0,0,'Données projet'!$E$15+1,1))-AVERAGE(OFFSET($H$3,0,0,'Données projet'!$E$15+1,1))</f>
        <v>218.78765033569107</v>
      </c>
      <c r="EP163" s="59">
        <f t="shared" si="154"/>
        <v>246.54010105494137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170.80796812111521</v>
      </c>
      <c r="FK163" s="59">
        <f t="shared" si="156"/>
        <v>249.84047400410321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0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333.02360594713667</v>
      </c>
      <c r="T164" s="59">
        <f t="shared" si="142"/>
        <v>546.58234447298014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17.392984254408454</v>
      </c>
      <c r="AA164" s="21">
        <f>EXP(-LN(2)/25)*AA163+(1-EXP(-LN(2)/25))/(LN(2)/25)*Calculateur!V164*Calculateur!X164*VLOOKUP('Données projet'!$B$9,Paramètres!$A$1:$I$89,3,0)*0.475*44/12</f>
        <v>3.542930659823567</v>
      </c>
      <c r="AB164" s="21">
        <f>EXP(-LN(2)/2)*AB163+(1-EXP(-LN(2)/2))/(LN(2)/2)*V164*Y164*VLOOKUP('Données projet'!$B$9,Paramètres!$A$1:$I$89,3,0)*0.475*44/12</f>
        <v>1.4360023302515096E-16</v>
      </c>
      <c r="AC164" s="22">
        <f t="shared" si="163"/>
        <v>20.935914914232022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-9.9316821433603781E-14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243.26825841283591</v>
      </c>
      <c r="AO164" s="59">
        <f t="shared" si="144"/>
        <v>179.2944312100729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23.329608684960068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23.329608684960068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-4.1677594708744434E-14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146.45728988963538</v>
      </c>
      <c r="BJ164" s="59">
        <f t="shared" si="146"/>
        <v>156.91778940341118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9.7879939362316328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9.7879939362316328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-4.0000000000001137</v>
      </c>
      <c r="BZ164" s="13">
        <f>BY164*VLOOKUP('Données projet'!$B$12,Paramètres!$A$1:$I$89,3,0)*VLOOKUP('Données projet'!$B$12,Paramètres!$A$1:$I$89,5,0)</f>
        <v>-3.1824000000000909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238.71022302719206</v>
      </c>
      <c r="CE164" s="59">
        <f t="shared" si="148"/>
        <v>294.28794439094878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16.282883183975581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16.282883183975581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-9.0449248091317723E-14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238.71022302719206</v>
      </c>
      <c r="CZ164" s="59">
        <f t="shared" si="150"/>
        <v>294.28794439094878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16.081055296797501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16.081055296797501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-1.1368683772161603E-13</v>
      </c>
      <c r="DP164" s="17">
        <f>DO164*VLOOKUP('Données projet'!$B$14,Paramètres!$A$1:$I$89,3,0)*VLOOKUP('Données projet'!$B$14,Paramètres!$A$1:$I$89,5,0)</f>
        <v>-9.7543306765146564E-14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203.34232675618244</v>
      </c>
      <c r="DU164" s="59">
        <f t="shared" si="152"/>
        <v>176.81257896138806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30.565465205524045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30.565465205524045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2.8421709430404007E-14</v>
      </c>
      <c r="EK164" s="17">
        <f>EJ164*VLOOKUP('Données projet'!$B$15,Paramètres!$A$1:$I$89,3,0)*VLOOKUP('Données projet'!$B$15,Paramètres!$A$1:$I$89,5,0)</f>
        <v>2.7489477361086758E-14</v>
      </c>
      <c r="EL164" s="13">
        <f t="shared" si="179"/>
        <v>4.7995394886724981E-13</v>
      </c>
      <c r="EM164" s="20">
        <f t="shared" si="180"/>
        <v>8.8379730068101964E-13</v>
      </c>
      <c r="EN164" s="59">
        <f t="shared" si="128"/>
        <v>293.33333333333422</v>
      </c>
      <c r="EO164" s="59">
        <f ca="1">AVERAGE(OFFSET($EN$3,0,0,'Données projet'!$E$15+1,1))-AVERAGE(OFFSET($H$3,0,0,'Données projet'!$E$15+1,1))</f>
        <v>218.78765033569107</v>
      </c>
      <c r="EP164" s="59">
        <f t="shared" si="154"/>
        <v>246.54010105494137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170.80796812111521</v>
      </c>
      <c r="FK164" s="59">
        <f t="shared" si="156"/>
        <v>249.84047400410321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0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333.02360594713667</v>
      </c>
      <c r="T165" s="59">
        <f t="shared" si="142"/>
        <v>546.58234447298014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17.051918441852379</v>
      </c>
      <c r="AA165" s="21">
        <f>EXP(-LN(2)/25)*AA164+(1-EXP(-LN(2)/25))/(LN(2)/25)*Calculateur!V165*Calculateur!X165*VLOOKUP('Données projet'!$B$9,Paramètres!$A$1:$I$89,3,0)*0.475*44/12</f>
        <v>3.4460490346160655</v>
      </c>
      <c r="AB165" s="21">
        <f>EXP(-LN(2)/2)*AB164+(1-EXP(-LN(2)/2))/(LN(2)/2)*V165*Y165*VLOOKUP('Données projet'!$B$9,Paramètres!$A$1:$I$89,3,0)*0.475*44/12</f>
        <v>1.0154069855205265E-16</v>
      </c>
      <c r="AC165" s="22">
        <f t="shared" si="163"/>
        <v>20.497967476468446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-9.9316821433603781E-14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243.26825841283591</v>
      </c>
      <c r="AO165" s="59">
        <f t="shared" si="144"/>
        <v>179.2944312100729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22.872129288304237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22.872129288304237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-4.1677594708744434E-14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146.45728988963538</v>
      </c>
      <c r="BJ165" s="59">
        <f t="shared" si="146"/>
        <v>156.91778940341118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9.5960573452289353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9.5960573452289353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-4.0000000000001137</v>
      </c>
      <c r="BZ165" s="13">
        <f>BY165*VLOOKUP('Données projet'!$B$12,Paramètres!$A$1:$I$89,3,0)*VLOOKUP('Données projet'!$B$12,Paramètres!$A$1:$I$89,5,0)</f>
        <v>-3.1824000000000909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238.71022302719206</v>
      </c>
      <c r="CE165" s="59">
        <f t="shared" si="148"/>
        <v>294.28794439094878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15.963585776315901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15.963585776315901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-9.0449248091317723E-14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238.71022302719206</v>
      </c>
      <c r="CZ165" s="59">
        <f t="shared" si="150"/>
        <v>294.28794439094878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15.765715610902527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15.765715610902527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-1.1368683772161603E-13</v>
      </c>
      <c r="DP165" s="17">
        <f>DO165*VLOOKUP('Données projet'!$B$14,Paramètres!$A$1:$I$89,3,0)*VLOOKUP('Données projet'!$B$14,Paramètres!$A$1:$I$89,5,0)</f>
        <v>-9.7543306765146564E-14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203.34232675618244</v>
      </c>
      <c r="DU165" s="59">
        <f t="shared" si="152"/>
        <v>176.81257896138806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29.966095075936643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29.966095075936643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2.8421709430404007E-14</v>
      </c>
      <c r="EK165" s="17">
        <f>EJ165*VLOOKUP('Données projet'!$B$15,Paramètres!$A$1:$I$89,3,0)*VLOOKUP('Données projet'!$B$15,Paramètres!$A$1:$I$89,5,0)</f>
        <v>2.7489477361086758E-14</v>
      </c>
      <c r="EL165" s="13">
        <f t="shared" si="179"/>
        <v>4.7995394886724981E-13</v>
      </c>
      <c r="EM165" s="20">
        <f t="shared" si="180"/>
        <v>8.8379730068101964E-13</v>
      </c>
      <c r="EN165" s="59">
        <f t="shared" si="128"/>
        <v>293.33333333333422</v>
      </c>
      <c r="EO165" s="59">
        <f ca="1">AVERAGE(OFFSET($EN$3,0,0,'Données projet'!$E$15+1,1))-AVERAGE(OFFSET($H$3,0,0,'Données projet'!$E$15+1,1))</f>
        <v>218.78765033569107</v>
      </c>
      <c r="EP165" s="59">
        <f t="shared" si="154"/>
        <v>246.54010105494137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170.80796812111521</v>
      </c>
      <c r="FK165" s="59">
        <f t="shared" si="156"/>
        <v>249.84047400410321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0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333.02360594713667</v>
      </c>
      <c r="T166" s="59">
        <f t="shared" si="142"/>
        <v>546.58234447298014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16.717540721850927</v>
      </c>
      <c r="AA166" s="21">
        <f>EXP(-LN(2)/25)*AA165+(1-EXP(-LN(2)/25))/(LN(2)/25)*Calculateur!V166*Calculateur!X166*VLOOKUP('Données projet'!$B$9,Paramètres!$A$1:$I$89,3,0)*0.475*44/12</f>
        <v>3.3518166425446463</v>
      </c>
      <c r="AB166" s="21">
        <f>EXP(-LN(2)/2)*AB165+(1-EXP(-LN(2)/2))/(LN(2)/2)*V166*Y166*VLOOKUP('Données projet'!$B$9,Paramètres!$A$1:$I$89,3,0)*0.475*44/12</f>
        <v>7.1800116512575478E-17</v>
      </c>
      <c r="AC166" s="22">
        <f t="shared" si="163"/>
        <v>20.069357364395572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-9.9316821433603781E-14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243.26825841283591</v>
      </c>
      <c r="AO166" s="59">
        <f t="shared" si="144"/>
        <v>179.2944312100729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22.423620783581946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22.423620783581946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-4.1677594708744434E-14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146.45728988963538</v>
      </c>
      <c r="BJ166" s="59">
        <f t="shared" si="146"/>
        <v>156.91778940341118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9.4078845137060387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9.4078845137060387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-4.0000000000001137</v>
      </c>
      <c r="BZ166" s="13">
        <f>BY166*VLOOKUP('Données projet'!$B$12,Paramètres!$A$1:$I$89,3,0)*VLOOKUP('Données projet'!$B$12,Paramètres!$A$1:$I$89,5,0)</f>
        <v>-3.1824000000000909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238.71022302719206</v>
      </c>
      <c r="CE166" s="59">
        <f t="shared" si="148"/>
        <v>294.28794439094878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15.650549596068238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15.650549596068238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-9.0449248091317723E-14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238.71022302719206</v>
      </c>
      <c r="CZ166" s="59">
        <f t="shared" si="150"/>
        <v>294.28794439094878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15.456559543909737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15.456559543909737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-1.1368683772161603E-13</v>
      </c>
      <c r="DP166" s="17">
        <f>DO166*VLOOKUP('Données projet'!$B$14,Paramètres!$A$1:$I$89,3,0)*VLOOKUP('Données projet'!$B$14,Paramètres!$A$1:$I$89,5,0)</f>
        <v>-9.7543306765146564E-14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203.34232675618244</v>
      </c>
      <c r="DU166" s="59">
        <f t="shared" si="152"/>
        <v>176.81257896138806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29.378478229010767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29.378478229010767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2.8421709430404007E-14</v>
      </c>
      <c r="EK166" s="17">
        <f>EJ166*VLOOKUP('Données projet'!$B$15,Paramètres!$A$1:$I$89,3,0)*VLOOKUP('Données projet'!$B$15,Paramètres!$A$1:$I$89,5,0)</f>
        <v>2.7489477361086758E-14</v>
      </c>
      <c r="EL166" s="13">
        <f t="shared" si="179"/>
        <v>4.7995394886724981E-13</v>
      </c>
      <c r="EM166" s="20">
        <f t="shared" si="180"/>
        <v>8.8379730068101964E-13</v>
      </c>
      <c r="EN166" s="59">
        <f t="shared" si="128"/>
        <v>293.33333333333422</v>
      </c>
      <c r="EO166" s="59">
        <f ca="1">AVERAGE(OFFSET($EN$3,0,0,'Données projet'!$E$15+1,1))-AVERAGE(OFFSET($H$3,0,0,'Données projet'!$E$15+1,1))</f>
        <v>218.78765033569107</v>
      </c>
      <c r="EP166" s="59">
        <f t="shared" si="154"/>
        <v>246.54010105494137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170.80796812111521</v>
      </c>
      <c r="FK166" s="59">
        <f t="shared" si="156"/>
        <v>249.84047400410321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0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333.02360594713667</v>
      </c>
      <c r="T167" s="59">
        <f t="shared" si="142"/>
        <v>546.58234447298014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16.389719944988432</v>
      </c>
      <c r="AA167" s="21">
        <f>EXP(-LN(2)/25)*AA166+(1-EXP(-LN(2)/25))/(LN(2)/25)*Calculateur!V167*Calculateur!X167*VLOOKUP('Données projet'!$B$9,Paramètres!$A$1:$I$89,3,0)*0.475*44/12</f>
        <v>3.2601610401898862</v>
      </c>
      <c r="AB167" s="21">
        <f>EXP(-LN(2)/2)*AB166+(1-EXP(-LN(2)/2))/(LN(2)/2)*V167*Y167*VLOOKUP('Données projet'!$B$9,Paramètres!$A$1:$I$89,3,0)*0.475*44/12</f>
        <v>5.0770349276026327E-17</v>
      </c>
      <c r="AC167" s="22">
        <f t="shared" si="163"/>
        <v>19.649880985178317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-9.9316821433603781E-14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243.26825841283591</v>
      </c>
      <c r="AO167" s="59">
        <f t="shared" si="144"/>
        <v>179.2944312100729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21.983907257074083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21.983907257074083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-4.1677594708744434E-14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146.45728988963538</v>
      </c>
      <c r="BJ167" s="59">
        <f t="shared" si="146"/>
        <v>156.91778940341118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9.223401636635213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9.223401636635213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-4.0000000000001137</v>
      </c>
      <c r="BZ167" s="13">
        <f>BY167*VLOOKUP('Données projet'!$B$12,Paramètres!$A$1:$I$89,3,0)*VLOOKUP('Données projet'!$B$12,Paramètres!$A$1:$I$89,5,0)</f>
        <v>-3.1824000000000909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238.71022302719206</v>
      </c>
      <c r="CE167" s="59">
        <f t="shared" si="148"/>
        <v>294.28794439094878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15.343651864382014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15.343651864382014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-9.0449248091317723E-14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238.71022302719206</v>
      </c>
      <c r="CZ167" s="59">
        <f t="shared" si="150"/>
        <v>294.28794439094878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15.153465838824093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15.153465838824093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-1.1368683772161603E-13</v>
      </c>
      <c r="DP167" s="17">
        <f>DO167*VLOOKUP('Données projet'!$B$14,Paramètres!$A$1:$I$89,3,0)*VLOOKUP('Données projet'!$B$14,Paramètres!$A$1:$I$89,5,0)</f>
        <v>-9.7543306765146564E-14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203.34232675618244</v>
      </c>
      <c r="DU167" s="59">
        <f t="shared" si="152"/>
        <v>176.81257896138806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28.802384190042222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28.802384190042222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2.8421709430404007E-14</v>
      </c>
      <c r="EK167" s="17">
        <f>EJ167*VLOOKUP('Données projet'!$B$15,Paramètres!$A$1:$I$89,3,0)*VLOOKUP('Données projet'!$B$15,Paramètres!$A$1:$I$89,5,0)</f>
        <v>2.7489477361086758E-14</v>
      </c>
      <c r="EL167" s="13">
        <f t="shared" si="179"/>
        <v>4.7995394886724981E-13</v>
      </c>
      <c r="EM167" s="20">
        <f t="shared" si="180"/>
        <v>8.8379730068101964E-13</v>
      </c>
      <c r="EN167" s="59">
        <f t="shared" si="128"/>
        <v>293.33333333333422</v>
      </c>
      <c r="EO167" s="59">
        <f ca="1">AVERAGE(OFFSET($EN$3,0,0,'Données projet'!$E$15+1,1))-AVERAGE(OFFSET($H$3,0,0,'Données projet'!$E$15+1,1))</f>
        <v>218.78765033569107</v>
      </c>
      <c r="EP167" s="59">
        <f t="shared" si="154"/>
        <v>246.54010105494137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170.80796812111521</v>
      </c>
      <c r="FK167" s="59">
        <f t="shared" si="156"/>
        <v>249.84047400410321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0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333.02360594713667</v>
      </c>
      <c r="T168" s="59">
        <f t="shared" si="142"/>
        <v>546.58234447298014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16.068327533609278</v>
      </c>
      <c r="AA168" s="21">
        <f>EXP(-LN(2)/25)*AA167+(1-EXP(-LN(2)/25))/(LN(2)/25)*Calculateur!V168*Calculateur!X168*VLOOKUP('Données projet'!$B$9,Paramètres!$A$1:$I$89,3,0)*0.475*44/12</f>
        <v>3.171011765101476</v>
      </c>
      <c r="AB168" s="21">
        <f>EXP(-LN(2)/2)*AB167+(1-EXP(-LN(2)/2))/(LN(2)/2)*V168*Y168*VLOOKUP('Données projet'!$B$9,Paramètres!$A$1:$I$89,3,0)*0.475*44/12</f>
        <v>3.5900058256287739E-17</v>
      </c>
      <c r="AC168" s="22">
        <f t="shared" si="163"/>
        <v>19.239339298710753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-9.9316821433603781E-14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243.26825841283591</v>
      </c>
      <c r="AO168" s="59">
        <f t="shared" si="144"/>
        <v>179.2944312100729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21.552816244622271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21.552816244622271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-4.1677594708744434E-14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146.45728988963538</v>
      </c>
      <c r="BJ168" s="59">
        <f t="shared" si="146"/>
        <v>156.91778940341118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9.0425363562603014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9.0425363562603014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-4.0000000000001137</v>
      </c>
      <c r="BZ168" s="13">
        <f>BY168*VLOOKUP('Données projet'!$B$12,Paramètres!$A$1:$I$89,3,0)*VLOOKUP('Données projet'!$B$12,Paramètres!$A$1:$I$89,5,0)</f>
        <v>-3.1824000000000909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238.71022302719206</v>
      </c>
      <c r="CE168" s="59">
        <f t="shared" si="148"/>
        <v>294.28794439094878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15.042772210025024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15.042772210025024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-9.0449248091317723E-14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238.71022302719206</v>
      </c>
      <c r="CZ168" s="59">
        <f t="shared" si="150"/>
        <v>294.28794439094878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14.856315616426274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14.856315616426274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-1.1368683772161603E-13</v>
      </c>
      <c r="DP168" s="17">
        <f>DO168*VLOOKUP('Données projet'!$B$14,Paramètres!$A$1:$I$89,3,0)*VLOOKUP('Données projet'!$B$14,Paramètres!$A$1:$I$89,5,0)</f>
        <v>-9.7543306765146564E-14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203.34232675618244</v>
      </c>
      <c r="DU168" s="59">
        <f t="shared" si="152"/>
        <v>176.81257896138806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28.237587003795181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28.237587003795181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2.8421709430404007E-14</v>
      </c>
      <c r="EK168" s="17">
        <f>EJ168*VLOOKUP('Données projet'!$B$15,Paramètres!$A$1:$I$89,3,0)*VLOOKUP('Données projet'!$B$15,Paramètres!$A$1:$I$89,5,0)</f>
        <v>2.7489477361086758E-14</v>
      </c>
      <c r="EL168" s="13">
        <f t="shared" si="179"/>
        <v>4.7995394886724981E-13</v>
      </c>
      <c r="EM168" s="20">
        <f t="shared" si="180"/>
        <v>8.8379730068101964E-13</v>
      </c>
      <c r="EN168" s="59">
        <f t="shared" si="128"/>
        <v>293.33333333333422</v>
      </c>
      <c r="EO168" s="59">
        <f ca="1">AVERAGE(OFFSET($EN$3,0,0,'Données projet'!$E$15+1,1))-AVERAGE(OFFSET($H$3,0,0,'Données projet'!$E$15+1,1))</f>
        <v>218.78765033569107</v>
      </c>
      <c r="EP168" s="59">
        <f t="shared" si="154"/>
        <v>246.54010105494137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170.80796812111521</v>
      </c>
      <c r="FK168" s="59">
        <f t="shared" si="156"/>
        <v>249.84047400410321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0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333.02360594713667</v>
      </c>
      <c r="T169" s="59">
        <f t="shared" si="142"/>
        <v>546.58234447298014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15.753237431387255</v>
      </c>
      <c r="AA169" s="21">
        <f>EXP(-LN(2)/25)*AA168+(1-EXP(-LN(2)/25))/(LN(2)/25)*Calculateur!V169*Calculateur!X169*VLOOKUP('Données projet'!$B$9,Paramètres!$A$1:$I$89,3,0)*0.475*44/12</f>
        <v>3.084300281628515</v>
      </c>
      <c r="AB169" s="21">
        <f>EXP(-LN(2)/2)*AB168+(1-EXP(-LN(2)/2))/(LN(2)/2)*V169*Y169*VLOOKUP('Données projet'!$B$9,Paramètres!$A$1:$I$89,3,0)*0.475*44/12</f>
        <v>2.5385174638013163E-17</v>
      </c>
      <c r="AC169" s="22">
        <f t="shared" si="163"/>
        <v>18.83753771301577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-9.9316821433603781E-14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243.26825841283591</v>
      </c>
      <c r="AO169" s="59">
        <f t="shared" si="144"/>
        <v>179.2944312100729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21.130178663985085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21.130178663985085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-4.1677594708744434E-14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146.45728988963538</v>
      </c>
      <c r="BJ169" s="59">
        <f t="shared" si="146"/>
        <v>156.91778940341118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8.865217733716614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8.865217733716614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-4.0000000000001137</v>
      </c>
      <c r="BZ169" s="13">
        <f>BY169*VLOOKUP('Données projet'!$B$12,Paramètres!$A$1:$I$89,3,0)*VLOOKUP('Données projet'!$B$12,Paramètres!$A$1:$I$89,5,0)</f>
        <v>-3.1824000000000909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238.71022302719206</v>
      </c>
      <c r="CE169" s="59">
        <f t="shared" si="148"/>
        <v>294.28794439094878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14.747792622171508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14.747792622171508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-9.0449248091317723E-14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238.71022302719206</v>
      </c>
      <c r="CZ169" s="59">
        <f t="shared" si="150"/>
        <v>294.28794439094878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14.564992328645936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14.564992328645936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-1.1368683772161603E-13</v>
      </c>
      <c r="DP169" s="17">
        <f>DO169*VLOOKUP('Données projet'!$B$14,Paramètres!$A$1:$I$89,3,0)*VLOOKUP('Données projet'!$B$14,Paramètres!$A$1:$I$89,5,0)</f>
        <v>-9.7543306765146564E-14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203.34232675618244</v>
      </c>
      <c r="DU169" s="59">
        <f t="shared" si="152"/>
        <v>176.81257896138806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27.683865145878176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27.683865145878176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2.8421709430404007E-14</v>
      </c>
      <c r="EK169" s="17">
        <f>EJ169*VLOOKUP('Données projet'!$B$15,Paramètres!$A$1:$I$89,3,0)*VLOOKUP('Données projet'!$B$15,Paramètres!$A$1:$I$89,5,0)</f>
        <v>2.7489477361086758E-14</v>
      </c>
      <c r="EL169" s="13">
        <f t="shared" si="179"/>
        <v>4.7995394886724981E-13</v>
      </c>
      <c r="EM169" s="20">
        <f t="shared" si="180"/>
        <v>8.8379730068101964E-13</v>
      </c>
      <c r="EN169" s="59">
        <f t="shared" si="128"/>
        <v>293.33333333333422</v>
      </c>
      <c r="EO169" s="59">
        <f ca="1">AVERAGE(OFFSET($EN$3,0,0,'Données projet'!$E$15+1,1))-AVERAGE(OFFSET($H$3,0,0,'Données projet'!$E$15+1,1))</f>
        <v>218.78765033569107</v>
      </c>
      <c r="EP169" s="59">
        <f t="shared" si="154"/>
        <v>246.54010105494137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170.80796812111521</v>
      </c>
      <c r="FK169" s="59">
        <f t="shared" si="156"/>
        <v>249.84047400410321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0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333.02360594713667</v>
      </c>
      <c r="T170" s="59">
        <f t="shared" si="142"/>
        <v>546.58234447298014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15.44432605388382</v>
      </c>
      <c r="AA170" s="21">
        <f>EXP(-LN(2)/25)*AA169+(1-EXP(-LN(2)/25))/(LN(2)/25)*Calculateur!V170*Calculateur!X170*VLOOKUP('Données projet'!$B$9,Paramètres!$A$1:$I$89,3,0)*0.475*44/12</f>
        <v>2.9999599282310805</v>
      </c>
      <c r="AB170" s="21">
        <f>EXP(-LN(2)/2)*AB169+(1-EXP(-LN(2)/2))/(LN(2)/2)*V170*Y170*VLOOKUP('Données projet'!$B$9,Paramètres!$A$1:$I$89,3,0)*0.475*44/12</f>
        <v>1.7950029128143869E-17</v>
      </c>
      <c r="AC170" s="22">
        <f t="shared" si="163"/>
        <v>18.444285982114902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-9.9316821433603781E-14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243.26825841283591</v>
      </c>
      <c r="AO170" s="59">
        <f t="shared" si="144"/>
        <v>179.2944312100729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20.715828748520725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20.715828748520725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-4.1677594708744434E-14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146.45728988963538</v>
      </c>
      <c r="BJ170" s="59">
        <f t="shared" si="146"/>
        <v>156.91778940341118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8.691376221207328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8.691376221207328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-4.0000000000001137</v>
      </c>
      <c r="BZ170" s="13">
        <f>BY170*VLOOKUP('Données projet'!$B$12,Paramètres!$A$1:$I$89,3,0)*VLOOKUP('Données projet'!$B$12,Paramètres!$A$1:$I$89,5,0)</f>
        <v>-3.1824000000000909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238.71022302719206</v>
      </c>
      <c r="CE170" s="59">
        <f t="shared" si="148"/>
        <v>294.28794439094878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14.458597404116015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14.458597404116015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-9.0449248091317723E-14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238.71022302719206</v>
      </c>
      <c r="CZ170" s="59">
        <f t="shared" si="150"/>
        <v>294.28794439094878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14.279381712849309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14.279381712849309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-1.1368683772161603E-13</v>
      </c>
      <c r="DP170" s="17">
        <f>DO170*VLOOKUP('Données projet'!$B$14,Paramètres!$A$1:$I$89,3,0)*VLOOKUP('Données projet'!$B$14,Paramètres!$A$1:$I$89,5,0)</f>
        <v>-9.7543306765146564E-14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203.34232675618244</v>
      </c>
      <c r="DU170" s="59">
        <f t="shared" si="152"/>
        <v>176.81257896138806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27.141001435857941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27.141001435857941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2.8421709430404007E-14</v>
      </c>
      <c r="EK170" s="17">
        <f>EJ170*VLOOKUP('Données projet'!$B$15,Paramètres!$A$1:$I$89,3,0)*VLOOKUP('Données projet'!$B$15,Paramètres!$A$1:$I$89,5,0)</f>
        <v>2.7489477361086758E-14</v>
      </c>
      <c r="EL170" s="13">
        <f t="shared" si="179"/>
        <v>4.7995394886724981E-13</v>
      </c>
      <c r="EM170" s="20">
        <f t="shared" si="180"/>
        <v>8.8379730068101964E-13</v>
      </c>
      <c r="EN170" s="59">
        <f t="shared" si="128"/>
        <v>293.33333333333422</v>
      </c>
      <c r="EO170" s="59">
        <f ca="1">AVERAGE(OFFSET($EN$3,0,0,'Données projet'!$E$15+1,1))-AVERAGE(OFFSET($H$3,0,0,'Données projet'!$E$15+1,1))</f>
        <v>218.78765033569107</v>
      </c>
      <c r="EP170" s="59">
        <f t="shared" si="154"/>
        <v>246.54010105494137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170.80796812111521</v>
      </c>
      <c r="FK170" s="59">
        <f t="shared" si="156"/>
        <v>249.84047400410321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0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333.02360594713667</v>
      </c>
      <c r="T171" s="59">
        <f t="shared" si="142"/>
        <v>546.58234447298014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15.141472240075894</v>
      </c>
      <c r="AA171" s="21">
        <f>EXP(-LN(2)/25)*AA170+(1-EXP(-LN(2)/25))/(LN(2)/25)*Calculateur!V171*Calculateur!X171*VLOOKUP('Données projet'!$B$9,Paramètres!$A$1:$I$89,3,0)*0.475*44/12</f>
        <v>2.9179258662325656</v>
      </c>
      <c r="AB171" s="21">
        <f>EXP(-LN(2)/2)*AB170+(1-EXP(-LN(2)/2))/(LN(2)/2)*V171*Y171*VLOOKUP('Données projet'!$B$9,Paramètres!$A$1:$I$89,3,0)*0.475*44/12</f>
        <v>1.2692587319006582E-17</v>
      </c>
      <c r="AC171" s="22">
        <f t="shared" si="163"/>
        <v>18.059398106308461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-9.9316821433603781E-14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243.26825841283591</v>
      </c>
      <c r="AO171" s="59">
        <f t="shared" si="144"/>
        <v>179.2944312100729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20.309603982170128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20.309603982170128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-4.1677594708744434E-14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146.45728988963538</v>
      </c>
      <c r="BJ171" s="59">
        <f t="shared" si="146"/>
        <v>156.91778940341118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8.5209436347254961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8.5209436347254961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-4.0000000000001137</v>
      </c>
      <c r="BZ171" s="13">
        <f>BY171*VLOOKUP('Données projet'!$B$12,Paramètres!$A$1:$I$89,3,0)*VLOOKUP('Données projet'!$B$12,Paramètres!$A$1:$I$89,5,0)</f>
        <v>-3.1824000000000909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238.71022302719206</v>
      </c>
      <c r="CE171" s="59">
        <f t="shared" si="148"/>
        <v>294.28794439094878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14.175073127894924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14.175073127894924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-9.0449248091317723E-14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238.71022302719206</v>
      </c>
      <c r="CZ171" s="59">
        <f t="shared" si="150"/>
        <v>294.28794439094878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13.999371747023181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13.999371747023181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-1.1368683772161603E-13</v>
      </c>
      <c r="DP171" s="17">
        <f>DO171*VLOOKUP('Données projet'!$B$14,Paramètres!$A$1:$I$89,3,0)*VLOOKUP('Données projet'!$B$14,Paramètres!$A$1:$I$89,5,0)</f>
        <v>-9.7543306765146564E-14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203.34232675618244</v>
      </c>
      <c r="DU171" s="59">
        <f t="shared" si="152"/>
        <v>176.81257896138806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26.608782952077032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26.608782952077032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2.8421709430404007E-14</v>
      </c>
      <c r="EK171" s="17">
        <f>EJ171*VLOOKUP('Données projet'!$B$15,Paramètres!$A$1:$I$89,3,0)*VLOOKUP('Données projet'!$B$15,Paramètres!$A$1:$I$89,5,0)</f>
        <v>2.7489477361086758E-14</v>
      </c>
      <c r="EL171" s="13">
        <f t="shared" si="179"/>
        <v>4.7995394886724981E-13</v>
      </c>
      <c r="EM171" s="20">
        <f t="shared" si="180"/>
        <v>8.8379730068101964E-13</v>
      </c>
      <c r="EN171" s="59">
        <f t="shared" si="128"/>
        <v>293.33333333333422</v>
      </c>
      <c r="EO171" s="59">
        <f ca="1">AVERAGE(OFFSET($EN$3,0,0,'Données projet'!$E$15+1,1))-AVERAGE(OFFSET($H$3,0,0,'Données projet'!$E$15+1,1))</f>
        <v>218.78765033569107</v>
      </c>
      <c r="EP171" s="59">
        <f t="shared" si="154"/>
        <v>246.54010105494137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170.80796812111521</v>
      </c>
      <c r="FK171" s="59">
        <f t="shared" si="156"/>
        <v>249.84047400410321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0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333.02360594713667</v>
      </c>
      <c r="T172" s="59">
        <f t="shared" si="142"/>
        <v>546.58234447298014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14.844557204834153</v>
      </c>
      <c r="AA172" s="21">
        <f>EXP(-LN(2)/25)*AA171+(1-EXP(-LN(2)/25))/(LN(2)/25)*Calculateur!V172*Calculateur!X172*VLOOKUP('Données projet'!$B$9,Paramètres!$A$1:$I$89,3,0)*0.475*44/12</f>
        <v>2.8381350299733836</v>
      </c>
      <c r="AB172" s="21">
        <f>EXP(-LN(2)/2)*AB171+(1-EXP(-LN(2)/2))/(LN(2)/2)*V172*Y172*VLOOKUP('Données projet'!$B$9,Paramètres!$A$1:$I$89,3,0)*0.475*44/12</f>
        <v>8.9750145640719347E-18</v>
      </c>
      <c r="AC172" s="22">
        <f t="shared" si="163"/>
        <v>17.682692234807536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-9.9316821433603781E-14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243.26825841283591</v>
      </c>
      <c r="AO172" s="59">
        <f t="shared" si="144"/>
        <v>179.2944312100729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19.911345035715023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19.911345035715023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-4.1677594708744434E-14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146.45728988963538</v>
      </c>
      <c r="BJ172" s="59">
        <f t="shared" si="146"/>
        <v>156.91778940341118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8.3538531273109591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8.3538531273109591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-4.0000000000001137</v>
      </c>
      <c r="BZ172" s="13">
        <f>BY172*VLOOKUP('Données projet'!$B$12,Paramètres!$A$1:$I$89,3,0)*VLOOKUP('Données projet'!$B$12,Paramètres!$A$1:$I$89,5,0)</f>
        <v>-3.1824000000000909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238.71022302719206</v>
      </c>
      <c r="CE172" s="59">
        <f t="shared" si="148"/>
        <v>294.28794439094878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13.897108589797798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13.897108589797798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-9.0449248091317723E-14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238.71022302719206</v>
      </c>
      <c r="CZ172" s="59">
        <f t="shared" si="150"/>
        <v>294.28794439094878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13.724852605837688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13.724852605837688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-1.1368683772161603E-13</v>
      </c>
      <c r="DP172" s="17">
        <f>DO172*VLOOKUP('Données projet'!$B$14,Paramètres!$A$1:$I$89,3,0)*VLOOKUP('Données projet'!$B$14,Paramètres!$A$1:$I$89,5,0)</f>
        <v>-9.7543306765146564E-14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203.34232675618244</v>
      </c>
      <c r="DU172" s="59">
        <f t="shared" si="152"/>
        <v>176.81257896138806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26.087000948141846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26.087000948141846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2.8421709430404007E-14</v>
      </c>
      <c r="EK172" s="17">
        <f>EJ172*VLOOKUP('Données projet'!$B$15,Paramètres!$A$1:$I$89,3,0)*VLOOKUP('Données projet'!$B$15,Paramètres!$A$1:$I$89,5,0)</f>
        <v>2.7489477361086758E-14</v>
      </c>
      <c r="EL172" s="13">
        <f t="shared" si="179"/>
        <v>4.7995394886724981E-13</v>
      </c>
      <c r="EM172" s="20">
        <f t="shared" si="180"/>
        <v>8.8379730068101964E-13</v>
      </c>
      <c r="EN172" s="59">
        <f t="shared" si="128"/>
        <v>293.33333333333422</v>
      </c>
      <c r="EO172" s="59">
        <f ca="1">AVERAGE(OFFSET($EN$3,0,0,'Données projet'!$E$15+1,1))-AVERAGE(OFFSET($H$3,0,0,'Données projet'!$E$15+1,1))</f>
        <v>218.78765033569107</v>
      </c>
      <c r="EP172" s="59">
        <f t="shared" si="154"/>
        <v>246.54010105494137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170.80796812111521</v>
      </c>
      <c r="FK172" s="59">
        <f t="shared" si="156"/>
        <v>249.84047400410321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0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333.02360594713667</v>
      </c>
      <c r="T173" s="59">
        <f t="shared" si="142"/>
        <v>546.58234447298014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14.553464492333214</v>
      </c>
      <c r="AA173" s="21">
        <f>EXP(-LN(2)/25)*AA172+(1-EXP(-LN(2)/25))/(LN(2)/25)*Calculateur!V173*Calculateur!X173*VLOOKUP('Données projet'!$B$9,Paramètres!$A$1:$I$89,3,0)*0.475*44/12</f>
        <v>2.760526078327727</v>
      </c>
      <c r="AB173" s="21">
        <f>EXP(-LN(2)/2)*AB172+(1-EXP(-LN(2)/2))/(LN(2)/2)*V173*Y173*VLOOKUP('Données projet'!$B$9,Paramètres!$A$1:$I$89,3,0)*0.475*44/12</f>
        <v>6.3462936595032908E-18</v>
      </c>
      <c r="AC173" s="22">
        <f t="shared" si="163"/>
        <v>17.313990570660941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-9.9316821433603781E-14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243.26825841283591</v>
      </c>
      <c r="AO173" s="59">
        <f t="shared" si="144"/>
        <v>179.2944312100729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19.52089570428593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19.52089570428593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-4.1677594708744434E-14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146.45728988963538</v>
      </c>
      <c r="BJ173" s="59">
        <f t="shared" si="146"/>
        <v>156.91778940341118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8.1900391628316758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8.1900391628316758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-4.0000000000001137</v>
      </c>
      <c r="BZ173" s="13">
        <f>BY173*VLOOKUP('Données projet'!$B$12,Paramètres!$A$1:$I$89,3,0)*VLOOKUP('Données projet'!$B$12,Paramètres!$A$1:$I$89,5,0)</f>
        <v>-3.1824000000000909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238.71022302719206</v>
      </c>
      <c r="CE173" s="59">
        <f t="shared" si="148"/>
        <v>294.28794439094878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13.624594766751127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13.624594766751127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-9.0449248091317723E-14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238.71022302719206</v>
      </c>
      <c r="CZ173" s="59">
        <f t="shared" si="150"/>
        <v>294.28794439094878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13.455716617570699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13.455716617570699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-1.1368683772161603E-13</v>
      </c>
      <c r="DP173" s="17">
        <f>DO173*VLOOKUP('Données projet'!$B$14,Paramètres!$A$1:$I$89,3,0)*VLOOKUP('Données projet'!$B$14,Paramètres!$A$1:$I$89,5,0)</f>
        <v>-9.7543306765146564E-14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203.34232675618244</v>
      </c>
      <c r="DU173" s="59">
        <f t="shared" si="152"/>
        <v>176.81257896138806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25.575450771048232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25.575450771048232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2.8421709430404007E-14</v>
      </c>
      <c r="EK173" s="17">
        <f>EJ173*VLOOKUP('Données projet'!$B$15,Paramètres!$A$1:$I$89,3,0)*VLOOKUP('Données projet'!$B$15,Paramètres!$A$1:$I$89,5,0)</f>
        <v>2.7489477361086758E-14</v>
      </c>
      <c r="EL173" s="13">
        <f t="shared" si="179"/>
        <v>4.7995394886724981E-13</v>
      </c>
      <c r="EM173" s="20">
        <f t="shared" si="180"/>
        <v>8.8379730068101964E-13</v>
      </c>
      <c r="EN173" s="59">
        <f t="shared" si="128"/>
        <v>293.33333333333422</v>
      </c>
      <c r="EO173" s="59">
        <f ca="1">AVERAGE(OFFSET($EN$3,0,0,'Données projet'!$E$15+1,1))-AVERAGE(OFFSET($H$3,0,0,'Données projet'!$E$15+1,1))</f>
        <v>218.78765033569107</v>
      </c>
      <c r="EP173" s="59">
        <f t="shared" si="154"/>
        <v>246.54010105494137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170.80796812111521</v>
      </c>
      <c r="FK173" s="59">
        <f t="shared" si="156"/>
        <v>249.84047400410321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0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333.02360594713667</v>
      </c>
      <c r="T174" s="59">
        <f t="shared" si="142"/>
        <v>546.58234447298014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14.268079930375395</v>
      </c>
      <c r="AA174" s="21">
        <f>EXP(-LN(2)/25)*AA173+(1-EXP(-LN(2)/25))/(LN(2)/25)*Calculateur!V174*Calculateur!X174*VLOOKUP('Données projet'!$B$9,Paramètres!$A$1:$I$89,3,0)*0.475*44/12</f>
        <v>2.6850393475460983</v>
      </c>
      <c r="AB174" s="21">
        <f>EXP(-LN(2)/2)*AB173+(1-EXP(-LN(2)/2))/(LN(2)/2)*V174*Y174*VLOOKUP('Données projet'!$B$9,Paramètres!$A$1:$I$89,3,0)*0.475*44/12</f>
        <v>4.4875072820359674E-18</v>
      </c>
      <c r="AC174" s="22">
        <f t="shared" si="163"/>
        <v>16.953119277921495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-9.9316821433603781E-14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243.26825841283591</v>
      </c>
      <c r="AO174" s="59">
        <f t="shared" si="144"/>
        <v>179.2944312100729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19.138102846095588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19.138102846095588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-4.1677594708744434E-14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146.45728988963538</v>
      </c>
      <c r="BJ174" s="59">
        <f t="shared" si="146"/>
        <v>156.91778940341118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8.0294374902791787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8.0294374902791787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-4.0000000000001137</v>
      </c>
      <c r="BZ174" s="13">
        <f>BY174*VLOOKUP('Données projet'!$B$12,Paramètres!$A$1:$I$89,3,0)*VLOOKUP('Données projet'!$B$12,Paramètres!$A$1:$I$89,5,0)</f>
        <v>-3.1824000000000909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238.71022302719206</v>
      </c>
      <c r="CE174" s="59">
        <f t="shared" si="148"/>
        <v>294.28794439094878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13.357424773557382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13.357424773557382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-9.0449248091317723E-14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238.71022302719206</v>
      </c>
      <c r="CZ174" s="59">
        <f t="shared" si="150"/>
        <v>294.28794439094878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13.191858221876883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13.191858221876883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-1.1368683772161603E-13</v>
      </c>
      <c r="DP174" s="17">
        <f>DO174*VLOOKUP('Données projet'!$B$14,Paramètres!$A$1:$I$89,3,0)*VLOOKUP('Données projet'!$B$14,Paramètres!$A$1:$I$89,5,0)</f>
        <v>-9.7543306765146564E-14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203.34232675618244</v>
      </c>
      <c r="DU174" s="59">
        <f t="shared" si="152"/>
        <v>176.81257896138806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25.073931780912623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25.073931780912623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2.8421709430404007E-14</v>
      </c>
      <c r="EK174" s="17">
        <f>EJ174*VLOOKUP('Données projet'!$B$15,Paramètres!$A$1:$I$89,3,0)*VLOOKUP('Données projet'!$B$15,Paramètres!$A$1:$I$89,5,0)</f>
        <v>2.7489477361086758E-14</v>
      </c>
      <c r="EL174" s="13">
        <f t="shared" si="179"/>
        <v>4.7995394886724981E-13</v>
      </c>
      <c r="EM174" s="20">
        <f t="shared" si="180"/>
        <v>8.8379730068101964E-13</v>
      </c>
      <c r="EN174" s="59">
        <f t="shared" si="128"/>
        <v>293.33333333333422</v>
      </c>
      <c r="EO174" s="59">
        <f ca="1">AVERAGE(OFFSET($EN$3,0,0,'Données projet'!$E$15+1,1))-AVERAGE(OFFSET($H$3,0,0,'Données projet'!$E$15+1,1))</f>
        <v>218.78765033569107</v>
      </c>
      <c r="EP174" s="59">
        <f t="shared" si="154"/>
        <v>246.54010105494137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170.80796812111521</v>
      </c>
      <c r="FK174" s="59">
        <f t="shared" si="156"/>
        <v>249.84047400410321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0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333.02360594713667</v>
      </c>
      <c r="T175" s="59">
        <f t="shared" si="142"/>
        <v>546.58234447298014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13.988291585610174</v>
      </c>
      <c r="AA175" s="21">
        <f>EXP(-LN(2)/25)*AA174+(1-EXP(-LN(2)/25))/(LN(2)/25)*Calculateur!V175*Calculateur!X175*VLOOKUP('Données projet'!$B$9,Paramètres!$A$1:$I$89,3,0)*0.475*44/12</f>
        <v>2.6116168053873676</v>
      </c>
      <c r="AB175" s="21">
        <f>EXP(-LN(2)/2)*AB174+(1-EXP(-LN(2)/2))/(LN(2)/2)*V175*Y175*VLOOKUP('Données projet'!$B$9,Paramètres!$A$1:$I$89,3,0)*0.475*44/12</f>
        <v>3.1731468297516454E-18</v>
      </c>
      <c r="AC175" s="22">
        <f t="shared" si="163"/>
        <v>16.599908390997541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-9.9316821433603781E-14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243.26825841283591</v>
      </c>
      <c r="AO175" s="59">
        <f t="shared" si="144"/>
        <v>179.2944312100729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18.762816322373769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18.762816322373769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-4.1677594708744434E-14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146.45728988963538</v>
      </c>
      <c r="BJ175" s="59">
        <f t="shared" si="146"/>
        <v>156.91778940341118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7.8719851185680874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7.8719851185680874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-4.0000000000001137</v>
      </c>
      <c r="BZ175" s="13">
        <f>BY175*VLOOKUP('Données projet'!$B$12,Paramètres!$A$1:$I$89,3,0)*VLOOKUP('Données projet'!$B$12,Paramètres!$A$1:$I$89,5,0)</f>
        <v>-3.1824000000000909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238.71022302719206</v>
      </c>
      <c r="CE175" s="59">
        <f t="shared" si="148"/>
        <v>294.28794439094878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13.095493820972562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13.095493820972562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-9.0449248091317723E-14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238.71022302719206</v>
      </c>
      <c r="CZ175" s="59">
        <f t="shared" si="150"/>
        <v>294.28794439094878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12.933173928384893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12.933173928384893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-1.1368683772161603E-13</v>
      </c>
      <c r="DP175" s="17">
        <f>DO175*VLOOKUP('Données projet'!$B$14,Paramètres!$A$1:$I$89,3,0)*VLOOKUP('Données projet'!$B$14,Paramètres!$A$1:$I$89,5,0)</f>
        <v>-9.7543306765146564E-14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203.34232675618244</v>
      </c>
      <c r="DU175" s="59">
        <f t="shared" si="152"/>
        <v>176.81257896138806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24.582247272277197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24.582247272277197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2.8421709430404007E-14</v>
      </c>
      <c r="EK175" s="17">
        <f>EJ175*VLOOKUP('Données projet'!$B$15,Paramètres!$A$1:$I$89,3,0)*VLOOKUP('Données projet'!$B$15,Paramètres!$A$1:$I$89,5,0)</f>
        <v>2.7489477361086758E-14</v>
      </c>
      <c r="EL175" s="13">
        <f t="shared" si="179"/>
        <v>4.7995394886724981E-13</v>
      </c>
      <c r="EM175" s="20">
        <f t="shared" si="180"/>
        <v>8.8379730068101964E-13</v>
      </c>
      <c r="EN175" s="59">
        <f t="shared" si="128"/>
        <v>293.33333333333422</v>
      </c>
      <c r="EO175" s="59">
        <f ca="1">AVERAGE(OFFSET($EN$3,0,0,'Données projet'!$E$15+1,1))-AVERAGE(OFFSET($H$3,0,0,'Données projet'!$E$15+1,1))</f>
        <v>218.78765033569107</v>
      </c>
      <c r="EP175" s="59">
        <f t="shared" si="154"/>
        <v>246.54010105494137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170.80796812111521</v>
      </c>
      <c r="FK175" s="59">
        <f t="shared" si="156"/>
        <v>249.84047400410321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0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333.02360594713667</v>
      </c>
      <c r="T176" s="59">
        <f t="shared" si="142"/>
        <v>546.58234447298014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13.713989719631758</v>
      </c>
      <c r="AA176" s="21">
        <f>EXP(-LN(2)/25)*AA175+(1-EXP(-LN(2)/25))/(LN(2)/25)*Calculateur!V176*Calculateur!X176*VLOOKUP('Données projet'!$B$9,Paramètres!$A$1:$I$89,3,0)*0.475*44/12</f>
        <v>2.540202006505091</v>
      </c>
      <c r="AB176" s="21">
        <f>EXP(-LN(2)/2)*AB175+(1-EXP(-LN(2)/2))/(LN(2)/2)*V176*Y176*VLOOKUP('Données projet'!$B$9,Paramètres!$A$1:$I$89,3,0)*0.475*44/12</f>
        <v>2.2437536410179837E-18</v>
      </c>
      <c r="AC176" s="22">
        <f t="shared" si="163"/>
        <v>16.254191726136849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-9.9316821433603781E-14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243.26825841283591</v>
      </c>
      <c r="AO176" s="59">
        <f t="shared" si="144"/>
        <v>179.2944312100729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18.394888938479955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18.394888938479955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-4.1677594708744434E-14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146.45728988963538</v>
      </c>
      <c r="BJ176" s="59">
        <f t="shared" si="146"/>
        <v>156.91778940341118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7.7176202918297871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7.7176202918297871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-4.0000000000001137</v>
      </c>
      <c r="BZ176" s="13">
        <f>BY176*VLOOKUP('Données projet'!$B$12,Paramètres!$A$1:$I$89,3,0)*VLOOKUP('Données projet'!$B$12,Paramètres!$A$1:$I$89,5,0)</f>
        <v>-3.1824000000000909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238.71022302719206</v>
      </c>
      <c r="CE176" s="59">
        <f t="shared" si="148"/>
        <v>294.28794439094878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12.838699174605825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12.838699174605825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-9.0449248091317723E-14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238.71022302719206</v>
      </c>
      <c r="CZ176" s="59">
        <f t="shared" si="150"/>
        <v>294.28794439094878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12.679562276106441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12.679562276106441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-1.1368683772161603E-13</v>
      </c>
      <c r="DP176" s="17">
        <f>DO176*VLOOKUP('Données projet'!$B$14,Paramètres!$A$1:$I$89,3,0)*VLOOKUP('Données projet'!$B$14,Paramètres!$A$1:$I$89,5,0)</f>
        <v>-9.7543306765146564E-14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203.34232675618244</v>
      </c>
      <c r="DU176" s="59">
        <f t="shared" si="152"/>
        <v>176.81257896138806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24.100204396958173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24.100204396958173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2.8421709430404007E-14</v>
      </c>
      <c r="EK176" s="17">
        <f>EJ176*VLOOKUP('Données projet'!$B$15,Paramètres!$A$1:$I$89,3,0)*VLOOKUP('Données projet'!$B$15,Paramètres!$A$1:$I$89,5,0)</f>
        <v>2.7489477361086758E-14</v>
      </c>
      <c r="EL176" s="13">
        <f t="shared" si="179"/>
        <v>4.7995394886724981E-13</v>
      </c>
      <c r="EM176" s="20">
        <f t="shared" si="180"/>
        <v>8.8379730068101964E-13</v>
      </c>
      <c r="EN176" s="59">
        <f t="shared" si="128"/>
        <v>293.33333333333422</v>
      </c>
      <c r="EO176" s="59">
        <f ca="1">AVERAGE(OFFSET($EN$3,0,0,'Données projet'!$E$15+1,1))-AVERAGE(OFFSET($H$3,0,0,'Données projet'!$E$15+1,1))</f>
        <v>218.78765033569107</v>
      </c>
      <c r="EP176" s="59">
        <f t="shared" si="154"/>
        <v>246.54010105494137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170.80796812111521</v>
      </c>
      <c r="FK176" s="59">
        <f t="shared" si="156"/>
        <v>249.84047400410321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0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333.02360594713667</v>
      </c>
      <c r="T177" s="59">
        <f t="shared" si="142"/>
        <v>546.58234447298014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13.445066745937563</v>
      </c>
      <c r="AA177" s="21">
        <f>EXP(-LN(2)/25)*AA176+(1-EXP(-LN(2)/25))/(LN(2)/25)*Calculateur!V177*Calculateur!X177*VLOOKUP('Données projet'!$B$9,Paramètres!$A$1:$I$89,3,0)*0.475*44/12</f>
        <v>2.4707400490537914</v>
      </c>
      <c r="AB177" s="21">
        <f>EXP(-LN(2)/2)*AB176+(1-EXP(-LN(2)/2))/(LN(2)/2)*V177*Y177*VLOOKUP('Données projet'!$B$9,Paramètres!$A$1:$I$89,3,0)*0.475*44/12</f>
        <v>1.5865734148758227E-18</v>
      </c>
      <c r="AC177" s="22">
        <f t="shared" si="163"/>
        <v>15.915806794991354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-9.9316821433603781E-14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243.26825841283591</v>
      </c>
      <c r="AO177" s="59">
        <f t="shared" si="144"/>
        <v>179.2944312100729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18.034176386170756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18.034176386170756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-4.1677594708744434E-14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146.45728988963538</v>
      </c>
      <c r="BJ177" s="59">
        <f t="shared" si="146"/>
        <v>156.91778940341118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7.5662824651905778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7.5662824651905778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-4.0000000000001137</v>
      </c>
      <c r="BZ177" s="13">
        <f>BY177*VLOOKUP('Données projet'!$B$12,Paramètres!$A$1:$I$89,3,0)*VLOOKUP('Données projet'!$B$12,Paramètres!$A$1:$I$89,5,0)</f>
        <v>-3.1824000000000909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238.71022302719206</v>
      </c>
      <c r="CE177" s="59">
        <f t="shared" si="148"/>
        <v>294.28794439094878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12.586940114625071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12.586940114625071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-9.0449248091317723E-14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238.71022302719206</v>
      </c>
      <c r="CZ177" s="59">
        <f t="shared" si="150"/>
        <v>294.28794439094878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12.430923793641336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12.430923793641336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-1.1368683772161603E-13</v>
      </c>
      <c r="DP177" s="17">
        <f>DO177*VLOOKUP('Données projet'!$B$14,Paramètres!$A$1:$I$89,3,0)*VLOOKUP('Données projet'!$B$14,Paramètres!$A$1:$I$89,5,0)</f>
        <v>-9.7543306765146564E-14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203.34232675618244</v>
      </c>
      <c r="DU177" s="59">
        <f t="shared" si="152"/>
        <v>176.81257896138806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23.627614088407032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23.627614088407032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2.8421709430404007E-14</v>
      </c>
      <c r="EK177" s="17">
        <f>EJ177*VLOOKUP('Données projet'!$B$15,Paramètres!$A$1:$I$89,3,0)*VLOOKUP('Données projet'!$B$15,Paramètres!$A$1:$I$89,5,0)</f>
        <v>2.7489477361086758E-14</v>
      </c>
      <c r="EL177" s="13">
        <f t="shared" si="179"/>
        <v>4.7995394886724981E-13</v>
      </c>
      <c r="EM177" s="20">
        <f t="shared" si="180"/>
        <v>8.8379730068101964E-13</v>
      </c>
      <c r="EN177" s="59">
        <f t="shared" si="128"/>
        <v>293.33333333333422</v>
      </c>
      <c r="EO177" s="59">
        <f ca="1">AVERAGE(OFFSET($EN$3,0,0,'Données projet'!$E$15+1,1))-AVERAGE(OFFSET($H$3,0,0,'Données projet'!$E$15+1,1))</f>
        <v>218.78765033569107</v>
      </c>
      <c r="EP177" s="59">
        <f t="shared" si="154"/>
        <v>246.54010105494137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170.80796812111521</v>
      </c>
      <c r="FK177" s="59">
        <f t="shared" si="156"/>
        <v>249.84047400410321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0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333.02360594713667</v>
      </c>
      <c r="T178" s="59">
        <f t="shared" si="142"/>
        <v>546.58234447298014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13.181417187730693</v>
      </c>
      <c r="AA178" s="21">
        <f>EXP(-LN(2)/25)*AA177+(1-EXP(-LN(2)/25))/(LN(2)/25)*Calculateur!V178*Calculateur!X178*VLOOKUP('Données projet'!$B$9,Paramètres!$A$1:$I$89,3,0)*0.475*44/12</f>
        <v>2.4031775324818434</v>
      </c>
      <c r="AB178" s="21">
        <f>EXP(-LN(2)/2)*AB177+(1-EXP(-LN(2)/2))/(LN(2)/2)*V178*Y178*VLOOKUP('Données projet'!$B$9,Paramètres!$A$1:$I$89,3,0)*0.475*44/12</f>
        <v>1.1218768205089918E-18</v>
      </c>
      <c r="AC178" s="22">
        <f t="shared" si="163"/>
        <v>15.584594720212536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-9.9316821433603781E-14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243.26825841283591</v>
      </c>
      <c r="AO178" s="59">
        <f t="shared" si="144"/>
        <v>179.2944312100729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17.680537186999405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17.680537186999405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-4.1677594708744434E-14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146.45728988963538</v>
      </c>
      <c r="BJ178" s="59">
        <f t="shared" si="146"/>
        <v>156.91778940341118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7.4179122810248028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7.4179122810248028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-4.0000000000001137</v>
      </c>
      <c r="BZ178" s="13">
        <f>BY178*VLOOKUP('Données projet'!$B$12,Paramètres!$A$1:$I$89,3,0)*VLOOKUP('Données projet'!$B$12,Paramètres!$A$1:$I$89,5,0)</f>
        <v>-3.1824000000000909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238.71022302719206</v>
      </c>
      <c r="CE178" s="59">
        <f t="shared" si="148"/>
        <v>294.28794439094878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12.340117896252675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12.340117896252675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-9.0449248091317723E-14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238.71022302719206</v>
      </c>
      <c r="CZ178" s="59">
        <f t="shared" si="150"/>
        <v>294.28794439094878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12.187160960162872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12.187160960162872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-1.1368683772161603E-13</v>
      </c>
      <c r="DP178" s="17">
        <f>DO178*VLOOKUP('Données projet'!$B$14,Paramètres!$A$1:$I$89,3,0)*VLOOKUP('Données projet'!$B$14,Paramètres!$A$1:$I$89,5,0)</f>
        <v>-9.7543306765146564E-14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203.34232675618244</v>
      </c>
      <c r="DU178" s="59">
        <f t="shared" si="152"/>
        <v>176.81257896138806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23.164290987554956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23.164290987554956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2.8421709430404007E-14</v>
      </c>
      <c r="EK178" s="17">
        <f>EJ178*VLOOKUP('Données projet'!$B$15,Paramètres!$A$1:$I$89,3,0)*VLOOKUP('Données projet'!$B$15,Paramètres!$A$1:$I$89,5,0)</f>
        <v>2.7489477361086758E-14</v>
      </c>
      <c r="EL178" s="13">
        <f t="shared" si="179"/>
        <v>4.7995394886724981E-13</v>
      </c>
      <c r="EM178" s="20">
        <f t="shared" si="180"/>
        <v>8.8379730068101964E-13</v>
      </c>
      <c r="EN178" s="59">
        <f t="shared" si="128"/>
        <v>293.33333333333422</v>
      </c>
      <c r="EO178" s="59">
        <f ca="1">AVERAGE(OFFSET($EN$3,0,0,'Données projet'!$E$15+1,1))-AVERAGE(OFFSET($H$3,0,0,'Données projet'!$E$15+1,1))</f>
        <v>218.78765033569107</v>
      </c>
      <c r="EP178" s="59">
        <f t="shared" si="154"/>
        <v>246.54010105494137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170.80796812111521</v>
      </c>
      <c r="FK178" s="59">
        <f t="shared" si="156"/>
        <v>249.84047400410321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0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333.02360594713667</v>
      </c>
      <c r="T179" s="59">
        <f t="shared" si="142"/>
        <v>546.58234447298014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12.922937636549907</v>
      </c>
      <c r="AA179" s="21">
        <f>EXP(-LN(2)/25)*AA178+(1-EXP(-LN(2)/25))/(LN(2)/25)*Calculateur!V179*Calculateur!X179*VLOOKUP('Données projet'!$B$9,Paramètres!$A$1:$I$89,3,0)*0.475*44/12</f>
        <v>2.3374625164785137</v>
      </c>
      <c r="AB179" s="21">
        <f>EXP(-LN(2)/2)*AB178+(1-EXP(-LN(2)/2))/(LN(2)/2)*V179*Y179*VLOOKUP('Données projet'!$B$9,Paramètres!$A$1:$I$89,3,0)*0.475*44/12</f>
        <v>7.9328670743791135E-19</v>
      </c>
      <c r="AC179" s="22">
        <f t="shared" si="163"/>
        <v>15.260400153028421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-9.9316821433603781E-14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243.26825841283591</v>
      </c>
      <c r="AO179" s="59">
        <f t="shared" si="144"/>
        <v>179.2944312100729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17.333832636825193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17.333832636825193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-4.1677594708744434E-14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146.45728988963538</v>
      </c>
      <c r="BJ179" s="59">
        <f t="shared" si="146"/>
        <v>156.91778940341118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7.2724515456736425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7.2724515456736425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-4.0000000000001137</v>
      </c>
      <c r="BZ179" s="13">
        <f>BY179*VLOOKUP('Données projet'!$B$12,Paramètres!$A$1:$I$89,3,0)*VLOOKUP('Données projet'!$B$12,Paramètres!$A$1:$I$89,5,0)</f>
        <v>-3.1824000000000909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238.71022302719206</v>
      </c>
      <c r="CE179" s="59">
        <f t="shared" si="148"/>
        <v>294.28794439094878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12.098135711035875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12.098135711035875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-9.0449248091317723E-14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238.71022302719206</v>
      </c>
      <c r="CZ179" s="59">
        <f t="shared" si="150"/>
        <v>294.28794439094878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11.948178167168274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11.948178167168274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-1.1368683772161603E-13</v>
      </c>
      <c r="DP179" s="17">
        <f>DO179*VLOOKUP('Données projet'!$B$14,Paramètres!$A$1:$I$89,3,0)*VLOOKUP('Données projet'!$B$14,Paramètres!$A$1:$I$89,5,0)</f>
        <v>-9.7543306765146564E-14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203.34232675618244</v>
      </c>
      <c r="DU179" s="59">
        <f t="shared" si="152"/>
        <v>176.81257896138806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22.7100533701114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22.7100533701114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2.8421709430404007E-14</v>
      </c>
      <c r="EK179" s="17">
        <f>EJ179*VLOOKUP('Données projet'!$B$15,Paramètres!$A$1:$I$89,3,0)*VLOOKUP('Données projet'!$B$15,Paramètres!$A$1:$I$89,5,0)</f>
        <v>2.7489477361086758E-14</v>
      </c>
      <c r="EL179" s="13">
        <f t="shared" si="179"/>
        <v>4.7995394886724981E-13</v>
      </c>
      <c r="EM179" s="20">
        <f t="shared" si="180"/>
        <v>8.8379730068101964E-13</v>
      </c>
      <c r="EN179" s="59">
        <f t="shared" si="128"/>
        <v>293.33333333333422</v>
      </c>
      <c r="EO179" s="59">
        <f ca="1">AVERAGE(OFFSET($EN$3,0,0,'Données projet'!$E$15+1,1))-AVERAGE(OFFSET($H$3,0,0,'Données projet'!$E$15+1,1))</f>
        <v>218.78765033569107</v>
      </c>
      <c r="EP179" s="59">
        <f t="shared" si="154"/>
        <v>246.54010105494137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170.80796812111521</v>
      </c>
      <c r="FK179" s="59">
        <f t="shared" si="156"/>
        <v>249.84047400410321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0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333.02360594713667</v>
      </c>
      <c r="T180" s="59">
        <f t="shared" si="142"/>
        <v>546.58234447298014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12.669526711710818</v>
      </c>
      <c r="AA180" s="21">
        <f>EXP(-LN(2)/25)*AA179+(1-EXP(-LN(2)/25))/(LN(2)/25)*Calculateur!V180*Calculateur!X180*VLOOKUP('Données projet'!$B$9,Paramètres!$A$1:$I$89,3,0)*0.475*44/12</f>
        <v>2.2735444810435972</v>
      </c>
      <c r="AB180" s="21">
        <f>EXP(-LN(2)/2)*AB179+(1-EXP(-LN(2)/2))/(LN(2)/2)*V180*Y180*VLOOKUP('Données projet'!$B$9,Paramètres!$A$1:$I$89,3,0)*0.475*44/12</f>
        <v>5.6093841025449592E-19</v>
      </c>
      <c r="AC180" s="22">
        <f t="shared" si="163"/>
        <v>14.943071192754415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-9.9316821433603781E-14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243.26825841283591</v>
      </c>
      <c r="AO180" s="59">
        <f t="shared" si="144"/>
        <v>179.2944312100729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16.993926751411003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16.993926751411003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-4.1677594708744434E-14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146.45728988963538</v>
      </c>
      <c r="BJ180" s="59">
        <f t="shared" si="146"/>
        <v>156.91778940341118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7.1298432066204303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7.1298432066204303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-4.0000000000001137</v>
      </c>
      <c r="BZ180" s="13">
        <f>BY180*VLOOKUP('Données projet'!$B$12,Paramètres!$A$1:$I$89,3,0)*VLOOKUP('Données projet'!$B$12,Paramètres!$A$1:$I$89,5,0)</f>
        <v>-3.1824000000000909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238.71022302719206</v>
      </c>
      <c r="CE180" s="59">
        <f t="shared" si="148"/>
        <v>294.28794439094878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11.860898648876615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11.860898648876615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-9.0449248091317723E-14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238.71022302719206</v>
      </c>
      <c r="CZ180" s="59">
        <f t="shared" si="150"/>
        <v>294.28794439094878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11.713881680979188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11.713881680979188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-1.1368683772161603E-13</v>
      </c>
      <c r="DP180" s="17">
        <f>DO180*VLOOKUP('Données projet'!$B$14,Paramètres!$A$1:$I$89,3,0)*VLOOKUP('Données projet'!$B$14,Paramètres!$A$1:$I$89,5,0)</f>
        <v>-9.7543306765146564E-14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203.34232675618244</v>
      </c>
      <c r="DU180" s="59">
        <f t="shared" si="152"/>
        <v>176.81257896138806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22.264723075288323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22.264723075288323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2.8421709430404007E-14</v>
      </c>
      <c r="EK180" s="17">
        <f>EJ180*VLOOKUP('Données projet'!$B$15,Paramètres!$A$1:$I$89,3,0)*VLOOKUP('Données projet'!$B$15,Paramètres!$A$1:$I$89,5,0)</f>
        <v>2.7489477361086758E-14</v>
      </c>
      <c r="EL180" s="13">
        <f t="shared" si="179"/>
        <v>4.7995394886724981E-13</v>
      </c>
      <c r="EM180" s="20">
        <f t="shared" si="180"/>
        <v>8.8379730068101964E-13</v>
      </c>
      <c r="EN180" s="59">
        <f t="shared" si="128"/>
        <v>293.33333333333422</v>
      </c>
      <c r="EO180" s="59">
        <f ca="1">AVERAGE(OFFSET($EN$3,0,0,'Données projet'!$E$15+1,1))-AVERAGE(OFFSET($H$3,0,0,'Données projet'!$E$15+1,1))</f>
        <v>218.78765033569107</v>
      </c>
      <c r="EP180" s="59">
        <f t="shared" si="154"/>
        <v>246.54010105494137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170.80796812111521</v>
      </c>
      <c r="FK180" s="59">
        <f t="shared" si="156"/>
        <v>249.84047400410321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0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333.02360594713667</v>
      </c>
      <c r="T181" s="59">
        <f t="shared" si="142"/>
        <v>546.58234447298014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12.421085020542421</v>
      </c>
      <c r="AA181" s="21">
        <f>EXP(-LN(2)/25)*AA180+(1-EXP(-LN(2)/25))/(LN(2)/25)*Calculateur!V181*Calculateur!X181*VLOOKUP('Données projet'!$B$9,Paramètres!$A$1:$I$89,3,0)*0.475*44/12</f>
        <v>2.2113742876489519</v>
      </c>
      <c r="AB181" s="21">
        <f>EXP(-LN(2)/2)*AB180+(1-EXP(-LN(2)/2))/(LN(2)/2)*V181*Y181*VLOOKUP('Données projet'!$B$9,Paramètres!$A$1:$I$89,3,0)*0.475*44/12</f>
        <v>3.9664335371895568E-19</v>
      </c>
      <c r="AC181" s="22">
        <f t="shared" si="163"/>
        <v>14.632459308191372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-9.9316821433603781E-14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243.26825841283591</v>
      </c>
      <c r="AO181" s="59">
        <f t="shared" si="144"/>
        <v>179.2944312100729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16.660686213087665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16.660686213087665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-4.1677594708744434E-14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146.45728988963538</v>
      </c>
      <c r="BJ181" s="59">
        <f t="shared" si="146"/>
        <v>156.91778940341118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6.9900313301135535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6.9900313301135535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-4.0000000000001137</v>
      </c>
      <c r="BZ181" s="13">
        <f>BY181*VLOOKUP('Données projet'!$B$12,Paramètres!$A$1:$I$89,3,0)*VLOOKUP('Données projet'!$B$12,Paramètres!$A$1:$I$89,5,0)</f>
        <v>-3.1824000000000909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238.71022302719206</v>
      </c>
      <c r="CE181" s="59">
        <f t="shared" si="148"/>
        <v>294.28794439094878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11.628313660805979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11.628313660805979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-9.0449248091317723E-14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238.71022302719206</v>
      </c>
      <c r="CZ181" s="59">
        <f t="shared" si="150"/>
        <v>294.28794439094878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11.484179605977525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11.484179605977525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-1.1368683772161603E-13</v>
      </c>
      <c r="DP181" s="17">
        <f>DO181*VLOOKUP('Données projet'!$B$14,Paramètres!$A$1:$I$89,3,0)*VLOOKUP('Données projet'!$B$14,Paramètres!$A$1:$I$89,5,0)</f>
        <v>-9.7543306765146564E-14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203.34232675618244</v>
      </c>
      <c r="DU181" s="59">
        <f t="shared" si="152"/>
        <v>176.81257896138806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21.828125435922068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21.828125435922068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2.8421709430404007E-14</v>
      </c>
      <c r="EK181" s="17">
        <f>EJ181*VLOOKUP('Données projet'!$B$15,Paramètres!$A$1:$I$89,3,0)*VLOOKUP('Données projet'!$B$15,Paramètres!$A$1:$I$89,5,0)</f>
        <v>2.7489477361086758E-14</v>
      </c>
      <c r="EL181" s="13">
        <f t="shared" si="179"/>
        <v>4.7995394886724981E-13</v>
      </c>
      <c r="EM181" s="20">
        <f t="shared" si="180"/>
        <v>8.8379730068101964E-13</v>
      </c>
      <c r="EN181" s="59">
        <f t="shared" si="128"/>
        <v>293.33333333333422</v>
      </c>
      <c r="EO181" s="59">
        <f ca="1">AVERAGE(OFFSET($EN$3,0,0,'Données projet'!$E$15+1,1))-AVERAGE(OFFSET($H$3,0,0,'Données projet'!$E$15+1,1))</f>
        <v>218.78765033569107</v>
      </c>
      <c r="EP181" s="59">
        <f t="shared" si="154"/>
        <v>246.54010105494137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170.80796812111521</v>
      </c>
      <c r="FK181" s="59">
        <f t="shared" si="156"/>
        <v>249.84047400410321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0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333.02360594713667</v>
      </c>
      <c r="T182" s="59">
        <f t="shared" si="142"/>
        <v>546.58234447298014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12.177515119403367</v>
      </c>
      <c r="AA182" s="21">
        <f>EXP(-LN(2)/25)*AA181+(1-EXP(-LN(2)/25))/(LN(2)/25)*Calculateur!V182*Calculateur!X182*VLOOKUP('Données projet'!$B$9,Paramètres!$A$1:$I$89,3,0)*0.475*44/12</f>
        <v>2.1509041414620715</v>
      </c>
      <c r="AB182" s="21">
        <f>EXP(-LN(2)/2)*AB181+(1-EXP(-LN(2)/2))/(LN(2)/2)*V182*Y182*VLOOKUP('Données projet'!$B$9,Paramètres!$A$1:$I$89,3,0)*0.475*44/12</f>
        <v>2.8046920512724796E-19</v>
      </c>
      <c r="AC182" s="22">
        <f t="shared" si="163"/>
        <v>14.328419260865438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-9.9316821433603781E-14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243.26825841283591</v>
      </c>
      <c r="AO182" s="59">
        <f t="shared" si="144"/>
        <v>179.2944312100729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16.333980318464189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16.333980318464189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-4.1677594708744434E-14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146.45728988963538</v>
      </c>
      <c r="BJ182" s="59">
        <f t="shared" si="146"/>
        <v>156.91778940341118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6.8529610792281526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6.8529610792281526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-4.0000000000001137</v>
      </c>
      <c r="BZ182" s="13">
        <f>BY182*VLOOKUP('Données projet'!$B$12,Paramètres!$A$1:$I$89,3,0)*VLOOKUP('Données projet'!$B$12,Paramètres!$A$1:$I$89,5,0)</f>
        <v>-3.1824000000000909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238.71022302719206</v>
      </c>
      <c r="CE182" s="59">
        <f t="shared" si="148"/>
        <v>294.28794439094878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11.400289522488574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11.400289522488574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-9.0449248091317723E-14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238.71022302719206</v>
      </c>
      <c r="CZ182" s="59">
        <f t="shared" si="150"/>
        <v>294.28794439094878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11.258981848562213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11.258981848562213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-1.1368683772161603E-13</v>
      </c>
      <c r="DP182" s="17">
        <f>DO182*VLOOKUP('Données projet'!$B$14,Paramètres!$A$1:$I$89,3,0)*VLOOKUP('Données projet'!$B$14,Paramètres!$A$1:$I$89,5,0)</f>
        <v>-9.7543306765146564E-14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203.34232675618244</v>
      </c>
      <c r="DU182" s="59">
        <f t="shared" si="152"/>
        <v>176.81257896138806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21.400089209965518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21.400089209965518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2.8421709430404007E-14</v>
      </c>
      <c r="EK182" s="17">
        <f>EJ182*VLOOKUP('Données projet'!$B$15,Paramètres!$A$1:$I$89,3,0)*VLOOKUP('Données projet'!$B$15,Paramètres!$A$1:$I$89,5,0)</f>
        <v>2.7489477361086758E-14</v>
      </c>
      <c r="EL182" s="13">
        <f t="shared" si="179"/>
        <v>4.7995394886724981E-13</v>
      </c>
      <c r="EM182" s="20">
        <f t="shared" si="180"/>
        <v>8.8379730068101964E-13</v>
      </c>
      <c r="EN182" s="59">
        <f t="shared" si="128"/>
        <v>293.33333333333422</v>
      </c>
      <c r="EO182" s="59">
        <f ca="1">AVERAGE(OFFSET($EN$3,0,0,'Données projet'!$E$15+1,1))-AVERAGE(OFFSET($H$3,0,0,'Données projet'!$E$15+1,1))</f>
        <v>218.78765033569107</v>
      </c>
      <c r="EP182" s="59">
        <f t="shared" si="154"/>
        <v>246.54010105494137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170.80796812111521</v>
      </c>
      <c r="FK182" s="59">
        <f t="shared" si="156"/>
        <v>249.84047400410321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0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333.02360594713667</v>
      </c>
      <c r="T183" s="59">
        <f t="shared" si="142"/>
        <v>546.58234447298014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11.93872147546268</v>
      </c>
      <c r="AA183" s="21">
        <f>EXP(-LN(2)/25)*AA182+(1-EXP(-LN(2)/25))/(LN(2)/25)*Calculateur!V183*Calculateur!X183*VLOOKUP('Données projet'!$B$9,Paramètres!$A$1:$I$89,3,0)*0.475*44/12</f>
        <v>2.0920875546026583</v>
      </c>
      <c r="AB183" s="21">
        <f>EXP(-LN(2)/2)*AB182+(1-EXP(-LN(2)/2))/(LN(2)/2)*V183*Y183*VLOOKUP('Données projet'!$B$9,Paramètres!$A$1:$I$89,3,0)*0.475*44/12</f>
        <v>1.9832167685947784E-19</v>
      </c>
      <c r="AC183" s="22">
        <f t="shared" si="163"/>
        <v>14.030809030065338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-9.9316821433603781E-14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243.26825841283591</v>
      </c>
      <c r="AO183" s="59">
        <f t="shared" si="144"/>
        <v>179.2944312100729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16.01368092716336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16.01368092716336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-4.1677594708744434E-14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146.45728988963538</v>
      </c>
      <c r="BJ183" s="59">
        <f t="shared" si="146"/>
        <v>156.91778940341118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6.7185786923580162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6.7185786923580162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-4.0000000000001137</v>
      </c>
      <c r="BZ183" s="13">
        <f>BY183*VLOOKUP('Données projet'!$B$12,Paramètres!$A$1:$I$89,3,0)*VLOOKUP('Données projet'!$B$12,Paramètres!$A$1:$I$89,5,0)</f>
        <v>-3.1824000000000909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238.71022302719206</v>
      </c>
      <c r="CE183" s="59">
        <f t="shared" si="148"/>
        <v>294.28794439094878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11.176736798442581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11.176736798442581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-9.0449248091317723E-14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238.71022302719206</v>
      </c>
      <c r="CZ183" s="59">
        <f t="shared" si="150"/>
        <v>294.28794439094878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11.038200081812747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11.038200081812747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-1.1368683772161603E-13</v>
      </c>
      <c r="DP183" s="17">
        <f>DO183*VLOOKUP('Données projet'!$B$14,Paramètres!$A$1:$I$89,3,0)*VLOOKUP('Données projet'!$B$14,Paramètres!$A$1:$I$89,5,0)</f>
        <v>-9.7543306765146564E-14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203.34232675618244</v>
      </c>
      <c r="DU183" s="59">
        <f t="shared" si="152"/>
        <v>176.81257896138806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20.98044651332366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20.98044651332366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2.8421709430404007E-14</v>
      </c>
      <c r="EK183" s="17">
        <f>EJ183*VLOOKUP('Données projet'!$B$15,Paramètres!$A$1:$I$89,3,0)*VLOOKUP('Données projet'!$B$15,Paramètres!$A$1:$I$89,5,0)</f>
        <v>2.7489477361086758E-14</v>
      </c>
      <c r="EL183" s="13">
        <f t="shared" si="179"/>
        <v>4.7995394886724981E-13</v>
      </c>
      <c r="EM183" s="20">
        <f t="shared" si="180"/>
        <v>8.8379730068101964E-13</v>
      </c>
      <c r="EN183" s="59">
        <f t="shared" si="128"/>
        <v>293.33333333333422</v>
      </c>
      <c r="EO183" s="59">
        <f ca="1">AVERAGE(OFFSET($EN$3,0,0,'Données projet'!$E$15+1,1))-AVERAGE(OFFSET($H$3,0,0,'Données projet'!$E$15+1,1))</f>
        <v>218.78765033569107</v>
      </c>
      <c r="EP183" s="59">
        <f t="shared" si="154"/>
        <v>246.54010105494137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170.80796812111521</v>
      </c>
      <c r="FK183" s="59">
        <f t="shared" si="156"/>
        <v>249.84047400410321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0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333.02360594713667</v>
      </c>
      <c r="T184" s="59">
        <f t="shared" si="142"/>
        <v>546.58234447298014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11.704610429229929</v>
      </c>
      <c r="AA184" s="21">
        <f>EXP(-LN(2)/25)*AA183+(1-EXP(-LN(2)/25))/(LN(2)/25)*Calculateur!V184*Calculateur!X184*VLOOKUP('Données projet'!$B$9,Paramètres!$A$1:$I$89,3,0)*0.475*44/12</f>
        <v>2.0348793104039458</v>
      </c>
      <c r="AB184" s="21">
        <f>EXP(-LN(2)/2)*AB183+(1-EXP(-LN(2)/2))/(LN(2)/2)*V184*Y184*VLOOKUP('Données projet'!$B$9,Paramètres!$A$1:$I$89,3,0)*0.475*44/12</f>
        <v>1.4023460256362398E-19</v>
      </c>
      <c r="AC184" s="22">
        <f t="shared" si="163"/>
        <v>13.739489739633875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-9.9316821433603781E-14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243.26825841283591</v>
      </c>
      <c r="AO184" s="59">
        <f t="shared" si="144"/>
        <v>179.2944312100729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15.699662411562603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15.699662411562603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-4.1677594708744434E-14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146.45728988963538</v>
      </c>
      <c r="BJ184" s="59">
        <f t="shared" si="146"/>
        <v>156.91778940341118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6.5868314621292408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6.5868314621292408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-4.0000000000001137</v>
      </c>
      <c r="BZ184" s="13">
        <f>BY184*VLOOKUP('Données projet'!$B$12,Paramètres!$A$1:$I$89,3,0)*VLOOKUP('Données projet'!$B$12,Paramètres!$A$1:$I$89,5,0)</f>
        <v>-3.1824000000000909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238.71022302719206</v>
      </c>
      <c r="CE184" s="59">
        <f t="shared" si="148"/>
        <v>294.28794439094878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10.957567806961434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10.957567806961434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-9.0449248091317723E-14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238.71022302719206</v>
      </c>
      <c r="CZ184" s="59">
        <f t="shared" si="150"/>
        <v>294.28794439094878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10.821747710845656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10.821747710845656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-1.1368683772161603E-13</v>
      </c>
      <c r="DP184" s="17">
        <f>DO184*VLOOKUP('Données projet'!$B$14,Paramètres!$A$1:$I$89,3,0)*VLOOKUP('Données projet'!$B$14,Paramètres!$A$1:$I$89,5,0)</f>
        <v>-9.7543306765146564E-14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203.34232675618244</v>
      </c>
      <c r="DU184" s="59">
        <f t="shared" si="152"/>
        <v>176.81257896138806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20.569032754006177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20.569032754006177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2.8421709430404007E-14</v>
      </c>
      <c r="EK184" s="17">
        <f>EJ184*VLOOKUP('Données projet'!$B$15,Paramètres!$A$1:$I$89,3,0)*VLOOKUP('Données projet'!$B$15,Paramètres!$A$1:$I$89,5,0)</f>
        <v>2.7489477361086758E-14</v>
      </c>
      <c r="EL184" s="13">
        <f t="shared" si="179"/>
        <v>4.7995394886724981E-13</v>
      </c>
      <c r="EM184" s="20">
        <f t="shared" si="180"/>
        <v>8.8379730068101964E-13</v>
      </c>
      <c r="EN184" s="59">
        <f t="shared" si="128"/>
        <v>293.33333333333422</v>
      </c>
      <c r="EO184" s="59">
        <f ca="1">AVERAGE(OFFSET($EN$3,0,0,'Données projet'!$E$15+1,1))-AVERAGE(OFFSET($H$3,0,0,'Données projet'!$E$15+1,1))</f>
        <v>218.78765033569107</v>
      </c>
      <c r="EP184" s="59">
        <f t="shared" si="154"/>
        <v>246.54010105494137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170.80796812111521</v>
      </c>
      <c r="FK184" s="59">
        <f t="shared" si="156"/>
        <v>249.84047400410321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0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333.02360594713667</v>
      </c>
      <c r="T185" s="59">
        <f t="shared" si="142"/>
        <v>546.58234447298014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11.475090157820164</v>
      </c>
      <c r="AA185" s="21">
        <f>EXP(-LN(2)/25)*AA184+(1-EXP(-LN(2)/25))/(LN(2)/25)*Calculateur!V185*Calculateur!X185*VLOOKUP('Données projet'!$B$9,Paramètres!$A$1:$I$89,3,0)*0.475*44/12</f>
        <v>1.9792354286512976</v>
      </c>
      <c r="AB185" s="21">
        <f>EXP(-LN(2)/2)*AB184+(1-EXP(-LN(2)/2))/(LN(2)/2)*V185*Y185*VLOOKUP('Données projet'!$B$9,Paramètres!$A$1:$I$89,3,0)*0.475*44/12</f>
        <v>9.9160838429738919E-20</v>
      </c>
      <c r="AC185" s="22">
        <f t="shared" si="163"/>
        <v>13.454325586471462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-9.9316821433603781E-14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243.26825841283591</v>
      </c>
      <c r="AO185" s="59">
        <f t="shared" si="144"/>
        <v>179.2944312100729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15.391801607520394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15.391801607520394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-4.1677594708744434E-14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146.45728988963538</v>
      </c>
      <c r="BJ185" s="59">
        <f t="shared" si="146"/>
        <v>156.91778940341118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6.4576677147273758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6.4576677147273758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-4.0000000000001137</v>
      </c>
      <c r="BZ185" s="13">
        <f>BY185*VLOOKUP('Données projet'!$B$12,Paramètres!$A$1:$I$89,3,0)*VLOOKUP('Données projet'!$B$12,Paramètres!$A$1:$I$89,5,0)</f>
        <v>-3.1824000000000909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238.71022302719206</v>
      </c>
      <c r="CE185" s="59">
        <f t="shared" si="148"/>
        <v>294.28794439094878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10.742696585723346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10.742696585723346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-9.0449248091317723E-14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238.71022302719206</v>
      </c>
      <c r="CZ185" s="59">
        <f t="shared" si="150"/>
        <v>294.28794439094878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10.609539838850321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10.609539838850321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-1.1368683772161603E-13</v>
      </c>
      <c r="DP185" s="17">
        <f>DO185*VLOOKUP('Données projet'!$B$14,Paramètres!$A$1:$I$89,3,0)*VLOOKUP('Données projet'!$B$14,Paramètres!$A$1:$I$89,5,0)</f>
        <v>-9.7543306765146564E-14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203.34232675618244</v>
      </c>
      <c r="DU185" s="59">
        <f t="shared" si="152"/>
        <v>176.81257896138806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20.165686567571292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20.165686567571292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2.8421709430404007E-14</v>
      </c>
      <c r="EK185" s="17">
        <f>EJ185*VLOOKUP('Données projet'!$B$15,Paramètres!$A$1:$I$89,3,0)*VLOOKUP('Données projet'!$B$15,Paramètres!$A$1:$I$89,5,0)</f>
        <v>2.7489477361086758E-14</v>
      </c>
      <c r="EL185" s="13">
        <f t="shared" si="179"/>
        <v>4.7995394886724981E-13</v>
      </c>
      <c r="EM185" s="20">
        <f t="shared" si="180"/>
        <v>8.8379730068101964E-13</v>
      </c>
      <c r="EN185" s="59">
        <f t="shared" si="128"/>
        <v>293.33333333333422</v>
      </c>
      <c r="EO185" s="59">
        <f ca="1">AVERAGE(OFFSET($EN$3,0,0,'Données projet'!$E$15+1,1))-AVERAGE(OFFSET($H$3,0,0,'Données projet'!$E$15+1,1))</f>
        <v>218.78765033569107</v>
      </c>
      <c r="EP185" s="59">
        <f t="shared" si="154"/>
        <v>246.54010105494137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170.80796812111521</v>
      </c>
      <c r="FK185" s="59">
        <f t="shared" si="156"/>
        <v>249.84047400410321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0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333.02360594713667</v>
      </c>
      <c r="T186" s="59">
        <f t="shared" si="142"/>
        <v>546.58234447298014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11.250070638939201</v>
      </c>
      <c r="AA186" s="21">
        <f>EXP(-LN(2)/25)*AA185+(1-EXP(-LN(2)/25))/(LN(2)/25)*Calculateur!V186*Calculateur!X186*VLOOKUP('Données projet'!$B$9,Paramètres!$A$1:$I$89,3,0)*0.475*44/12</f>
        <v>1.9251131317713603</v>
      </c>
      <c r="AB186" s="21">
        <f>EXP(-LN(2)/2)*AB185+(1-EXP(-LN(2)/2))/(LN(2)/2)*V186*Y186*VLOOKUP('Données projet'!$B$9,Paramètres!$A$1:$I$89,3,0)*0.475*44/12</f>
        <v>7.011730128181199E-20</v>
      </c>
      <c r="AC186" s="22">
        <f t="shared" si="163"/>
        <v>13.175183770710561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-9.9316821433603781E-14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243.26825841283591</v>
      </c>
      <c r="AO186" s="59">
        <f t="shared" si="144"/>
        <v>179.2944312100729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15.089977766068905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15.089977766068905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-4.1677594708744434E-14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146.45728988963538</v>
      </c>
      <c r="BJ186" s="59">
        <f t="shared" si="146"/>
        <v>156.91778940341118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6.3310367896299553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6.3310367896299553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-4.0000000000001137</v>
      </c>
      <c r="BZ186" s="13">
        <f>BY186*VLOOKUP('Données projet'!$B$12,Paramètres!$A$1:$I$89,3,0)*VLOOKUP('Données projet'!$B$12,Paramètres!$A$1:$I$89,5,0)</f>
        <v>-3.1824000000000909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238.71022302719206</v>
      </c>
      <c r="CE186" s="59">
        <f t="shared" si="148"/>
        <v>294.28794439094878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10.532038858075232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10.532038858075232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-9.0449248091317723E-14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238.71022302719206</v>
      </c>
      <c r="CZ186" s="59">
        <f t="shared" si="150"/>
        <v>294.28794439094878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10.401493233790791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10.401493233790791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-1.1368683772161603E-13</v>
      </c>
      <c r="DP186" s="17">
        <f>DO186*VLOOKUP('Données projet'!$B$14,Paramètres!$A$1:$I$89,3,0)*VLOOKUP('Données projet'!$B$14,Paramètres!$A$1:$I$89,5,0)</f>
        <v>-9.7543306765146564E-14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203.34232675618244</v>
      </c>
      <c r="DU186" s="59">
        <f t="shared" si="152"/>
        <v>176.81257896138806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19.770249753835515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19.770249753835515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2.8421709430404007E-14</v>
      </c>
      <c r="EK186" s="17">
        <f>EJ186*VLOOKUP('Données projet'!$B$15,Paramètres!$A$1:$I$89,3,0)*VLOOKUP('Données projet'!$B$15,Paramètres!$A$1:$I$89,5,0)</f>
        <v>2.7489477361086758E-14</v>
      </c>
      <c r="EL186" s="13">
        <f t="shared" si="179"/>
        <v>4.7995394886724981E-13</v>
      </c>
      <c r="EM186" s="20">
        <f t="shared" si="180"/>
        <v>8.8379730068101964E-13</v>
      </c>
      <c r="EN186" s="59">
        <f t="shared" si="128"/>
        <v>293.33333333333422</v>
      </c>
      <c r="EO186" s="59">
        <f ca="1">AVERAGE(OFFSET($EN$3,0,0,'Données projet'!$E$15+1,1))-AVERAGE(OFFSET($H$3,0,0,'Données projet'!$E$15+1,1))</f>
        <v>218.78765033569107</v>
      </c>
      <c r="EP186" s="59">
        <f t="shared" si="154"/>
        <v>246.54010105494137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170.80796812111521</v>
      </c>
      <c r="FK186" s="59">
        <f t="shared" si="156"/>
        <v>249.84047400410321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0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333.02360594713667</v>
      </c>
      <c r="T187" s="59">
        <f t="shared" si="142"/>
        <v>546.58234447298014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11.029463615575141</v>
      </c>
      <c r="AA187" s="21">
        <f>EXP(-LN(2)/25)*AA186+(1-EXP(-LN(2)/25))/(LN(2)/25)*Calculateur!V187*Calculateur!X187*VLOOKUP('Données projet'!$B$9,Paramètres!$A$1:$I$89,3,0)*0.475*44/12</f>
        <v>1.8724708119457727</v>
      </c>
      <c r="AB187" s="21">
        <f>EXP(-LN(2)/2)*AB186+(1-EXP(-LN(2)/2))/(LN(2)/2)*V187*Y187*VLOOKUP('Données projet'!$B$9,Paramètres!$A$1:$I$89,3,0)*0.475*44/12</f>
        <v>4.958041921486946E-20</v>
      </c>
      <c r="AC187" s="22">
        <f t="shared" si="163"/>
        <v>12.901934427520914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-9.9316821433603781E-14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243.26825841283591</v>
      </c>
      <c r="AO187" s="59">
        <f t="shared" si="144"/>
        <v>179.2944312100729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14.794072506053913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14.794072506053913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-4.1677594708744434E-14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146.45728988963538</v>
      </c>
      <c r="BJ187" s="59">
        <f t="shared" si="146"/>
        <v>156.91778940341118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6.2068890197364572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6.2068890197364572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-4.0000000000001137</v>
      </c>
      <c r="BZ187" s="13">
        <f>BY187*VLOOKUP('Données projet'!$B$12,Paramètres!$A$1:$I$89,3,0)*VLOOKUP('Données projet'!$B$12,Paramètres!$A$1:$I$89,5,0)</f>
        <v>-3.1824000000000909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238.71022302719206</v>
      </c>
      <c r="CE187" s="59">
        <f t="shared" si="148"/>
        <v>294.28794439094878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10.325511999977772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10.325511999977772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-9.0449248091317723E-14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238.71022302719206</v>
      </c>
      <c r="CZ187" s="59">
        <f t="shared" si="150"/>
        <v>294.28794439094878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10.19752629576058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10.19752629576058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-1.1368683772161603E-13</v>
      </c>
      <c r="DP187" s="17">
        <f>DO187*VLOOKUP('Données projet'!$B$14,Paramètres!$A$1:$I$89,3,0)*VLOOKUP('Données projet'!$B$14,Paramètres!$A$1:$I$89,5,0)</f>
        <v>-9.7543306765146564E-14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203.34232675618244</v>
      </c>
      <c r="DU187" s="59">
        <f t="shared" si="152"/>
        <v>176.81257896138806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19.382567214824455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19.382567214824455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2.8421709430404007E-14</v>
      </c>
      <c r="EK187" s="17">
        <f>EJ187*VLOOKUP('Données projet'!$B$15,Paramètres!$A$1:$I$89,3,0)*VLOOKUP('Données projet'!$B$15,Paramètres!$A$1:$I$89,5,0)</f>
        <v>2.7489477361086758E-14</v>
      </c>
      <c r="EL187" s="13">
        <f t="shared" si="179"/>
        <v>4.7995394886724981E-13</v>
      </c>
      <c r="EM187" s="20">
        <f t="shared" si="180"/>
        <v>8.8379730068101964E-13</v>
      </c>
      <c r="EN187" s="59">
        <f t="shared" si="128"/>
        <v>293.33333333333422</v>
      </c>
      <c r="EO187" s="59">
        <f ca="1">AVERAGE(OFFSET($EN$3,0,0,'Données projet'!$E$15+1,1))-AVERAGE(OFFSET($H$3,0,0,'Données projet'!$E$15+1,1))</f>
        <v>218.78765033569107</v>
      </c>
      <c r="EP187" s="59">
        <f t="shared" si="154"/>
        <v>246.54010105494137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170.80796812111521</v>
      </c>
      <c r="FK187" s="59">
        <f t="shared" si="156"/>
        <v>249.84047400410321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0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333.02360594713667</v>
      </c>
      <c r="T188" s="59">
        <f t="shared" si="142"/>
        <v>546.58234447298014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10.813182561382252</v>
      </c>
      <c r="AA188" s="21">
        <f>EXP(-LN(2)/25)*AA187+(1-EXP(-LN(2)/25))/(LN(2)/25)*Calculateur!V188*Calculateur!X188*VLOOKUP('Données projet'!$B$9,Paramètres!$A$1:$I$89,3,0)*0.475*44/12</f>
        <v>1.8212679991241552</v>
      </c>
      <c r="AB188" s="21">
        <f>EXP(-LN(2)/2)*AB187+(1-EXP(-LN(2)/2))/(LN(2)/2)*V188*Y188*VLOOKUP('Données projet'!$B$9,Paramètres!$A$1:$I$89,3,0)*0.475*44/12</f>
        <v>3.5058650640905995E-20</v>
      </c>
      <c r="AC188" s="22">
        <f t="shared" si="163"/>
        <v>12.634450560506407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-9.9316821433603781E-14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243.26825841283591</v>
      </c>
      <c r="AO188" s="59">
        <f t="shared" si="144"/>
        <v>179.2944312100729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14.503969767703429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14.503969767703429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-4.1677594708744434E-14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146.45728988963538</v>
      </c>
      <c r="BJ188" s="59">
        <f t="shared" si="146"/>
        <v>156.91778940341118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6.0851757118879082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6.0851757118879082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-4.0000000000001137</v>
      </c>
      <c r="BZ188" s="13">
        <f>BY188*VLOOKUP('Données projet'!$B$12,Paramètres!$A$1:$I$89,3,0)*VLOOKUP('Données projet'!$B$12,Paramètres!$A$1:$I$89,5,0)</f>
        <v>-3.1824000000000909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238.71022302719206</v>
      </c>
      <c r="CE188" s="59">
        <f t="shared" si="148"/>
        <v>294.28794439094878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10.123035007598657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10.123035007598657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-9.0449248091317723E-14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238.71022302719206</v>
      </c>
      <c r="CZ188" s="59">
        <f t="shared" si="150"/>
        <v>294.28794439094878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9.9975590249775941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9.9975590249775941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-1.1368683772161603E-13</v>
      </c>
      <c r="DP188" s="17">
        <f>DO188*VLOOKUP('Données projet'!$B$14,Paramètres!$A$1:$I$89,3,0)*VLOOKUP('Données projet'!$B$14,Paramètres!$A$1:$I$89,5,0)</f>
        <v>-9.7543306765146564E-14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203.34232675618244</v>
      </c>
      <c r="DU188" s="59">
        <f t="shared" si="152"/>
        <v>176.81257896138806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19.002486893940404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19.002486893940404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2.8421709430404007E-14</v>
      </c>
      <c r="EK188" s="17">
        <f>EJ188*VLOOKUP('Données projet'!$B$15,Paramètres!$A$1:$I$89,3,0)*VLOOKUP('Données projet'!$B$15,Paramètres!$A$1:$I$89,5,0)</f>
        <v>2.7489477361086758E-14</v>
      </c>
      <c r="EL188" s="13">
        <f t="shared" si="179"/>
        <v>4.7995394886724981E-13</v>
      </c>
      <c r="EM188" s="20">
        <f t="shared" si="180"/>
        <v>8.8379730068101964E-13</v>
      </c>
      <c r="EN188" s="59">
        <f t="shared" si="128"/>
        <v>293.33333333333422</v>
      </c>
      <c r="EO188" s="59">
        <f ca="1">AVERAGE(OFFSET($EN$3,0,0,'Données projet'!$E$15+1,1))-AVERAGE(OFFSET($H$3,0,0,'Données projet'!$E$15+1,1))</f>
        <v>218.78765033569107</v>
      </c>
      <c r="EP188" s="59">
        <f t="shared" si="154"/>
        <v>246.54010105494137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170.80796812111521</v>
      </c>
      <c r="FK188" s="59">
        <f t="shared" si="156"/>
        <v>249.84047400410321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0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333.02360594713667</v>
      </c>
      <c r="T189" s="59">
        <f t="shared" si="142"/>
        <v>546.58234447298014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10.601142646743668</v>
      </c>
      <c r="AA189" s="21">
        <f>EXP(-LN(2)/25)*AA188+(1-EXP(-LN(2)/25))/(LN(2)/25)*Calculateur!V189*Calculateur!X189*VLOOKUP('Données projet'!$B$9,Paramètres!$A$1:$I$89,3,0)*0.475*44/12</f>
        <v>1.7714653299117835</v>
      </c>
      <c r="AB189" s="21">
        <f>EXP(-LN(2)/2)*AB188+(1-EXP(-LN(2)/2))/(LN(2)/2)*V189*Y189*VLOOKUP('Données projet'!$B$9,Paramètres!$A$1:$I$89,3,0)*0.475*44/12</f>
        <v>2.479020960743473E-20</v>
      </c>
      <c r="AC189" s="22">
        <f t="shared" si="163"/>
        <v>12.372607976655452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-9.9316821433603781E-14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243.26825841283591</v>
      </c>
      <c r="AO189" s="59">
        <f t="shared" si="144"/>
        <v>179.2944312100729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14.219555767106799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14.219555767106799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-4.1677594708744434E-14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146.45728988963538</v>
      </c>
      <c r="BJ189" s="59">
        <f t="shared" si="146"/>
        <v>156.91778940341118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5.9658491277684815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5.9658491277684815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-4.0000000000001137</v>
      </c>
      <c r="BZ189" s="13">
        <f>BY189*VLOOKUP('Données projet'!$B$12,Paramètres!$A$1:$I$89,3,0)*VLOOKUP('Données projet'!$B$12,Paramètres!$A$1:$I$89,5,0)</f>
        <v>-3.1824000000000909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238.71022302719206</v>
      </c>
      <c r="CE189" s="59">
        <f t="shared" si="148"/>
        <v>294.28794439094878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9.9245284655413268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9.9245284655413268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-9.0449248091317723E-14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238.71022302719206</v>
      </c>
      <c r="CZ189" s="59">
        <f t="shared" si="150"/>
        <v>294.28794439094878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9.8015129904066693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9.8015129904066693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-1.1368683772161603E-13</v>
      </c>
      <c r="DP189" s="17">
        <f>DO189*VLOOKUP('Données projet'!$B$14,Paramètres!$A$1:$I$89,3,0)*VLOOKUP('Données projet'!$B$14,Paramètres!$A$1:$I$89,5,0)</f>
        <v>-9.7543306765146564E-14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203.34232675618244</v>
      </c>
      <c r="DU189" s="59">
        <f t="shared" si="152"/>
        <v>176.81257896138806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18.629859716322784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18.629859716322784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2.8421709430404007E-14</v>
      </c>
      <c r="EK189" s="17">
        <f>EJ189*VLOOKUP('Données projet'!$B$15,Paramètres!$A$1:$I$89,3,0)*VLOOKUP('Données projet'!$B$15,Paramètres!$A$1:$I$89,5,0)</f>
        <v>2.7489477361086758E-14</v>
      </c>
      <c r="EL189" s="13">
        <f t="shared" si="179"/>
        <v>4.7995394886724981E-13</v>
      </c>
      <c r="EM189" s="20">
        <f t="shared" si="180"/>
        <v>8.8379730068101964E-13</v>
      </c>
      <c r="EN189" s="59">
        <f t="shared" si="128"/>
        <v>293.33333333333422</v>
      </c>
      <c r="EO189" s="59">
        <f ca="1">AVERAGE(OFFSET($EN$3,0,0,'Données projet'!$E$15+1,1))-AVERAGE(OFFSET($H$3,0,0,'Données projet'!$E$15+1,1))</f>
        <v>218.78765033569107</v>
      </c>
      <c r="EP189" s="59">
        <f t="shared" si="154"/>
        <v>246.54010105494137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170.80796812111521</v>
      </c>
      <c r="FK189" s="59">
        <f t="shared" si="156"/>
        <v>249.84047400410321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0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333.02360594713667</v>
      </c>
      <c r="T190" s="59">
        <f t="shared" si="142"/>
        <v>546.58234447298014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10.39326070549957</v>
      </c>
      <c r="AA190" s="21">
        <f>EXP(-LN(2)/25)*AA189+(1-EXP(-LN(2)/25))/(LN(2)/25)*Calculateur!V190*Calculateur!X190*VLOOKUP('Données projet'!$B$9,Paramètres!$A$1:$I$89,3,0)*0.475*44/12</f>
        <v>1.7230245173080327</v>
      </c>
      <c r="AB190" s="21">
        <f>EXP(-LN(2)/2)*AB189+(1-EXP(-LN(2)/2))/(LN(2)/2)*V190*Y190*VLOOKUP('Données projet'!$B$9,Paramètres!$A$1:$I$89,3,0)*0.475*44/12</f>
        <v>1.7529325320452997E-20</v>
      </c>
      <c r="AC190" s="22">
        <f t="shared" si="163"/>
        <v>12.116285222807603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-9.9316821433603781E-14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243.26825841283591</v>
      </c>
      <c r="AO190" s="59">
        <f t="shared" si="144"/>
        <v>179.2944312100729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13.940718951586458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13.940718951586458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-4.1677594708744434E-14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146.45728988963538</v>
      </c>
      <c r="BJ190" s="59">
        <f t="shared" si="146"/>
        <v>156.91778940341118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5.8488624651816075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5.8488624651816075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-4.0000000000001137</v>
      </c>
      <c r="BZ190" s="13">
        <f>BY190*VLOOKUP('Données projet'!$B$12,Paramètres!$A$1:$I$89,3,0)*VLOOKUP('Données projet'!$B$12,Paramètres!$A$1:$I$89,5,0)</f>
        <v>-3.1824000000000909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238.71022302719206</v>
      </c>
      <c r="CE190" s="59">
        <f t="shared" si="148"/>
        <v>294.28794439094878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9.7299145156967057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9.7299145156967057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-9.0449248091317723E-14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238.71022302719206</v>
      </c>
      <c r="CZ190" s="59">
        <f t="shared" si="150"/>
        <v>294.28794439094878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9.6093112989974081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9.6093112989974081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-1.1368683772161603E-13</v>
      </c>
      <c r="DP190" s="17">
        <f>DO190*VLOOKUP('Données projet'!$B$14,Paramètres!$A$1:$I$89,3,0)*VLOOKUP('Données projet'!$B$14,Paramètres!$A$1:$I$89,5,0)</f>
        <v>-9.7543306765146564E-14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203.34232675618244</v>
      </c>
      <c r="DU190" s="59">
        <f t="shared" si="152"/>
        <v>176.81257896138806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18.264539530378109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18.264539530378109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2.8421709430404007E-14</v>
      </c>
      <c r="EK190" s="17">
        <f>EJ190*VLOOKUP('Données projet'!$B$15,Paramètres!$A$1:$I$89,3,0)*VLOOKUP('Données projet'!$B$15,Paramètres!$A$1:$I$89,5,0)</f>
        <v>2.7489477361086758E-14</v>
      </c>
      <c r="EL190" s="13">
        <f t="shared" si="179"/>
        <v>4.7995394886724981E-13</v>
      </c>
      <c r="EM190" s="20">
        <f t="shared" si="180"/>
        <v>8.8379730068101964E-13</v>
      </c>
      <c r="EN190" s="59">
        <f t="shared" si="128"/>
        <v>293.33333333333422</v>
      </c>
      <c r="EO190" s="59">
        <f ca="1">AVERAGE(OFFSET($EN$3,0,0,'Données projet'!$E$15+1,1))-AVERAGE(OFFSET($H$3,0,0,'Données projet'!$E$15+1,1))</f>
        <v>218.78765033569107</v>
      </c>
      <c r="EP190" s="59">
        <f t="shared" si="154"/>
        <v>246.54010105494137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170.80796812111521</v>
      </c>
      <c r="FK190" s="59">
        <f t="shared" si="156"/>
        <v>249.84047400410321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0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333.02360594713667</v>
      </c>
      <c r="T191" s="59">
        <f t="shared" si="142"/>
        <v>546.58234447298014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10.189455202327803</v>
      </c>
      <c r="AA191" s="21">
        <f>EXP(-LN(2)/25)*AA190+(1-EXP(-LN(2)/25))/(LN(2)/25)*Calculateur!V191*Calculateur!X191*VLOOKUP('Données projet'!$B$9,Paramètres!$A$1:$I$89,3,0)*0.475*44/12</f>
        <v>1.6759083212723231</v>
      </c>
      <c r="AB191" s="21">
        <f>EXP(-LN(2)/2)*AB190+(1-EXP(-LN(2)/2))/(LN(2)/2)*V191*Y191*VLOOKUP('Données projet'!$B$9,Paramètres!$A$1:$I$89,3,0)*0.475*44/12</f>
        <v>1.2395104803717365E-20</v>
      </c>
      <c r="AC191" s="22">
        <f t="shared" si="163"/>
        <v>11.865363523600127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-9.9316821433603781E-14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243.26825841283591</v>
      </c>
      <c r="AO191" s="59">
        <f t="shared" si="144"/>
        <v>179.2944312100729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13.667349955944808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13.667349955944808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-4.1677594708744434E-14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146.45728988963538</v>
      </c>
      <c r="BJ191" s="59">
        <f t="shared" si="146"/>
        <v>156.91778940341118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5.7341698396932435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5.7341698396932435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-4.0000000000001137</v>
      </c>
      <c r="BZ191" s="13">
        <f>BY191*VLOOKUP('Données projet'!$B$12,Paramètres!$A$1:$I$89,3,0)*VLOOKUP('Données projet'!$B$12,Paramètres!$A$1:$I$89,5,0)</f>
        <v>-3.1824000000000909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238.71022302719206</v>
      </c>
      <c r="CE191" s="59">
        <f t="shared" si="148"/>
        <v>294.28794439094878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9.5391168267057491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9.5391168267057491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-9.0449248091317723E-14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238.71022302719206</v>
      </c>
      <c r="CZ191" s="59">
        <f t="shared" si="150"/>
        <v>294.28794439094878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9.420878565525225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9.420878565525225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-1.1368683772161603E-13</v>
      </c>
      <c r="DP191" s="17">
        <f>DO191*VLOOKUP('Données projet'!$B$14,Paramètres!$A$1:$I$89,3,0)*VLOOKUP('Données projet'!$B$14,Paramètres!$A$1:$I$89,5,0)</f>
        <v>-9.7543306765146564E-14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203.34232675618244</v>
      </c>
      <c r="DU191" s="59">
        <f t="shared" si="152"/>
        <v>176.81257896138806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17.906383050456498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17.906383050456498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2.8421709430404007E-14</v>
      </c>
      <c r="EK191" s="17">
        <f>EJ191*VLOOKUP('Données projet'!$B$15,Paramètres!$A$1:$I$89,3,0)*VLOOKUP('Données projet'!$B$15,Paramètres!$A$1:$I$89,5,0)</f>
        <v>2.7489477361086758E-14</v>
      </c>
      <c r="EL191" s="13">
        <f t="shared" si="179"/>
        <v>4.7995394886724981E-13</v>
      </c>
      <c r="EM191" s="20">
        <f t="shared" si="180"/>
        <v>8.8379730068101964E-13</v>
      </c>
      <c r="EN191" s="59">
        <f t="shared" si="128"/>
        <v>293.33333333333422</v>
      </c>
      <c r="EO191" s="59">
        <f ca="1">AVERAGE(OFFSET($EN$3,0,0,'Données projet'!$E$15+1,1))-AVERAGE(OFFSET($H$3,0,0,'Données projet'!$E$15+1,1))</f>
        <v>218.78765033569107</v>
      </c>
      <c r="EP191" s="59">
        <f t="shared" si="154"/>
        <v>246.54010105494137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170.80796812111521</v>
      </c>
      <c r="FK191" s="59">
        <f t="shared" si="156"/>
        <v>249.84047400410321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0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333.02360594713667</v>
      </c>
      <c r="T192" s="59">
        <f t="shared" si="142"/>
        <v>546.58234447298014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9.9896462007641524</v>
      </c>
      <c r="AA192" s="21">
        <f>EXP(-LN(2)/25)*AA191+(1-EXP(-LN(2)/25))/(LN(2)/25)*Calculateur!V192*Calculateur!X192*VLOOKUP('Données projet'!$B$9,Paramètres!$A$1:$I$89,3,0)*0.475*44/12</f>
        <v>1.6300805200949431</v>
      </c>
      <c r="AB192" s="21">
        <f>EXP(-LN(2)/2)*AB191+(1-EXP(-LN(2)/2))/(LN(2)/2)*V192*Y192*VLOOKUP('Données projet'!$B$9,Paramètres!$A$1:$I$89,3,0)*0.475*44/12</f>
        <v>8.7646626602264987E-21</v>
      </c>
      <c r="AC192" s="22">
        <f t="shared" si="163"/>
        <v>11.619726720859095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-9.9316821433603781E-14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243.26825841283591</v>
      </c>
      <c r="AO192" s="59">
        <f t="shared" si="144"/>
        <v>179.2944312100729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13.399341559569066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13.399341559569066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-4.1677594708744434E-14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146.45728988963538</v>
      </c>
      <c r="BJ192" s="59">
        <f t="shared" si="146"/>
        <v>156.91778940341118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5.621726266635112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5.621726266635112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-4.0000000000001137</v>
      </c>
      <c r="BZ192" s="13">
        <f>BY192*VLOOKUP('Données projet'!$B$12,Paramètres!$A$1:$I$89,3,0)*VLOOKUP('Données projet'!$B$12,Paramètres!$A$1:$I$89,5,0)</f>
        <v>-3.1824000000000909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238.71022302719206</v>
      </c>
      <c r="CE192" s="59">
        <f t="shared" si="148"/>
        <v>294.28794439094878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9.352060564020805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9.352060564020805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-9.0449248091317723E-14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238.71022302719206</v>
      </c>
      <c r="CZ192" s="59">
        <f t="shared" si="150"/>
        <v>294.28794439094878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9.236140883023813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9.236140883023813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-1.1368683772161603E-13</v>
      </c>
      <c r="DP192" s="17">
        <f>DO192*VLOOKUP('Données projet'!$B$14,Paramètres!$A$1:$I$89,3,0)*VLOOKUP('Données projet'!$B$14,Paramètres!$A$1:$I$89,5,0)</f>
        <v>-9.7543306765146564E-14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203.34232675618244</v>
      </c>
      <c r="DU192" s="59">
        <f t="shared" si="152"/>
        <v>176.81257896138806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17.555249800652266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17.555249800652266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2.8421709430404007E-14</v>
      </c>
      <c r="EK192" s="17">
        <f>EJ192*VLOOKUP('Données projet'!$B$15,Paramètres!$A$1:$I$89,3,0)*VLOOKUP('Données projet'!$B$15,Paramètres!$A$1:$I$89,5,0)</f>
        <v>2.7489477361086758E-14</v>
      </c>
      <c r="EL192" s="13">
        <f t="shared" si="179"/>
        <v>4.7995394886724981E-13</v>
      </c>
      <c r="EM192" s="20">
        <f t="shared" si="180"/>
        <v>8.8379730068101964E-13</v>
      </c>
      <c r="EN192" s="59">
        <f t="shared" si="128"/>
        <v>293.33333333333422</v>
      </c>
      <c r="EO192" s="59">
        <f ca="1">AVERAGE(OFFSET($EN$3,0,0,'Données projet'!$E$15+1,1))-AVERAGE(OFFSET($H$3,0,0,'Données projet'!$E$15+1,1))</f>
        <v>218.78765033569107</v>
      </c>
      <c r="EP192" s="59">
        <f t="shared" si="154"/>
        <v>246.54010105494137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170.80796812111521</v>
      </c>
      <c r="FK192" s="59">
        <f t="shared" si="156"/>
        <v>249.84047400410321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0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333.02360594713667</v>
      </c>
      <c r="T193" s="59">
        <f t="shared" si="142"/>
        <v>546.58234447298014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9.7937553318497077</v>
      </c>
      <c r="AA193" s="21">
        <f>EXP(-LN(2)/25)*AA192+(1-EXP(-LN(2)/25))/(LN(2)/25)*Calculateur!V193*Calculateur!X193*VLOOKUP('Données projet'!$B$9,Paramètres!$A$1:$I$89,3,0)*0.475*44/12</f>
        <v>1.585505882550738</v>
      </c>
      <c r="AB193" s="21">
        <f>EXP(-LN(2)/2)*AB192+(1-EXP(-LN(2)/2))/(LN(2)/2)*V193*Y193*VLOOKUP('Données projet'!$B$9,Paramètres!$A$1:$I$89,3,0)*0.475*44/12</f>
        <v>6.1975524018586825E-21</v>
      </c>
      <c r="AC193" s="22">
        <f t="shared" si="163"/>
        <v>11.379261214400445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-9.9316821433603781E-14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243.26825841283591</v>
      </c>
      <c r="AO193" s="59">
        <f t="shared" si="144"/>
        <v>179.2944312100729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13.136588644377273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13.136588644377273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-4.1677594708744434E-14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146.45728988963538</v>
      </c>
      <c r="BJ193" s="59">
        <f t="shared" si="146"/>
        <v>156.91778940341118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5.5114876434608426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5.5114876434608426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-4.0000000000001137</v>
      </c>
      <c r="BZ193" s="13">
        <f>BY193*VLOOKUP('Données projet'!$B$12,Paramètres!$A$1:$I$89,3,0)*VLOOKUP('Données projet'!$B$12,Paramètres!$A$1:$I$89,5,0)</f>
        <v>-3.1824000000000909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238.71022302719206</v>
      </c>
      <c r="CE193" s="59">
        <f t="shared" si="148"/>
        <v>294.28794439094878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9.1686723605540585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9.1686723605540585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-9.0449248091317723E-14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238.71022302719206</v>
      </c>
      <c r="CZ193" s="59">
        <f t="shared" si="150"/>
        <v>294.28794439094878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9.0550257937973946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9.0550257937973946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-1.1368683772161603E-13</v>
      </c>
      <c r="DP193" s="17">
        <f>DO193*VLOOKUP('Données projet'!$B$14,Paramètres!$A$1:$I$89,3,0)*VLOOKUP('Données projet'!$B$14,Paramètres!$A$1:$I$89,5,0)</f>
        <v>-9.7543306765146564E-14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203.34232675618244</v>
      </c>
      <c r="DU193" s="59">
        <f t="shared" si="152"/>
        <v>176.81257896138806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17.211002059706562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17.211002059706562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2.8421709430404007E-14</v>
      </c>
      <c r="EK193" s="17">
        <f>EJ193*VLOOKUP('Données projet'!$B$15,Paramètres!$A$1:$I$89,3,0)*VLOOKUP('Données projet'!$B$15,Paramètres!$A$1:$I$89,5,0)</f>
        <v>2.7489477361086758E-14</v>
      </c>
      <c r="EL193" s="13">
        <f t="shared" si="179"/>
        <v>4.7995394886724981E-13</v>
      </c>
      <c r="EM193" s="20">
        <f t="shared" si="180"/>
        <v>8.8379730068101964E-13</v>
      </c>
      <c r="EN193" s="59">
        <f t="shared" si="128"/>
        <v>293.33333333333422</v>
      </c>
      <c r="EO193" s="59">
        <f ca="1">AVERAGE(OFFSET($EN$3,0,0,'Données projet'!$E$15+1,1))-AVERAGE(OFFSET($H$3,0,0,'Données projet'!$E$15+1,1))</f>
        <v>218.78765033569107</v>
      </c>
      <c r="EP193" s="59">
        <f t="shared" si="154"/>
        <v>246.54010105494137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170.80796812111521</v>
      </c>
      <c r="FK193" s="59">
        <f t="shared" si="156"/>
        <v>249.84047400410321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0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333.02360594713667</v>
      </c>
      <c r="T194" s="59">
        <f t="shared" si="142"/>
        <v>546.58234447298014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9.6017057633930438</v>
      </c>
      <c r="AA194" s="21">
        <f>EXP(-LN(2)/25)*AA193+(1-EXP(-LN(2)/25))/(LN(2)/25)*Calculateur!V194*Calculateur!X194*VLOOKUP('Données projet'!$B$9,Paramètres!$A$1:$I$89,3,0)*0.475*44/12</f>
        <v>1.5421501408142575</v>
      </c>
      <c r="AB194" s="21">
        <f>EXP(-LN(2)/2)*AB193+(1-EXP(-LN(2)/2))/(LN(2)/2)*V194*Y194*VLOOKUP('Données projet'!$B$9,Paramètres!$A$1:$I$89,3,0)*0.475*44/12</f>
        <v>4.3823313301132494E-21</v>
      </c>
      <c r="AC194" s="22">
        <f t="shared" si="163"/>
        <v>11.143855904207301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-9.9316821433603781E-14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243.26825841283591</v>
      </c>
      <c r="AO194" s="59">
        <f t="shared" si="144"/>
        <v>179.2944312100729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12.878988153588937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12.878988153588937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-4.1677594708744434E-14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146.45728988963538</v>
      </c>
      <c r="BJ194" s="59">
        <f t="shared" si="146"/>
        <v>156.91778940341118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5.4034107324481004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5.4034107324481004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-4.0000000000001137</v>
      </c>
      <c r="BZ194" s="13">
        <f>BY194*VLOOKUP('Données projet'!$B$12,Paramètres!$A$1:$I$89,3,0)*VLOOKUP('Données projet'!$B$12,Paramètres!$A$1:$I$89,5,0)</f>
        <v>-3.1824000000000909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238.71022302719206</v>
      </c>
      <c r="CE194" s="59">
        <f t="shared" si="148"/>
        <v>294.28794439094878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8.9888802879015355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8.9888802879015355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-9.0449248091317723E-14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238.71022302719206</v>
      </c>
      <c r="CZ194" s="59">
        <f t="shared" si="150"/>
        <v>294.28794439094878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8.8774622610014085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8.8774622610014085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-1.1368683772161603E-13</v>
      </c>
      <c r="DP194" s="17">
        <f>DO194*VLOOKUP('Données projet'!$B$14,Paramètres!$A$1:$I$89,3,0)*VLOOKUP('Données projet'!$B$14,Paramètres!$A$1:$I$89,5,0)</f>
        <v>-9.7543306765146564E-14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203.34232675618244</v>
      </c>
      <c r="DU194" s="59">
        <f t="shared" si="152"/>
        <v>176.81257896138806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16.873504806990415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16.873504806990415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2.8421709430404007E-14</v>
      </c>
      <c r="EK194" s="17">
        <f>EJ194*VLOOKUP('Données projet'!$B$15,Paramètres!$A$1:$I$89,3,0)*VLOOKUP('Données projet'!$B$15,Paramètres!$A$1:$I$89,5,0)</f>
        <v>2.7489477361086758E-14</v>
      </c>
      <c r="EL194" s="13">
        <f t="shared" si="179"/>
        <v>4.7995394886724981E-13</v>
      </c>
      <c r="EM194" s="20">
        <f t="shared" si="180"/>
        <v>8.8379730068101964E-13</v>
      </c>
      <c r="EN194" s="59">
        <f t="shared" si="128"/>
        <v>293.33333333333422</v>
      </c>
      <c r="EO194" s="59">
        <f ca="1">AVERAGE(OFFSET($EN$3,0,0,'Données projet'!$E$15+1,1))-AVERAGE(OFFSET($H$3,0,0,'Données projet'!$E$15+1,1))</f>
        <v>218.78765033569107</v>
      </c>
      <c r="EP194" s="59">
        <f t="shared" si="154"/>
        <v>246.54010105494137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170.80796812111521</v>
      </c>
      <c r="FK194" s="59">
        <f t="shared" si="156"/>
        <v>249.84047400410321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0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333.02360594713667</v>
      </c>
      <c r="T195" s="59">
        <f t="shared" si="142"/>
        <v>546.58234447298014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9.4134221698351439</v>
      </c>
      <c r="AA195" s="21">
        <f>EXP(-LN(2)/25)*AA194+(1-EXP(-LN(2)/25))/(LN(2)/25)*Calculateur!V195*Calculateur!X195*VLOOKUP('Données projet'!$B$9,Paramètres!$A$1:$I$89,3,0)*0.475*44/12</f>
        <v>1.4999799641155402</v>
      </c>
      <c r="AB195" s="21">
        <f>EXP(-LN(2)/2)*AB194+(1-EXP(-LN(2)/2))/(LN(2)/2)*V195*Y195*VLOOKUP('Données projet'!$B$9,Paramètres!$A$1:$I$89,3,0)*0.475*44/12</f>
        <v>3.0987762009293412E-21</v>
      </c>
      <c r="AC195" s="22">
        <f t="shared" si="163"/>
        <v>10.913402133950685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-9.9316821433603781E-14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243.26825841283591</v>
      </c>
      <c r="AO195" s="59">
        <f t="shared" si="144"/>
        <v>179.2944312100729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12.626439051304175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12.626439051304175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-4.1677594708744434E-14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146.45728988963538</v>
      </c>
      <c r="BJ195" s="59">
        <f t="shared" si="146"/>
        <v>156.91778940341118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5.2974531437399115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5.2974531437399115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-4.0000000000001137</v>
      </c>
      <c r="BZ195" s="13">
        <f>BY195*VLOOKUP('Données projet'!$B$12,Paramètres!$A$1:$I$89,3,0)*VLOOKUP('Données projet'!$B$12,Paramètres!$A$1:$I$89,5,0)</f>
        <v>-3.1824000000000909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238.71022302719206</v>
      </c>
      <c r="CE195" s="59">
        <f t="shared" si="148"/>
        <v>294.28794439094878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8.8126138281313935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8.8126138281313935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-9.0449248091317723E-14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238.71022302719206</v>
      </c>
      <c r="CZ195" s="59">
        <f t="shared" si="150"/>
        <v>294.28794439094878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8.703380640780491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8.703380640780491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-1.1368683772161603E-13</v>
      </c>
      <c r="DP195" s="17">
        <f>DO195*VLOOKUP('Données projet'!$B$14,Paramètres!$A$1:$I$89,3,0)*VLOOKUP('Données projet'!$B$14,Paramètres!$A$1:$I$89,5,0)</f>
        <v>-9.7543306765146564E-14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203.34232675618244</v>
      </c>
      <c r="DU195" s="59">
        <f t="shared" si="152"/>
        <v>176.81257896138806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16.542625669547032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16.542625669547032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2.8421709430404007E-14</v>
      </c>
      <c r="EK195" s="17">
        <f>EJ195*VLOOKUP('Données projet'!$B$15,Paramètres!$A$1:$I$89,3,0)*VLOOKUP('Données projet'!$B$15,Paramètres!$A$1:$I$89,5,0)</f>
        <v>2.7489477361086758E-14</v>
      </c>
      <c r="EL195" s="13">
        <f t="shared" si="179"/>
        <v>4.7995394886724981E-13</v>
      </c>
      <c r="EM195" s="20">
        <f t="shared" si="180"/>
        <v>8.8379730068101964E-13</v>
      </c>
      <c r="EN195" s="59">
        <f t="shared" si="128"/>
        <v>293.33333333333422</v>
      </c>
      <c r="EO195" s="59">
        <f ca="1">AVERAGE(OFFSET($EN$3,0,0,'Données projet'!$E$15+1,1))-AVERAGE(OFFSET($H$3,0,0,'Données projet'!$E$15+1,1))</f>
        <v>218.78765033569107</v>
      </c>
      <c r="EP195" s="59">
        <f t="shared" si="154"/>
        <v>246.54010105494137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170.80796812111521</v>
      </c>
      <c r="FK195" s="59">
        <f t="shared" si="156"/>
        <v>249.84047400410321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0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333.02360594713667</v>
      </c>
      <c r="T196" s="59">
        <f t="shared" si="142"/>
        <v>546.58234447298014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9.2288307027052632</v>
      </c>
      <c r="AA196" s="21">
        <f>EXP(-LN(2)/25)*AA195+(1-EXP(-LN(2)/25))/(LN(2)/25)*Calculateur!V196*Calculateur!X196*VLOOKUP('Données projet'!$B$9,Paramètres!$A$1:$I$89,3,0)*0.475*44/12</f>
        <v>1.4589629331162828</v>
      </c>
      <c r="AB196" s="21">
        <f>EXP(-LN(2)/2)*AB195+(1-EXP(-LN(2)/2))/(LN(2)/2)*V196*Y196*VLOOKUP('Données projet'!$B$9,Paramètres!$A$1:$I$89,3,0)*0.475*44/12</f>
        <v>2.1911656650566247E-21</v>
      </c>
      <c r="AC196" s="22">
        <f t="shared" si="163"/>
        <v>10.687793635821546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-9.9316821433603781E-14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243.26825841283591</v>
      </c>
      <c r="AO196" s="59">
        <f t="shared" si="144"/>
        <v>179.2944312100729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12.378842282875475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12.378842282875475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-4.1677594708744434E-14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146.45728988963538</v>
      </c>
      <c r="BJ196" s="59">
        <f t="shared" si="146"/>
        <v>156.91778940341118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5.193573318718542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5.193573318718542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-4.0000000000001137</v>
      </c>
      <c r="BZ196" s="13">
        <f>BY196*VLOOKUP('Données projet'!$B$12,Paramètres!$A$1:$I$89,3,0)*VLOOKUP('Données projet'!$B$12,Paramètres!$A$1:$I$89,5,0)</f>
        <v>-3.1824000000000909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238.71022302719206</v>
      </c>
      <c r="CE196" s="59">
        <f t="shared" si="148"/>
        <v>294.28794439094878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8.6398038461254192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8.6398038461254192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-9.0449248091317723E-14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238.71022302719206</v>
      </c>
      <c r="CZ196" s="59">
        <f t="shared" si="150"/>
        <v>294.28794439094878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8.5327126549528014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8.5327126549528014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-1.1368683772161603E-13</v>
      </c>
      <c r="DP196" s="17">
        <f>DO196*VLOOKUP('Données projet'!$B$14,Paramètres!$A$1:$I$89,3,0)*VLOOKUP('Données projet'!$B$14,Paramètres!$A$1:$I$89,5,0)</f>
        <v>-9.7543306765146564E-14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203.34232675618244</v>
      </c>
      <c r="DU196" s="59">
        <f t="shared" si="152"/>
        <v>176.81257896138806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16.218234870172569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16.218234870172569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2.8421709430404007E-14</v>
      </c>
      <c r="EK196" s="17">
        <f>EJ196*VLOOKUP('Données projet'!$B$15,Paramètres!$A$1:$I$89,3,0)*VLOOKUP('Données projet'!$B$15,Paramètres!$A$1:$I$89,5,0)</f>
        <v>2.7489477361086758E-14</v>
      </c>
      <c r="EL196" s="13">
        <f t="shared" si="179"/>
        <v>4.7995394886724981E-13</v>
      </c>
      <c r="EM196" s="20">
        <f t="shared" si="180"/>
        <v>8.8379730068101964E-13</v>
      </c>
      <c r="EN196" s="59">
        <f t="shared" ref="EN196:EN203" si="198">EM196+(EE196+EF196)*44/12</f>
        <v>293.33333333333422</v>
      </c>
      <c r="EO196" s="59">
        <f ca="1">AVERAGE(OFFSET($EN$3,0,0,'Données projet'!$E$15+1,1))-AVERAGE(OFFSET($H$3,0,0,'Données projet'!$E$15+1,1))</f>
        <v>218.78765033569107</v>
      </c>
      <c r="EP196" s="59">
        <f t="shared" si="154"/>
        <v>246.54010105494137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170.80796812111521</v>
      </c>
      <c r="FK196" s="59">
        <f t="shared" si="156"/>
        <v>249.84047400410321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0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333.02360594713667</v>
      </c>
      <c r="T197" s="59">
        <f t="shared" ref="T197:T203" si="204">$T$3</f>
        <v>546.58234447298014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9.0478589616561216</v>
      </c>
      <c r="AA197" s="21">
        <f>EXP(-LN(2)/25)*AA196+(1-EXP(-LN(2)/25))/(LN(2)/25)*Calculateur!V197*Calculateur!X197*VLOOKUP('Données projet'!$B$9,Paramètres!$A$1:$I$89,3,0)*0.475*44/12</f>
        <v>1.4190675149866918</v>
      </c>
      <c r="AB197" s="21">
        <f>EXP(-LN(2)/2)*AB196+(1-EXP(-LN(2)/2))/(LN(2)/2)*V197*Y197*VLOOKUP('Données projet'!$B$9,Paramètres!$A$1:$I$89,3,0)*0.475*44/12</f>
        <v>1.5493881004646706E-21</v>
      </c>
      <c r="AC197" s="22">
        <f t="shared" si="163"/>
        <v>10.466926476642813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-9.9316821433603781E-14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243.26825841283591</v>
      </c>
      <c r="AO197" s="59">
        <f t="shared" ref="AO197:AO203" si="205">$AO$3</f>
        <v>179.2944312100729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12.136100736056544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12.136100736056544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-4.1677594708744434E-14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146.45728988963538</v>
      </c>
      <c r="BJ197" s="59">
        <f t="shared" ref="BJ197:BJ203" si="206">$BJ$3</f>
        <v>156.91778940341118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5.0917305137054045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5.0917305137054045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-4.0000000000001137</v>
      </c>
      <c r="BZ197" s="13">
        <f>BY197*VLOOKUP('Données projet'!$B$12,Paramètres!$A$1:$I$89,3,0)*VLOOKUP('Données projet'!$B$12,Paramètres!$A$1:$I$89,5,0)</f>
        <v>-3.1824000000000909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238.71022302719206</v>
      </c>
      <c r="CE197" s="59">
        <f t="shared" ref="CE197:CE203" si="207">$CE$3</f>
        <v>294.28794439094878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8.4703825624629001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8.4703825624629001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-9.0449248091317723E-14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238.71022302719206</v>
      </c>
      <c r="CZ197" s="59">
        <f t="shared" ref="CZ197:CZ203" si="208">$CZ$3</f>
        <v>294.28794439094878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8.3653913642300015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8.3653913642300015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-1.1368683772161603E-13</v>
      </c>
      <c r="DP197" s="17">
        <f>DO197*VLOOKUP('Données projet'!$B$14,Paramètres!$A$1:$I$89,3,0)*VLOOKUP('Données projet'!$B$14,Paramètres!$A$1:$I$89,5,0)</f>
        <v>-9.7543306765146564E-14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203.34232675618244</v>
      </c>
      <c r="DU197" s="59">
        <f t="shared" ref="DU197:DU203" si="209">$DU$3</f>
        <v>176.81257896138806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15.900205176514987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15.900205176514987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2.8421709430404007E-14</v>
      </c>
      <c r="EK197" s="17">
        <f>EJ197*VLOOKUP('Données projet'!$B$15,Paramètres!$A$1:$I$89,3,0)*VLOOKUP('Données projet'!$B$15,Paramètres!$A$1:$I$89,5,0)</f>
        <v>2.7489477361086758E-14</v>
      </c>
      <c r="EL197" s="13">
        <f t="shared" si="179"/>
        <v>4.7995394886724981E-13</v>
      </c>
      <c r="EM197" s="20">
        <f t="shared" si="180"/>
        <v>8.8379730068101964E-13</v>
      </c>
      <c r="EN197" s="59">
        <f t="shared" si="198"/>
        <v>293.33333333333422</v>
      </c>
      <c r="EO197" s="59">
        <f ca="1">AVERAGE(OFFSET($EN$3,0,0,'Données projet'!$E$15+1,1))-AVERAGE(OFFSET($H$3,0,0,'Données projet'!$E$15+1,1))</f>
        <v>218.78765033569107</v>
      </c>
      <c r="EP197" s="59">
        <f t="shared" ref="EP197:EP203" si="210">$EP$3</f>
        <v>246.54010105494137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170.80796812111521</v>
      </c>
      <c r="FK197" s="59">
        <f t="shared" ref="FK197:FK203" si="211">$FK$3</f>
        <v>249.84047400410321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0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333.02360594713667</v>
      </c>
      <c r="T198" s="59">
        <f t="shared" si="204"/>
        <v>546.58234447298014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8.87043596606709</v>
      </c>
      <c r="AA198" s="21">
        <f>EXP(-LN(2)/25)*AA197+(1-EXP(-LN(2)/25))/(LN(2)/25)*Calculateur!V198*Calculateur!X198*VLOOKUP('Données projet'!$B$9,Paramètres!$A$1:$I$89,3,0)*0.475*44/12</f>
        <v>1.3802630391638635</v>
      </c>
      <c r="AB198" s="21">
        <f>EXP(-LN(2)/2)*AB197+(1-EXP(-LN(2)/2))/(LN(2)/2)*V198*Y198*VLOOKUP('Données projet'!$B$9,Paramètres!$A$1:$I$89,3,0)*0.475*44/12</f>
        <v>1.0955828325283123E-21</v>
      </c>
      <c r="AC198" s="22">
        <f t="shared" si="163"/>
        <v>10.250699005230953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-9.9316821433603781E-14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243.26825841283591</v>
      </c>
      <c r="AO198" s="59">
        <f t="shared" si="205"/>
        <v>179.2944312100729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11.898119202913009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11.898119202913009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-4.1677594708744434E-14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146.45728988963538</v>
      </c>
      <c r="BJ198" s="59">
        <f t="shared" si="206"/>
        <v>156.91778940341118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4.9918847839805975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4.9918847839805975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-4.0000000000001137</v>
      </c>
      <c r="BZ198" s="13">
        <f>BY198*VLOOKUP('Données projet'!$B$12,Paramètres!$A$1:$I$89,3,0)*VLOOKUP('Données projet'!$B$12,Paramètres!$A$1:$I$89,5,0)</f>
        <v>-3.1824000000000909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238.71022302719206</v>
      </c>
      <c r="CE198" s="59">
        <f t="shared" si="207"/>
        <v>294.28794439094878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8.3042835268362243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8.3042835268362243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-9.0449248091317723E-14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238.71022302719206</v>
      </c>
      <c r="CZ198" s="59">
        <f t="shared" si="208"/>
        <v>294.28794439094878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8.2013511419623644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8.2013511419623644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-1.1368683772161603E-13</v>
      </c>
      <c r="DP198" s="17">
        <f>DO198*VLOOKUP('Données projet'!$B$14,Paramètres!$A$1:$I$89,3,0)*VLOOKUP('Données projet'!$B$14,Paramètres!$A$1:$I$89,5,0)</f>
        <v>-9.7543306765146564E-14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203.34232675618244</v>
      </c>
      <c r="DU198" s="59">
        <f t="shared" si="209"/>
        <v>176.81257896138806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15.588411851171072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15.588411851171072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2.8421709430404007E-14</v>
      </c>
      <c r="EK198" s="17">
        <f>EJ198*VLOOKUP('Données projet'!$B$15,Paramètres!$A$1:$I$89,3,0)*VLOOKUP('Données projet'!$B$15,Paramètres!$A$1:$I$89,5,0)</f>
        <v>2.7489477361086758E-14</v>
      </c>
      <c r="EL198" s="13">
        <f t="shared" si="179"/>
        <v>4.7995394886724981E-13</v>
      </c>
      <c r="EM198" s="20">
        <f t="shared" si="180"/>
        <v>8.8379730068101964E-13</v>
      </c>
      <c r="EN198" s="59">
        <f t="shared" si="198"/>
        <v>293.33333333333422</v>
      </c>
      <c r="EO198" s="59">
        <f ca="1">AVERAGE(OFFSET($EN$3,0,0,'Données projet'!$E$15+1,1))-AVERAGE(OFFSET($H$3,0,0,'Données projet'!$E$15+1,1))</f>
        <v>218.78765033569107</v>
      </c>
      <c r="EP198" s="59">
        <f t="shared" si="210"/>
        <v>246.54010105494137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170.80796812111521</v>
      </c>
      <c r="FK198" s="59">
        <f t="shared" si="211"/>
        <v>249.84047400410321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0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333.02360594713667</v>
      </c>
      <c r="T199" s="59">
        <f t="shared" si="204"/>
        <v>546.58234447298014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8.6964921272042179</v>
      </c>
      <c r="AA199" s="21">
        <f>EXP(-LN(2)/25)*AA198+(1-EXP(-LN(2)/25))/(LN(2)/25)*Calculateur!V199*Calculateur!X199*VLOOKUP('Données projet'!$B$9,Paramètres!$A$1:$I$89,3,0)*0.475*44/12</f>
        <v>1.3425196737730491</v>
      </c>
      <c r="AB199" s="21">
        <f>EXP(-LN(2)/2)*AB198+(1-EXP(-LN(2)/2))/(LN(2)/2)*V199*Y199*VLOOKUP('Données projet'!$B$9,Paramètres!$A$1:$I$89,3,0)*0.475*44/12</f>
        <v>7.7469405023233531E-22</v>
      </c>
      <c r="AC199" s="22">
        <f t="shared" si="163"/>
        <v>10.039011800977267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-9.9316821433603781E-14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243.26825841283591</v>
      </c>
      <c r="AO199" s="59">
        <f t="shared" si="205"/>
        <v>179.2944312100729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11.664804342480016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11.664804342480016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-4.1677594708744434E-14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146.45728988963538</v>
      </c>
      <c r="BJ199" s="59">
        <f t="shared" si="206"/>
        <v>156.91778940341118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4.893996968115812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4.893996968115812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-4.0000000000001137</v>
      </c>
      <c r="BZ199" s="13">
        <f>BY199*VLOOKUP('Données projet'!$B$12,Paramètres!$A$1:$I$89,3,0)*VLOOKUP('Données projet'!$B$12,Paramètres!$A$1:$I$89,5,0)</f>
        <v>-3.1824000000000909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238.71022302719206</v>
      </c>
      <c r="CE199" s="59">
        <f t="shared" si="207"/>
        <v>294.28794439094878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8.1414415919877783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8.1414415919877783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-9.0449248091317723E-14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238.71022302719206</v>
      </c>
      <c r="CZ199" s="59">
        <f t="shared" si="208"/>
        <v>294.28794439094878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8.04052764839874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8.04052764839874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-1.1368683772161603E-13</v>
      </c>
      <c r="DP199" s="17">
        <f>DO199*VLOOKUP('Données projet'!$B$14,Paramètres!$A$1:$I$89,3,0)*VLOOKUP('Données projet'!$B$14,Paramètres!$A$1:$I$89,5,0)</f>
        <v>-9.7543306765146564E-14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203.34232675618244</v>
      </c>
      <c r="DU199" s="59">
        <f t="shared" si="209"/>
        <v>176.81257896138806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15.282732602762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15.282732602762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2.8421709430404007E-14</v>
      </c>
      <c r="EK199" s="17">
        <f>EJ199*VLOOKUP('Données projet'!$B$15,Paramètres!$A$1:$I$89,3,0)*VLOOKUP('Données projet'!$B$15,Paramètres!$A$1:$I$89,5,0)</f>
        <v>2.7489477361086758E-14</v>
      </c>
      <c r="EL199" s="13">
        <f t="shared" si="179"/>
        <v>4.7995394886724981E-13</v>
      </c>
      <c r="EM199" s="20">
        <f t="shared" si="180"/>
        <v>8.8379730068101964E-13</v>
      </c>
      <c r="EN199" s="59">
        <f t="shared" si="198"/>
        <v>293.33333333333422</v>
      </c>
      <c r="EO199" s="59">
        <f ca="1">AVERAGE(OFFSET($EN$3,0,0,'Données projet'!$E$15+1,1))-AVERAGE(OFFSET($H$3,0,0,'Données projet'!$E$15+1,1))</f>
        <v>218.78765033569107</v>
      </c>
      <c r="EP199" s="59">
        <f t="shared" si="210"/>
        <v>246.54010105494137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170.80796812111521</v>
      </c>
      <c r="FK199" s="59">
        <f t="shared" si="211"/>
        <v>249.84047400410321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0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333.02360594713667</v>
      </c>
      <c r="T200" s="59">
        <f t="shared" si="204"/>
        <v>546.58234447298014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8.5259592209261807</v>
      </c>
      <c r="AA200" s="21">
        <f>EXP(-LN(2)/25)*AA199+(1-EXP(-LN(2)/25))/(LN(2)/25)*Calculateur!V200*Calculateur!X200*VLOOKUP('Données projet'!$B$9,Paramètres!$A$1:$I$89,3,0)*0.475*44/12</f>
        <v>1.3058084026936838</v>
      </c>
      <c r="AB200" s="21">
        <f>EXP(-LN(2)/2)*AB199+(1-EXP(-LN(2)/2))/(LN(2)/2)*V200*Y200*VLOOKUP('Données projet'!$B$9,Paramètres!$A$1:$I$89,3,0)*0.475*44/12</f>
        <v>5.4779141626415617E-22</v>
      </c>
      <c r="AC200" s="22">
        <f t="shared" si="163"/>
        <v>9.8317676236198643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-9.9316821433603781E-14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243.26825841283591</v>
      </c>
      <c r="AO200" s="59">
        <f t="shared" si="205"/>
        <v>179.2944312100729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11.436064644152101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11.436064644152101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-4.1677594708744434E-14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146.45728988963538</v>
      </c>
      <c r="BJ200" s="59">
        <f t="shared" si="206"/>
        <v>156.91778940341118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4.7980286726144632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4.7980286726144632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-4.0000000000001137</v>
      </c>
      <c r="BZ200" s="13">
        <f>BY200*VLOOKUP('Données projet'!$B$12,Paramètres!$A$1:$I$89,3,0)*VLOOKUP('Données projet'!$B$12,Paramètres!$A$1:$I$89,5,0)</f>
        <v>-3.1824000000000909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238.71022302719206</v>
      </c>
      <c r="CE200" s="59">
        <f t="shared" si="207"/>
        <v>294.28794439094878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7.9817928881579379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7.9817928881579379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-9.0449248091317723E-14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238.71022302719206</v>
      </c>
      <c r="CZ200" s="59">
        <f t="shared" si="208"/>
        <v>294.28794439094878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7.8828578054512528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7.8828578054512528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-1.1368683772161603E-13</v>
      </c>
      <c r="DP200" s="17">
        <f>DO200*VLOOKUP('Données projet'!$B$14,Paramètres!$A$1:$I$89,3,0)*VLOOKUP('Données projet'!$B$14,Paramètres!$A$1:$I$89,5,0)</f>
        <v>-9.7543306765146564E-14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203.34232675618244</v>
      </c>
      <c r="DU200" s="59">
        <f t="shared" si="209"/>
        <v>176.81257896138806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14.983047537968298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14.983047537968298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2.8421709430404007E-14</v>
      </c>
      <c r="EK200" s="17">
        <f>EJ200*VLOOKUP('Données projet'!$B$15,Paramètres!$A$1:$I$89,3,0)*VLOOKUP('Données projet'!$B$15,Paramètres!$A$1:$I$89,5,0)</f>
        <v>2.7489477361086758E-14</v>
      </c>
      <c r="EL200" s="13">
        <f t="shared" si="179"/>
        <v>4.7995394886724981E-13</v>
      </c>
      <c r="EM200" s="20">
        <f t="shared" si="180"/>
        <v>8.8379730068101964E-13</v>
      </c>
      <c r="EN200" s="59">
        <f t="shared" si="198"/>
        <v>293.33333333333422</v>
      </c>
      <c r="EO200" s="59">
        <f ca="1">AVERAGE(OFFSET($EN$3,0,0,'Données projet'!$E$15+1,1))-AVERAGE(OFFSET($H$3,0,0,'Données projet'!$E$15+1,1))</f>
        <v>218.78765033569107</v>
      </c>
      <c r="EP200" s="59">
        <f t="shared" si="210"/>
        <v>246.54010105494137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170.80796812111521</v>
      </c>
      <c r="FK200" s="59">
        <f t="shared" si="211"/>
        <v>249.84047400410321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0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333.02360594713667</v>
      </c>
      <c r="T201" s="59">
        <f t="shared" si="204"/>
        <v>546.58234447298014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8.3587703609254547</v>
      </c>
      <c r="AA201" s="21">
        <f>EXP(-LN(2)/25)*AA200+(1-EXP(-LN(2)/25))/(LN(2)/25)*Calculateur!V201*Calculateur!X201*VLOOKUP('Données projet'!$B$9,Paramètres!$A$1:$I$89,3,0)*0.475*44/12</f>
        <v>1.2701010032525455</v>
      </c>
      <c r="AB201" s="21">
        <f>EXP(-LN(2)/2)*AB200+(1-EXP(-LN(2)/2))/(LN(2)/2)*V201*Y201*VLOOKUP('Données projet'!$B$9,Paramètres!$A$1:$I$89,3,0)*0.475*44/12</f>
        <v>3.8734702511616765E-22</v>
      </c>
      <c r="AC201" s="22">
        <f t="shared" si="163"/>
        <v>9.6288713641779999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-9.9316821433603781E-14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243.26825841283591</v>
      </c>
      <c r="AO201" s="59">
        <f t="shared" si="205"/>
        <v>179.2944312100729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11.211810391790957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11.211810391790957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-4.1677594708744434E-14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146.45728988963538</v>
      </c>
      <c r="BJ201" s="59">
        <f t="shared" si="206"/>
        <v>156.91778940341118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4.7039422568530149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4.7039422568530149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-4.0000000000001137</v>
      </c>
      <c r="BZ201" s="13">
        <f>BY201*VLOOKUP('Données projet'!$B$12,Paramètres!$A$1:$I$89,3,0)*VLOOKUP('Données projet'!$B$12,Paramètres!$A$1:$I$89,5,0)</f>
        <v>-3.1824000000000909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238.71022302719206</v>
      </c>
      <c r="CE201" s="59">
        <f t="shared" si="207"/>
        <v>294.28794439094878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7.8252747980341066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7.8252747980341066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-9.0449248091317723E-14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238.71022302719206</v>
      </c>
      <c r="CZ201" s="59">
        <f t="shared" si="208"/>
        <v>294.28794439094878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7.7282797719548579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7.7282797719548579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-1.1368683772161603E-13</v>
      </c>
      <c r="DP201" s="17">
        <f>DO201*VLOOKUP('Données projet'!$B$14,Paramètres!$A$1:$I$89,3,0)*VLOOKUP('Données projet'!$B$14,Paramètres!$A$1:$I$89,5,0)</f>
        <v>-9.7543306765146564E-14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203.34232675618244</v>
      </c>
      <c r="DU201" s="59">
        <f t="shared" si="209"/>
        <v>176.81257896138806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14.68923911450536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14.68923911450536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2.8421709430404007E-14</v>
      </c>
      <c r="EK201" s="17">
        <f>EJ201*VLOOKUP('Données projet'!$B$15,Paramètres!$A$1:$I$89,3,0)*VLOOKUP('Données projet'!$B$15,Paramètres!$A$1:$I$89,5,0)</f>
        <v>2.7489477361086758E-14</v>
      </c>
      <c r="EL201" s="13">
        <f t="shared" si="179"/>
        <v>4.7995394886724981E-13</v>
      </c>
      <c r="EM201" s="20">
        <f t="shared" si="180"/>
        <v>8.8379730068101964E-13</v>
      </c>
      <c r="EN201" s="59">
        <f t="shared" si="198"/>
        <v>293.33333333333422</v>
      </c>
      <c r="EO201" s="59">
        <f ca="1">AVERAGE(OFFSET($EN$3,0,0,'Données projet'!$E$15+1,1))-AVERAGE(OFFSET($H$3,0,0,'Données projet'!$E$15+1,1))</f>
        <v>218.78765033569107</v>
      </c>
      <c r="EP201" s="59">
        <f t="shared" si="210"/>
        <v>246.54010105494137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170.80796812111521</v>
      </c>
      <c r="FK201" s="59">
        <f t="shared" si="211"/>
        <v>249.84047400410321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0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333.02360594713667</v>
      </c>
      <c r="T202" s="59">
        <f t="shared" si="204"/>
        <v>546.58234447298014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8.1948599724942071</v>
      </c>
      <c r="AA202" s="21">
        <f>EXP(-LN(2)/25)*AA201+(1-EXP(-LN(2)/25))/(LN(2)/25)*Calculateur!V202*Calculateur!X202*VLOOKUP('Données projet'!$B$9,Paramètres!$A$1:$I$89,3,0)*0.475*44/12</f>
        <v>1.2353700245268957</v>
      </c>
      <c r="AB202" s="21">
        <f>EXP(-LN(2)/2)*AB201+(1-EXP(-LN(2)/2))/(LN(2)/2)*V202*Y202*VLOOKUP('Données projet'!$B$9,Paramètres!$A$1:$I$89,3,0)*0.475*44/12</f>
        <v>2.7389570813207809E-22</v>
      </c>
      <c r="AC202" s="22">
        <f t="shared" si="163"/>
        <v>9.4302299970211028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-9.9316821433603781E-14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243.26825841283591</v>
      </c>
      <c r="AO202" s="59">
        <f t="shared" si="205"/>
        <v>179.2944312100729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10.991953628537026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10.991953628537026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-4.1677594708744434E-14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146.45728988963538</v>
      </c>
      <c r="BJ202" s="59">
        <f t="shared" si="206"/>
        <v>156.91778940341118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4.611700818317602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4.611700818317602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-4.0000000000001137</v>
      </c>
      <c r="BZ202" s="13">
        <f>BY202*VLOOKUP('Données projet'!$B$12,Paramètres!$A$1:$I$89,3,0)*VLOOKUP('Données projet'!$B$12,Paramètres!$A$1:$I$89,5,0)</f>
        <v>-3.1824000000000909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238.71022302719206</v>
      </c>
      <c r="CE202" s="59">
        <f t="shared" si="207"/>
        <v>294.28794439094878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7.6718259321909956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7.6718259321909956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-9.0449248091317723E-14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238.71022302719206</v>
      </c>
      <c r="CZ202" s="59">
        <f t="shared" si="208"/>
        <v>294.28794439094878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7.5767329194120361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7.5767329194120361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-1.1368683772161603E-13</v>
      </c>
      <c r="DP202" s="17">
        <f>DO202*VLOOKUP('Données projet'!$B$14,Paramètres!$A$1:$I$89,3,0)*VLOOKUP('Données projet'!$B$14,Paramètres!$A$1:$I$89,5,0)</f>
        <v>-9.7543306765146564E-14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203.34232675618244</v>
      </c>
      <c r="DU202" s="59">
        <f t="shared" si="209"/>
        <v>176.81257896138806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14.401192095021088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14.401192095021088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2.8421709430404007E-14</v>
      </c>
      <c r="EK202" s="17">
        <f>EJ202*VLOOKUP('Données projet'!$B$15,Paramètres!$A$1:$I$89,3,0)*VLOOKUP('Données projet'!$B$15,Paramètres!$A$1:$I$89,5,0)</f>
        <v>2.7489477361086758E-14</v>
      </c>
      <c r="EL202" s="13">
        <f t="shared" si="179"/>
        <v>4.7995394886724981E-13</v>
      </c>
      <c r="EM202" s="20">
        <f t="shared" si="180"/>
        <v>8.8379730068101964E-13</v>
      </c>
      <c r="EN202" s="59">
        <f t="shared" si="198"/>
        <v>293.33333333333422</v>
      </c>
      <c r="EO202" s="59">
        <f ca="1">AVERAGE(OFFSET($EN$3,0,0,'Données projet'!$E$15+1,1))-AVERAGE(OFFSET($H$3,0,0,'Données projet'!$E$15+1,1))</f>
        <v>218.78765033569107</v>
      </c>
      <c r="EP202" s="59">
        <f t="shared" si="210"/>
        <v>246.54010105494137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170.80796812111521</v>
      </c>
      <c r="FK202" s="59">
        <f t="shared" si="211"/>
        <v>249.84047400410321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0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333.02360594713667</v>
      </c>
      <c r="T203" s="59">
        <f t="shared" si="204"/>
        <v>546.58234447298014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8.03416376680463</v>
      </c>
      <c r="AA203" s="21">
        <f>EXP(-LN(2)/25)*AA202+(1-EXP(-LN(2)/25))/(LN(2)/25)*Calculateur!V203*Calculateur!X203*VLOOKUP('Données projet'!$B$9,Paramètres!$A$1:$I$89,3,0)*0.475*44/12</f>
        <v>1.2015887662409217</v>
      </c>
      <c r="AB203" s="21">
        <f>EXP(-LN(2)/2)*AB202+(1-EXP(-LN(2)/2))/(LN(2)/2)*V203*Y203*VLOOKUP('Données projet'!$B$9,Paramètres!$A$1:$I$89,3,0)*0.475*44/12</f>
        <v>1.9367351255808383E-22</v>
      </c>
      <c r="AC203" s="22">
        <f t="shared" si="163"/>
        <v>9.2357525330455523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-9.9316821433603781E-14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243.26825841283591</v>
      </c>
      <c r="AO203" s="59">
        <f t="shared" si="205"/>
        <v>179.2944312100729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10.776408122311121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10.776408122311121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-4.1677594708744434E-14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146.45728988963538</v>
      </c>
      <c r="BJ203" s="59">
        <f t="shared" si="206"/>
        <v>156.91778940341118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4.5212681781301463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4.5212681781301463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-4.0000000000001137</v>
      </c>
      <c r="BZ203" s="13">
        <f>BY203*VLOOKUP('Données projet'!$B$12,Paramètres!$A$1:$I$89,3,0)*VLOOKUP('Données projet'!$B$12,Paramètres!$A$1:$I$89,5,0)</f>
        <v>-3.1824000000000909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238.71022302719206</v>
      </c>
      <c r="CE203" s="59">
        <f t="shared" si="207"/>
        <v>294.28794439094878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7.5213861050125015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7.5213861050125015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-9.0449248091317723E-14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238.71022302719206</v>
      </c>
      <c r="CZ203" s="59">
        <f t="shared" si="208"/>
        <v>294.28794439094878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7.4281578082131263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7.4281578082131263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-1.1368683772161603E-13</v>
      </c>
      <c r="DP203" s="17">
        <f>DO203*VLOOKUP('Données projet'!$B$14,Paramètres!$A$1:$I$89,3,0)*VLOOKUP('Données projet'!$B$14,Paramètres!$A$1:$I$89,5,0)</f>
        <v>-9.7543306765146564E-14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203.34232675618244</v>
      </c>
      <c r="DU203" s="59">
        <f t="shared" si="209"/>
        <v>176.81257896138806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14.118793501897569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14.118793501897569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2.8421709430404007E-14</v>
      </c>
      <c r="EK203" s="17">
        <f>EJ203*VLOOKUP('Données projet'!$B$15,Paramètres!$A$1:$I$89,3,0)*VLOOKUP('Données projet'!$B$15,Paramètres!$A$1:$I$89,5,0)</f>
        <v>2.7489477361086758E-14</v>
      </c>
      <c r="EL203" s="13">
        <f t="shared" si="179"/>
        <v>4.7995394886724981E-13</v>
      </c>
      <c r="EM203" s="20">
        <f t="shared" si="180"/>
        <v>8.8379730068101964E-13</v>
      </c>
      <c r="EN203" s="59">
        <f t="shared" si="198"/>
        <v>293.33333333333422</v>
      </c>
      <c r="EO203" s="59">
        <f ca="1">AVERAGE(OFFSET($EN$3,0,0,'Données projet'!$E$15+1,1))-AVERAGE(OFFSET($H$3,0,0,'Données projet'!$E$15+1,1))</f>
        <v>218.78765033569107</v>
      </c>
      <c r="EP203" s="59">
        <f t="shared" si="210"/>
        <v>246.54010105494137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170.80796812111521</v>
      </c>
      <c r="FK203" s="59">
        <f t="shared" si="211"/>
        <v>249.84047400410321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0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1.3070441688874561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1.1589972344055464</v>
      </c>
      <c r="BA205" s="82">
        <f>EXP(LN('Données projet'!B88)/'Données projet'!A88)</f>
        <v>1.1589972344055464</v>
      </c>
      <c r="BV205" s="82">
        <f>EXP(LN('Données projet'!B114)/'Données projet'!A114)</f>
        <v>1.2721747796233518</v>
      </c>
      <c r="CQ205" s="82">
        <f>EXP(LN('Données projet'!B140)/'Données projet'!A140)</f>
        <v>1.2721747796233518</v>
      </c>
      <c r="DL205" s="82">
        <f>EXP(LN('Données projet'!B166)/'Données projet'!A166)</f>
        <v>1.1589972344055464</v>
      </c>
      <c r="EG205" s="82">
        <f>EXP(LN('Données projet'!B192)/'Données projet'!A192)</f>
        <v>1.2054868146447177</v>
      </c>
      <c r="FB205" s="82">
        <f>EXP(LN('Données projet'!B218)/'Données projet'!A218)</f>
        <v>1.2721747796233518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3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3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3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50" workbookViewId="0">
      <selection activeCell="A5" sqref="A5:L16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4" t="s">
        <v>271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Douglas</v>
      </c>
      <c r="B6" s="146">
        <f>'Données projet'!D9</f>
        <v>8.1953686399999999</v>
      </c>
      <c r="C6" s="147">
        <f ca="1">IF(OR('Données projet'!B9="",'Données projet'!C9="",'Données projet'!C9=0%),0,Calculateur!S3)</f>
        <v>333.02360594713667</v>
      </c>
      <c r="D6" s="147">
        <f>IF(OR('Données projet'!B9="",'Données projet'!C9="",'Données projet'!C9=0%),0,Calculateur!T3)</f>
        <v>546.58234447298014</v>
      </c>
      <c r="E6" s="147">
        <f ca="1">MIN(C6,D6)</f>
        <v>333.02360594713667</v>
      </c>
      <c r="F6" s="147">
        <f ca="1">E6*B6</f>
        <v>2729.2512165588814</v>
      </c>
      <c r="G6" s="147">
        <f ca="1">F6*(100%-'Données projet'!$C$24)*(100%-'Données projet'!$C$25)*(100%-'Données projet'!$C$26)*(100%-'Données projet'!$C$27)</f>
        <v>2210.6934854126939</v>
      </c>
      <c r="H6" s="148">
        <f>IF(OR('Données projet'!B9="",'Données projet'!C9="",'Données projet'!C9=0%),0,AVERAGE(Calculateur!$AC$3:$AC$33)*B6)</f>
        <v>36.731885058967549</v>
      </c>
      <c r="I6" s="149">
        <f>H6*(100%-'Données projet'!$C$24)*(100%-'Données projet'!$C$25)*(100%-'Données projet'!$C$26)*(100%-'Données projet'!$C$27)</f>
        <v>29.752826897763718</v>
      </c>
      <c r="J6" s="150">
        <f>IF(OR('Données projet'!B9="",'Données projet'!C9="",'Données projet'!C9=0%),0,SUM(Calculateur!$V$3:$V$33)*VLOOKUP('Données projet'!$B$9,Paramètres!$A$1:$I$89,9,0)*B6)</f>
        <v>380.59291964159996</v>
      </c>
      <c r="K6" s="151">
        <f>J6*(100%-'Données projet'!$C$24)*(100%-'Données projet'!$C$25)*(100%-'Données projet'!$C$26)*(100%-'Données projet'!$C$27)</f>
        <v>308.28026490969603</v>
      </c>
      <c r="L6" s="152">
        <f ca="1">G6+I6+K6</f>
        <v>2548.7265772201536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Chêne rouge d'Amérique</v>
      </c>
      <c r="B7" s="154">
        <f>'Données projet'!D10</f>
        <v>0.38001096000000001</v>
      </c>
      <c r="C7" s="147">
        <f ca="1">IF(OR('Données projet'!B10="",'Données projet'!C10="",'Données projet'!C10=0%),0,Calculateur!AN3)</f>
        <v>243.26825841283591</v>
      </c>
      <c r="D7" s="147">
        <f>IF(OR('Données projet'!B10="",'Données projet'!C10="",'Données projet'!C10=0%),0,Calculateur!AO3)</f>
        <v>179.2944312100729</v>
      </c>
      <c r="E7" s="147">
        <f t="shared" ref="E7:E15" ca="1" si="0">MIN(C7,D7)</f>
        <v>179.2944312100729</v>
      </c>
      <c r="F7" s="147">
        <f t="shared" ref="F7:F15" ca="1" si="1">E7*B7</f>
        <v>68.13384892679376</v>
      </c>
      <c r="G7" s="147">
        <f ca="1">F7*(100%-'Données projet'!$C$24)*(100%-'Données projet'!$C$25)*(100%-'Données projet'!$C$26)*(100%-'Données projet'!$C$27)</f>
        <v>55.188417630702951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1.1400328800000001</v>
      </c>
      <c r="K7" s="151">
        <f>J7*(100%-'Données projet'!$C$24)*(100%-'Données projet'!$C$25)*(100%-'Données projet'!$C$26)*(100%-'Données projet'!$C$27)</f>
        <v>0.92342663280000026</v>
      </c>
      <c r="L7" s="152">
        <f t="shared" ref="L7:L15" ca="1" si="2">G7+I7+K7</f>
        <v>56.111844263502952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Châtaignier</v>
      </c>
      <c r="B8" s="154">
        <f>'Données projet'!D11</f>
        <v>0.38001096000000001</v>
      </c>
      <c r="C8" s="147">
        <f ca="1">IF(OR('Données projet'!B11="",'Données projet'!C11="",'Données projet'!C11=0%),0,Calculateur!BI3)</f>
        <v>146.45728988963538</v>
      </c>
      <c r="D8" s="147">
        <f>IF(OR('Données projet'!B11="",'Données projet'!C11="",'Données projet'!C11=0%),0,Calculateur!BJ3)</f>
        <v>156.91778940341118</v>
      </c>
      <c r="E8" s="147">
        <f t="shared" ca="1" si="0"/>
        <v>146.45728988963538</v>
      </c>
      <c r="F8" s="147">
        <f t="shared" ca="1" si="1"/>
        <v>55.655375329958638</v>
      </c>
      <c r="G8" s="147">
        <f ca="1">F8*(100%-'Données projet'!$C$24)*(100%-'Données projet'!$C$25)*(100%-'Données projet'!$C$26)*(100%-'Données projet'!$C$27)</f>
        <v>45.080854017266496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1.1400328800000001</v>
      </c>
      <c r="K8" s="151">
        <f>J8*(100%-'Données projet'!$C$24)*(100%-'Données projet'!$C$25)*(100%-'Données projet'!$C$26)*(100%-'Données projet'!$C$27)</f>
        <v>0.92342663280000026</v>
      </c>
      <c r="L8" s="152">
        <f t="shared" ca="1" si="2"/>
        <v>46.004280650066498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Erable plane</v>
      </c>
      <c r="B9" s="154">
        <f>'Données projet'!D12</f>
        <v>0.20307464</v>
      </c>
      <c r="C9" s="147">
        <f ca="1">IF(OR('Données projet'!B12="",'Données projet'!C12="",'Données projet'!C12=0%),0,Calculateur!CD3)</f>
        <v>238.71022302719206</v>
      </c>
      <c r="D9" s="147">
        <f>IF(OR('Données projet'!B12="",'Données projet'!C12="",'Données projet'!C12=0%),0,Calculateur!CE3)</f>
        <v>294.28794439094878</v>
      </c>
      <c r="E9" s="147">
        <f t="shared" ca="1" si="0"/>
        <v>238.71022302719206</v>
      </c>
      <c r="F9" s="147">
        <f t="shared" ca="1" si="1"/>
        <v>48.475992605566738</v>
      </c>
      <c r="G9" s="147">
        <f ca="1">F9*(100%-'Données projet'!$C$24)*(100%-'Données projet'!$C$25)*(100%-'Données projet'!$C$26)*(100%-'Données projet'!$C$27)</f>
        <v>39.265554010509064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5.0260973399999997</v>
      </c>
      <c r="K9" s="151">
        <f>J9*(100%-'Données projet'!$C$24)*(100%-'Données projet'!$C$25)*(100%-'Données projet'!$C$26)*(100%-'Données projet'!$C$27)</f>
        <v>4.0711388454000002</v>
      </c>
      <c r="L9" s="152">
        <f t="shared" ca="1" si="2"/>
        <v>43.336692855909064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Erable sycomore</v>
      </c>
      <c r="B10" s="154">
        <f>'Données projet'!D13</f>
        <v>0.20810123999999999</v>
      </c>
      <c r="C10" s="147">
        <f ca="1">IF(OR('Données projet'!B13="",'Données projet'!C13="",'Données projet'!C13=0%),0,Calculateur!CY3)</f>
        <v>238.71022302719206</v>
      </c>
      <c r="D10" s="147">
        <f>IF(OR('Données projet'!B13="",'Données projet'!C13="",'Données projet'!C13=0%),0,Calculateur!CZ3)</f>
        <v>294.28794439094878</v>
      </c>
      <c r="E10" s="147">
        <f t="shared" ca="1" si="0"/>
        <v>238.71022302719206</v>
      </c>
      <c r="F10" s="147">
        <f t="shared" ca="1" si="1"/>
        <v>49.675893412635219</v>
      </c>
      <c r="G10" s="147">
        <f ca="1">F10*(100%-'Données projet'!$C$24)*(100%-'Données projet'!$C$25)*(100%-'Données projet'!$C$26)*(100%-'Données projet'!$C$27)</f>
        <v>40.237473664234528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5.1505056900000001</v>
      </c>
      <c r="K10" s="151">
        <f>J10*(100%-'Données projet'!$C$24)*(100%-'Données projet'!$C$25)*(100%-'Données projet'!$C$26)*(100%-'Données projet'!$C$27)</f>
        <v>4.171909608900001</v>
      </c>
      <c r="L10" s="152">
        <f t="shared" ca="1" si="2"/>
        <v>44.40938327313453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Hêtre</v>
      </c>
      <c r="B11" s="154">
        <f>'Données projet'!D14</f>
        <v>0.29154280000000005</v>
      </c>
      <c r="C11" s="147">
        <f ca="1">IF(OR('Données projet'!B14="",'Données projet'!C14="",'Données projet'!C14=0%),0,Calculateur!DT3)</f>
        <v>203.34232675618244</v>
      </c>
      <c r="D11" s="147">
        <f>IF(OR('Données projet'!B14="",'Données projet'!C14="",'Données projet'!C14=0%),0,Calculateur!DU3)</f>
        <v>176.81257896138806</v>
      </c>
      <c r="E11" s="147">
        <f t="shared" ca="1" si="0"/>
        <v>176.81257896138806</v>
      </c>
      <c r="F11" s="147">
        <f t="shared" ca="1" si="1"/>
        <v>51.548434345624173</v>
      </c>
      <c r="G11" s="147">
        <f ca="1">F11*(100%-'Données projet'!$C$24)*(100%-'Données projet'!$C$25)*(100%-'Données projet'!$C$26)*(100%-'Données projet'!$C$27)</f>
        <v>41.754231819955585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0.87462840000000019</v>
      </c>
      <c r="K11" s="151">
        <f>J11*(100%-'Données projet'!$C$24)*(100%-'Données projet'!$C$25)*(100%-'Données projet'!$C$26)*(100%-'Données projet'!$C$27)</f>
        <v>0.7084490040000001</v>
      </c>
      <c r="L11" s="152">
        <f t="shared" ca="1" si="2"/>
        <v>42.462680823955587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Alisier torminal</v>
      </c>
      <c r="B12" s="154">
        <f>'Données projet'!D15</f>
        <v>0.20810123999999999</v>
      </c>
      <c r="C12" s="147">
        <f ca="1">IF(OR('Données projet'!B15="",'Données projet'!C15="",'Données projet'!C15=0%),0,Calculateur!EO3)</f>
        <v>218.78765033569107</v>
      </c>
      <c r="D12" s="147">
        <f>IF(OR('Données projet'!B15="",'Données projet'!C15="",'Données projet'!C15=0%),0,Calculateur!EP3)</f>
        <v>246.54010105494137</v>
      </c>
      <c r="E12" s="147">
        <f t="shared" ca="1" si="0"/>
        <v>218.78765033569107</v>
      </c>
      <c r="F12" s="147">
        <f t="shared" ca="1" si="1"/>
        <v>45.529981331543723</v>
      </c>
      <c r="G12" s="147">
        <f ca="1">F12*(100%-'Données projet'!$C$24)*(100%-'Données projet'!$C$25)*(100%-'Données projet'!$C$26)*(100%-'Données projet'!$C$27)</f>
        <v>36.879284878550422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1.5087339899999999</v>
      </c>
      <c r="K12" s="151">
        <f>J12*(100%-'Données projet'!$C$24)*(100%-'Données projet'!$C$25)*(100%-'Données projet'!$C$26)*(100%-'Données projet'!$C$27)</f>
        <v>1.2220745318999999</v>
      </c>
      <c r="L12" s="152">
        <f t="shared" ca="1" si="2"/>
        <v>38.101359410450421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>Aulne à feuilles en cœur</v>
      </c>
      <c r="B13" s="154">
        <f>'Données projet'!D16</f>
        <v>0.18698951999999999</v>
      </c>
      <c r="C13" s="147">
        <f ca="1">IF(OR('Données projet'!B16="",'Données projet'!C16="",'Données projet'!C16=0%),0,Calculateur!FJ3)</f>
        <v>170.80796812111521</v>
      </c>
      <c r="D13" s="147">
        <f>IF(OR('Données projet'!B16="",'Données projet'!C16="",'Données projet'!C16=0%),0,Calculateur!FK3)</f>
        <v>249.84047400410321</v>
      </c>
      <c r="E13" s="147">
        <f t="shared" ca="1" si="0"/>
        <v>170.80796812111521</v>
      </c>
      <c r="F13" s="147">
        <f t="shared" ca="1" si="1"/>
        <v>31.939299971142635</v>
      </c>
      <c r="G13" s="147">
        <f ca="1">F13*(100%-'Données projet'!$C$24)*(100%-'Données projet'!$C$25)*(100%-'Données projet'!$C$26)*(100%-'Données projet'!$C$27)</f>
        <v>25.870832976625536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4.6279906199999994</v>
      </c>
      <c r="K13" s="151">
        <f>J13*(100%-'Données projet'!$C$24)*(100%-'Données projet'!$C$25)*(100%-'Données projet'!$C$26)*(100%-'Données projet'!$C$27)</f>
        <v>3.7486724021999995</v>
      </c>
      <c r="L13" s="152">
        <f t="shared" ca="1" si="2"/>
        <v>29.619505378825536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3080.210042482146</v>
      </c>
      <c r="G16" s="166">
        <f t="shared" ca="1" si="3"/>
        <v>2494.9701344105392</v>
      </c>
      <c r="H16" s="167">
        <f t="shared" si="3"/>
        <v>36.731885058967549</v>
      </c>
      <c r="I16" s="167">
        <f t="shared" si="3"/>
        <v>29.752826897763718</v>
      </c>
      <c r="J16" s="168">
        <f t="shared" si="3"/>
        <v>400.06094144159988</v>
      </c>
      <c r="K16" s="168">
        <f t="shared" si="3"/>
        <v>324.04936256769599</v>
      </c>
      <c r="L16" s="169">
        <f t="shared" ca="1" si="3"/>
        <v>2848.7723238759982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6" t="s">
        <v>246</v>
      </c>
      <c r="G17" s="287"/>
      <c r="H17" s="287"/>
      <c r="I17" s="287"/>
      <c r="J17" s="287"/>
      <c r="K17" s="287"/>
      <c r="L17" s="28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Châtaignier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Erable plane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Hêtre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>Aulne à feuilles en cœur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8" zoomScale="113" zoomScaleNormal="90" workbookViewId="0">
      <selection activeCell="L44" sqref="L44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4" t="s">
        <v>272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4" t="s">
        <v>315</v>
      </c>
      <c r="I4" s="264"/>
      <c r="K4" s="288" t="s">
        <v>253</v>
      </c>
      <c r="L4" s="28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8" t="s">
        <v>310</v>
      </c>
      <c r="S7" s="299"/>
      <c r="T7" s="299"/>
      <c r="U7" s="299"/>
      <c r="V7" s="30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2407.5126485254232</v>
      </c>
      <c r="U10" s="178">
        <f>'Données projet'!D9</f>
        <v>8.1953686399999999</v>
      </c>
      <c r="V10" s="177">
        <f>U10*T10</f>
        <v>19730.453660128594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-1739.5798461072163</v>
      </c>
      <c r="U11" s="178">
        <f>'Données projet'!D10</f>
        <v>0.38001096000000001</v>
      </c>
      <c r="V11" s="177">
        <f t="shared" ref="V11" si="0">U11*T11</f>
        <v>-661.05940731585554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Châtaignier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-1103.3808656569418</v>
      </c>
      <c r="U12" s="178">
        <f>'Données projet'!D11</f>
        <v>0.38001096000000001</v>
      </c>
      <c r="V12" s="177">
        <f t="shared" ref="V12:V19" si="1">U12*T12</f>
        <v>-419.29682200392546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plane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75.274976288109428</v>
      </c>
      <c r="U13" s="178">
        <f>'Données projet'!D12</f>
        <v>0.20307464</v>
      </c>
      <c r="V13" s="177">
        <f t="shared" si="1"/>
        <v>15.286438710716359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41.05625231335398</v>
      </c>
      <c r="U14" s="178">
        <f>'Données projet'!D13</f>
        <v>0.20810123999999999</v>
      </c>
      <c r="V14" s="177">
        <f t="shared" si="1"/>
        <v>8.5438570161618319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291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Hêtre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-2553.4239241487167</v>
      </c>
      <c r="U15" s="178">
        <f>'Données projet'!D14</f>
        <v>0.29154280000000005</v>
      </c>
      <c r="V15" s="177">
        <f t="shared" si="1"/>
        <v>-744.43236043330455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1"/>
      <c r="H16" s="190"/>
      <c r="I16" s="191"/>
      <c r="J16" s="202"/>
      <c r="K16" s="208"/>
      <c r="L16" s="288" t="s">
        <v>254</v>
      </c>
      <c r="M16" s="289"/>
      <c r="N16" s="2"/>
      <c r="O16" s="23"/>
      <c r="P16" s="23"/>
      <c r="Q16" s="234"/>
      <c r="R16" s="23"/>
      <c r="S16" s="36" t="str">
        <f>B200</f>
        <v>Alisier torminal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-522.47469972206022</v>
      </c>
      <c r="U16" s="178">
        <f>'Données projet'!D15</f>
        <v>0.20810123999999999</v>
      </c>
      <c r="V16" s="177">
        <f t="shared" si="1"/>
        <v>-108.72763288078838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3247.93</v>
      </c>
      <c r="F17" s="230"/>
      <c r="G17" s="291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Aulne à feuilles en cœur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-2506.5668840345297</v>
      </c>
      <c r="U17" s="178">
        <f>'Données projet'!D16</f>
        <v>0.18698951999999999</v>
      </c>
      <c r="V17" s="177">
        <f t="shared" si="1"/>
        <v>-468.70173849351238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1"/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1"/>
      <c r="H19" s="212" t="s">
        <v>178</v>
      </c>
      <c r="I19" s="212" t="s">
        <v>287</v>
      </c>
      <c r="J19" s="93"/>
      <c r="K19" s="173"/>
      <c r="L19" s="288" t="s">
        <v>288</v>
      </c>
      <c r="M19" s="289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1"/>
      <c r="H20" s="190">
        <v>0</v>
      </c>
      <c r="I20" s="191">
        <v>34016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0</v>
      </c>
      <c r="I21" s="191">
        <v>9445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1</v>
      </c>
      <c r="I22" s="191">
        <v>16387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19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2</v>
      </c>
      <c r="I23" s="191">
        <v>13180</v>
      </c>
      <c r="K23" s="208"/>
      <c r="L23" s="290" t="s">
        <v>260</v>
      </c>
      <c r="M23" s="290"/>
      <c r="N23" s="290"/>
      <c r="O23" s="23"/>
      <c r="P23" s="23"/>
      <c r="Q23" s="234"/>
      <c r="R23" s="23"/>
      <c r="S23" s="36" t="s">
        <v>264</v>
      </c>
      <c r="T23" s="30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-959724.33456105983</v>
      </c>
      <c r="U23" s="303"/>
      <c r="V23" s="30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25</v>
      </c>
      <c r="B24" s="181">
        <f>'Données projet'!D37</f>
        <v>54</v>
      </c>
      <c r="C24" s="193">
        <v>12</v>
      </c>
      <c r="D24" s="182">
        <f t="shared" ref="D24:D42" si="2">B24*C24</f>
        <v>648</v>
      </c>
      <c r="E24" s="193"/>
      <c r="F24" s="233"/>
      <c r="H24" s="190">
        <v>3</v>
      </c>
      <c r="I24" s="191">
        <v>9898</v>
      </c>
      <c r="K24" s="208"/>
      <c r="O24" s="23"/>
      <c r="P24" s="23"/>
      <c r="Q24" s="234"/>
      <c r="R24" s="23"/>
      <c r="S24" s="36" t="s">
        <v>261</v>
      </c>
      <c r="T24" s="304">
        <f ca="1">'Scénario référence'!$B$8*$M$30*'Données projet'!$C$5+('Scénario référence'!B9+'Scénario référence'!B10+'Scénario référence'!F8+'Scénario référence'!F9)*$N$19/(1+M4)^N16*'Données projet'!$C$5</f>
        <v>30395.368782039863</v>
      </c>
      <c r="U24" s="304"/>
      <c r="V24" s="30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54</v>
      </c>
      <c r="C25" s="193">
        <v>12</v>
      </c>
      <c r="D25" s="182">
        <f t="shared" si="2"/>
        <v>648</v>
      </c>
      <c r="E25" s="193"/>
      <c r="F25" s="233"/>
      <c r="H25" s="190">
        <v>4</v>
      </c>
      <c r="I25" s="191">
        <v>12916</v>
      </c>
      <c r="K25" s="208"/>
      <c r="L25" s="130" t="s">
        <v>285</v>
      </c>
      <c r="M25" s="130"/>
      <c r="N25" s="130"/>
      <c r="O25" s="130"/>
      <c r="P25" s="192">
        <v>150</v>
      </c>
      <c r="Q25" s="234"/>
      <c r="R25" s="23"/>
      <c r="S25" s="186" t="s">
        <v>266</v>
      </c>
      <c r="T25" s="305">
        <f ca="1">T23-T24</f>
        <v>-990119.70334309968</v>
      </c>
      <c r="U25" s="305"/>
      <c r="V25" s="30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35</v>
      </c>
      <c r="B26" s="181">
        <f>'Données projet'!D39</f>
        <v>69</v>
      </c>
      <c r="C26" s="193">
        <v>40</v>
      </c>
      <c r="D26" s="182">
        <f t="shared" si="2"/>
        <v>2760</v>
      </c>
      <c r="E26" s="193"/>
      <c r="F26" s="233"/>
      <c r="G26" s="229"/>
      <c r="H26" s="190">
        <v>9</v>
      </c>
      <c r="I26" s="191">
        <v>2615</v>
      </c>
      <c r="K26" s="208"/>
      <c r="L26" s="292" t="s">
        <v>258</v>
      </c>
      <c r="M26" s="293"/>
      <c r="N26" s="293"/>
      <c r="O26" s="293"/>
      <c r="P26" s="294"/>
      <c r="Q26" s="234"/>
      <c r="R26" s="23"/>
      <c r="S26" s="186" t="s">
        <v>265</v>
      </c>
      <c r="T26" s="302" t="str">
        <f ca="1">IF(T25&lt;0,"Votre projet est additionnel","Votre projet n'est pas additionnel")</f>
        <v>Votre projet est additionnel</v>
      </c>
      <c r="U26" s="302"/>
      <c r="V26" s="30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40</v>
      </c>
      <c r="B27" s="181">
        <f>'Données projet'!D40</f>
        <v>72</v>
      </c>
      <c r="C27" s="193">
        <v>40</v>
      </c>
      <c r="D27" s="182">
        <f t="shared" si="2"/>
        <v>2880</v>
      </c>
      <c r="E27" s="193"/>
      <c r="F27" s="233"/>
      <c r="G27" s="229"/>
      <c r="H27" s="190">
        <v>10</v>
      </c>
      <c r="I27" s="191">
        <v>7322</v>
      </c>
      <c r="K27" s="208"/>
      <c r="L27" s="295"/>
      <c r="M27" s="296"/>
      <c r="N27" s="296"/>
      <c r="O27" s="296"/>
      <c r="P27" s="297"/>
      <c r="Q27" s="234"/>
      <c r="R27" s="23"/>
      <c r="S27" s="301" t="s">
        <v>267</v>
      </c>
      <c r="T27" s="301"/>
      <c r="U27" s="301"/>
      <c r="V27" s="30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45</v>
      </c>
      <c r="B28" s="181">
        <f>'Données projet'!D41</f>
        <v>606</v>
      </c>
      <c r="C28" s="193">
        <v>50</v>
      </c>
      <c r="D28" s="182">
        <f t="shared" si="2"/>
        <v>30300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3023.452112963023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143.54066985645935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137.35949268560705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131.44449060823641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125.78420153898223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120.36765697510262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115.18436074172502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110.22426865236844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105.47776904532867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100.93566415820926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96.589152304506499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92.429810817709566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88.449579729865633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84.640746152981464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80.995929332996624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>
        <v>3247.93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77.508066347365187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74.170398418531306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70.976457816776374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67.920055327058748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64.995268255558614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62.196428952687683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25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59.518113830323131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30</v>
      </c>
      <c r="B55" s="181">
        <f>'Données projet'!D63</f>
        <v>12</v>
      </c>
      <c r="C55" s="191">
        <v>20</v>
      </c>
      <c r="D55" s="179">
        <f t="shared" ref="D55:D73" si="4">B55*C55</f>
        <v>240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56.955132851983883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35</v>
      </c>
      <c r="B56" s="181">
        <f>'Données projet'!D64</f>
        <v>21</v>
      </c>
      <c r="C56" s="191">
        <v>20</v>
      </c>
      <c r="D56" s="179">
        <f t="shared" si="4"/>
        <v>420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54.502519475582659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40</v>
      </c>
      <c r="B57" s="181">
        <f>'Données projet'!D65</f>
        <v>21</v>
      </c>
      <c r="C57" s="191">
        <v>20</v>
      </c>
      <c r="D57" s="179">
        <f t="shared" si="4"/>
        <v>420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52.155521029265714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45</v>
      </c>
      <c r="B58" s="181">
        <f>'Données projet'!D66</f>
        <v>21</v>
      </c>
      <c r="C58" s="191">
        <v>20</v>
      </c>
      <c r="D58" s="179">
        <f t="shared" si="4"/>
        <v>420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49.90958950168968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50</v>
      </c>
      <c r="B59" s="181">
        <f>'Données projet'!D67</f>
        <v>21</v>
      </c>
      <c r="C59" s="191">
        <v>50</v>
      </c>
      <c r="D59" s="179">
        <f t="shared" si="4"/>
        <v>1050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47.760372728889656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55</v>
      </c>
      <c r="B60" s="181">
        <f>'Données projet'!D68</f>
        <v>21</v>
      </c>
      <c r="C60" s="191">
        <v>50</v>
      </c>
      <c r="D60" s="179">
        <f t="shared" si="4"/>
        <v>1050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45.70370596065996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60</v>
      </c>
      <c r="B61" s="181">
        <f>'Données projet'!D69</f>
        <v>21</v>
      </c>
      <c r="C61" s="191">
        <v>50</v>
      </c>
      <c r="D61" s="179">
        <f t="shared" si="4"/>
        <v>1050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43.735603790105237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65</v>
      </c>
      <c r="B62" s="181">
        <f>'Données projet'!D70</f>
        <v>21</v>
      </c>
      <c r="C62" s="191">
        <v>70</v>
      </c>
      <c r="D62" s="179">
        <f t="shared" si="4"/>
        <v>1470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41.852252430722707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70</v>
      </c>
      <c r="B63" s="181">
        <f>'Données projet'!D71</f>
        <v>21</v>
      </c>
      <c r="C63" s="191">
        <v>70</v>
      </c>
      <c r="D63" s="179">
        <f t="shared" si="4"/>
        <v>1470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40.050002326050453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75</v>
      </c>
      <c r="B64" s="181">
        <f>'Données projet'!D72</f>
        <v>21</v>
      </c>
      <c r="C64" s="191">
        <v>70</v>
      </c>
      <c r="D64" s="179">
        <f t="shared" si="4"/>
        <v>1470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38.325361077560231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80</v>
      </c>
      <c r="B65" s="181">
        <f>'Données projet'!D73</f>
        <v>270</v>
      </c>
      <c r="C65" s="191">
        <v>100</v>
      </c>
      <c r="D65" s="179">
        <f t="shared" si="4"/>
        <v>27000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36.674986677091148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35.095681030709244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33.584383761444251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32.138166278894019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30.754226104204811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29.429881439430442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28.16256597074684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26.949823895451523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25.789305163111511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24.678760921637814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23.616039159462026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Châtaignier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22.599080535370359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21.625914387914221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20.694654916664327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>
        <v>3247.93</v>
      </c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25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30</v>
      </c>
      <c r="B86" s="181">
        <f>'Données projet'!D89</f>
        <v>12</v>
      </c>
      <c r="C86" s="193">
        <v>12</v>
      </c>
      <c r="D86" s="179">
        <f t="shared" ref="D86:D104" si="6">B86*C86</f>
        <v>144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35</v>
      </c>
      <c r="B87" s="181">
        <f>'Données projet'!D90</f>
        <v>21</v>
      </c>
      <c r="C87" s="193">
        <v>12</v>
      </c>
      <c r="D87" s="179">
        <f t="shared" si="6"/>
        <v>252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40</v>
      </c>
      <c r="B88" s="181">
        <f>'Données projet'!D91</f>
        <v>21</v>
      </c>
      <c r="C88" s="193">
        <v>12</v>
      </c>
      <c r="D88" s="179">
        <f t="shared" si="6"/>
        <v>252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45</v>
      </c>
      <c r="B89" s="181">
        <f>'Données projet'!D92</f>
        <v>21</v>
      </c>
      <c r="C89" s="193">
        <v>12</v>
      </c>
      <c r="D89" s="179">
        <f t="shared" si="6"/>
        <v>252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50</v>
      </c>
      <c r="B90" s="181">
        <f>'Données projet'!D93</f>
        <v>21</v>
      </c>
      <c r="C90" s="193">
        <v>60</v>
      </c>
      <c r="D90" s="179">
        <f t="shared" si="6"/>
        <v>1260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55</v>
      </c>
      <c r="B91" s="181">
        <f>'Données projet'!D94</f>
        <v>21</v>
      </c>
      <c r="C91" s="193">
        <v>80</v>
      </c>
      <c r="D91" s="179">
        <f t="shared" si="6"/>
        <v>1680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60</v>
      </c>
      <c r="B92" s="181">
        <f>'Données projet'!D95</f>
        <v>197</v>
      </c>
      <c r="C92" s="193">
        <v>120</v>
      </c>
      <c r="D92" s="179">
        <f t="shared" si="6"/>
        <v>23640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Erable plane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3247.93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15</v>
      </c>
      <c r="B116" s="181">
        <f>'Données projet'!D114</f>
        <v>15</v>
      </c>
      <c r="C116" s="193">
        <v>12</v>
      </c>
      <c r="D116" s="179">
        <f>B116*C116</f>
        <v>180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20</v>
      </c>
      <c r="B117" s="181">
        <f>'Données projet'!D115</f>
        <v>28</v>
      </c>
      <c r="C117" s="193">
        <v>12</v>
      </c>
      <c r="D117" s="179">
        <f t="shared" ref="D117:D135" si="8">B117*C117</f>
        <v>336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25</v>
      </c>
      <c r="B118" s="181">
        <f>'Données projet'!D116</f>
        <v>28</v>
      </c>
      <c r="C118" s="193">
        <v>12</v>
      </c>
      <c r="D118" s="179">
        <f t="shared" si="8"/>
        <v>336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30</v>
      </c>
      <c r="B119" s="181">
        <f>'Données projet'!D117</f>
        <v>28</v>
      </c>
      <c r="C119" s="193">
        <v>12</v>
      </c>
      <c r="D119" s="179">
        <f t="shared" si="8"/>
        <v>336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35</v>
      </c>
      <c r="B120" s="181">
        <f>'Données projet'!D118</f>
        <v>28</v>
      </c>
      <c r="C120" s="193">
        <v>40</v>
      </c>
      <c r="D120" s="179">
        <f t="shared" si="8"/>
        <v>1120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40</v>
      </c>
      <c r="B121" s="181">
        <f>'Données projet'!D119</f>
        <v>28</v>
      </c>
      <c r="C121" s="193">
        <v>40</v>
      </c>
      <c r="D121" s="179">
        <f t="shared" si="8"/>
        <v>1120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45</v>
      </c>
      <c r="B122" s="181">
        <f>'Données projet'!D120</f>
        <v>22</v>
      </c>
      <c r="C122" s="193">
        <v>40</v>
      </c>
      <c r="D122" s="179">
        <f t="shared" si="8"/>
        <v>880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50</v>
      </c>
      <c r="B123" s="181">
        <f>'Données projet'!D121</f>
        <v>17</v>
      </c>
      <c r="C123" s="193">
        <v>60</v>
      </c>
      <c r="D123" s="179">
        <f t="shared" si="8"/>
        <v>1020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55</v>
      </c>
      <c r="B124" s="181">
        <f>'Données projet'!D122</f>
        <v>13</v>
      </c>
      <c r="C124" s="193">
        <v>80</v>
      </c>
      <c r="D124" s="179">
        <f t="shared" si="8"/>
        <v>1040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60</v>
      </c>
      <c r="B125" s="181">
        <f>'Données projet'!D123</f>
        <v>249</v>
      </c>
      <c r="C125" s="193">
        <v>120</v>
      </c>
      <c r="D125" s="179">
        <f t="shared" si="8"/>
        <v>29880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3247.93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15</v>
      </c>
      <c r="B147" s="175">
        <f>'Données projet'!D140</f>
        <v>15</v>
      </c>
      <c r="C147" s="193">
        <v>12</v>
      </c>
      <c r="D147" s="182">
        <f>B147*C147</f>
        <v>180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20</v>
      </c>
      <c r="B148" s="175">
        <f>'Données projet'!D141</f>
        <v>28</v>
      </c>
      <c r="C148" s="193">
        <v>12</v>
      </c>
      <c r="D148" s="182">
        <f t="shared" ref="D148:D166" si="10">B148*C148</f>
        <v>336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25</v>
      </c>
      <c r="B149" s="175">
        <f>'Données projet'!D142</f>
        <v>28</v>
      </c>
      <c r="C149" s="193">
        <v>12</v>
      </c>
      <c r="D149" s="182">
        <f t="shared" si="10"/>
        <v>336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30</v>
      </c>
      <c r="B150" s="175">
        <f>'Données projet'!D143</f>
        <v>28</v>
      </c>
      <c r="C150" s="193">
        <v>12</v>
      </c>
      <c r="D150" s="182">
        <f t="shared" si="10"/>
        <v>336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35</v>
      </c>
      <c r="B151" s="175">
        <f>'Données projet'!D144</f>
        <v>28</v>
      </c>
      <c r="C151" s="193">
        <v>40</v>
      </c>
      <c r="D151" s="182">
        <f t="shared" si="10"/>
        <v>1120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40</v>
      </c>
      <c r="B152" s="175">
        <f>'Données projet'!D145</f>
        <v>28</v>
      </c>
      <c r="C152" s="193">
        <v>40</v>
      </c>
      <c r="D152" s="182">
        <f t="shared" si="10"/>
        <v>1120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45</v>
      </c>
      <c r="B153" s="175">
        <f>'Données projet'!D146</f>
        <v>22</v>
      </c>
      <c r="C153" s="193">
        <v>40</v>
      </c>
      <c r="D153" s="182">
        <f t="shared" si="10"/>
        <v>880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50</v>
      </c>
      <c r="B154" s="175">
        <f>'Données projet'!D147</f>
        <v>17</v>
      </c>
      <c r="C154" s="193">
        <v>60</v>
      </c>
      <c r="D154" s="182">
        <f t="shared" si="10"/>
        <v>1020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55</v>
      </c>
      <c r="B155" s="175">
        <f>'Données projet'!D148</f>
        <v>13</v>
      </c>
      <c r="C155" s="193">
        <v>80</v>
      </c>
      <c r="D155" s="182">
        <f t="shared" si="10"/>
        <v>1040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60</v>
      </c>
      <c r="B156" s="175">
        <f>'Données projet'!D149</f>
        <v>245</v>
      </c>
      <c r="C156" s="193">
        <v>120</v>
      </c>
      <c r="D156" s="182">
        <f t="shared" si="10"/>
        <v>29400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Hêtre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3247.93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25</v>
      </c>
      <c r="B178" s="181">
        <f>'Données projet'!D166</f>
        <v>0</v>
      </c>
      <c r="C178" s="193">
        <v>20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30</v>
      </c>
      <c r="B179" s="181">
        <f>'Données projet'!D167</f>
        <v>12</v>
      </c>
      <c r="C179" s="193">
        <v>20</v>
      </c>
      <c r="D179" s="179">
        <f t="shared" ref="D179:D197" si="11">B179*C179</f>
        <v>240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35</v>
      </c>
      <c r="B180" s="181">
        <f>'Données projet'!D168</f>
        <v>21</v>
      </c>
      <c r="C180" s="193">
        <v>20</v>
      </c>
      <c r="D180" s="179">
        <f t="shared" si="11"/>
        <v>420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40</v>
      </c>
      <c r="B181" s="181">
        <f>'Données projet'!D169</f>
        <v>21</v>
      </c>
      <c r="C181" s="193">
        <v>20</v>
      </c>
      <c r="D181" s="179">
        <f t="shared" si="11"/>
        <v>420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45</v>
      </c>
      <c r="B182" s="181">
        <f>'Données projet'!D170</f>
        <v>21</v>
      </c>
      <c r="C182" s="193">
        <v>25</v>
      </c>
      <c r="D182" s="179">
        <f t="shared" si="11"/>
        <v>525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50</v>
      </c>
      <c r="B183" s="181">
        <f>'Données projet'!D171</f>
        <v>21</v>
      </c>
      <c r="C183" s="193">
        <v>25</v>
      </c>
      <c r="D183" s="179">
        <f t="shared" si="11"/>
        <v>525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55</v>
      </c>
      <c r="B184" s="181">
        <f>'Données projet'!D172</f>
        <v>21</v>
      </c>
      <c r="C184" s="193">
        <v>40</v>
      </c>
      <c r="D184" s="179">
        <f t="shared" si="11"/>
        <v>840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60</v>
      </c>
      <c r="B185" s="181">
        <f>'Données projet'!D173</f>
        <v>21</v>
      </c>
      <c r="C185" s="193">
        <v>60</v>
      </c>
      <c r="D185" s="179">
        <f t="shared" si="11"/>
        <v>1260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65</v>
      </c>
      <c r="B186" s="181">
        <f>'Données projet'!D174</f>
        <v>21</v>
      </c>
      <c r="C186" s="193">
        <v>80</v>
      </c>
      <c r="D186" s="179">
        <f t="shared" si="11"/>
        <v>1680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70</v>
      </c>
      <c r="B187" s="181">
        <f>'Données projet'!D175</f>
        <v>21</v>
      </c>
      <c r="C187" s="193">
        <v>80</v>
      </c>
      <c r="D187" s="179">
        <f t="shared" si="11"/>
        <v>1680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75</v>
      </c>
      <c r="B188" s="181">
        <f>'Données projet'!D176</f>
        <v>21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80</v>
      </c>
      <c r="B189" s="181">
        <f>'Données projet'!D177</f>
        <v>270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>Alisier torminal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3247.93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20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25</v>
      </c>
      <c r="B210" s="181">
        <f>'Données projet'!D193</f>
        <v>8</v>
      </c>
      <c r="C210" s="193">
        <v>12</v>
      </c>
      <c r="D210" s="179">
        <f t="shared" ref="D210:D228" si="12">B210*C210</f>
        <v>96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30</v>
      </c>
      <c r="B211" s="181">
        <f>'Données projet'!D194</f>
        <v>21</v>
      </c>
      <c r="C211" s="193">
        <v>12</v>
      </c>
      <c r="D211" s="179">
        <f t="shared" si="12"/>
        <v>252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35</v>
      </c>
      <c r="B212" s="181">
        <f>'Données projet'!D195</f>
        <v>21</v>
      </c>
      <c r="C212" s="193">
        <v>40</v>
      </c>
      <c r="D212" s="179">
        <f t="shared" si="12"/>
        <v>840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40</v>
      </c>
      <c r="B213" s="181">
        <f>'Données projet'!D196</f>
        <v>21</v>
      </c>
      <c r="C213" s="193">
        <v>40</v>
      </c>
      <c r="D213" s="179">
        <f t="shared" si="12"/>
        <v>840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45</v>
      </c>
      <c r="B214" s="181">
        <f>'Données projet'!D197</f>
        <v>21</v>
      </c>
      <c r="C214" s="193">
        <v>60</v>
      </c>
      <c r="D214" s="179">
        <f t="shared" si="12"/>
        <v>1260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50</v>
      </c>
      <c r="B215" s="181">
        <f>'Données projet'!D198</f>
        <v>21</v>
      </c>
      <c r="C215" s="193">
        <v>60</v>
      </c>
      <c r="D215" s="179">
        <f t="shared" si="12"/>
        <v>1260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55</v>
      </c>
      <c r="B216" s="181">
        <f>'Données projet'!D199</f>
        <v>21</v>
      </c>
      <c r="C216" s="193">
        <v>80</v>
      </c>
      <c r="D216" s="179">
        <f t="shared" si="12"/>
        <v>1680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60</v>
      </c>
      <c r="B217" s="181">
        <f>'Données projet'!D200</f>
        <v>215</v>
      </c>
      <c r="C217" s="193">
        <v>120</v>
      </c>
      <c r="D217" s="179">
        <f t="shared" si="12"/>
        <v>25800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>Aulne à feuilles en cœur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3247.93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15</v>
      </c>
      <c r="B240" s="181">
        <f>'Données projet'!D218</f>
        <v>15</v>
      </c>
      <c r="C240" s="193">
        <v>10</v>
      </c>
      <c r="D240" s="179">
        <f>B240*C240</f>
        <v>150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20</v>
      </c>
      <c r="B241" s="181">
        <f>'Données projet'!D219</f>
        <v>28</v>
      </c>
      <c r="C241" s="193">
        <v>10</v>
      </c>
      <c r="D241" s="179">
        <f t="shared" ref="D241:D259" si="13">B241*C241</f>
        <v>280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25</v>
      </c>
      <c r="B242" s="181">
        <f>'Données projet'!D220</f>
        <v>28</v>
      </c>
      <c r="C242" s="193">
        <v>10</v>
      </c>
      <c r="D242" s="179">
        <f t="shared" si="13"/>
        <v>280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30</v>
      </c>
      <c r="B243" s="181">
        <f>'Données projet'!D221</f>
        <v>28</v>
      </c>
      <c r="C243" s="193">
        <v>10</v>
      </c>
      <c r="D243" s="179">
        <f t="shared" si="13"/>
        <v>280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35</v>
      </c>
      <c r="B244" s="181">
        <f>'Données projet'!D222</f>
        <v>28</v>
      </c>
      <c r="C244" s="193">
        <v>10</v>
      </c>
      <c r="D244" s="179">
        <f t="shared" si="13"/>
        <v>280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40</v>
      </c>
      <c r="B245" s="181">
        <f>'Données projet'!D223</f>
        <v>28</v>
      </c>
      <c r="C245" s="193">
        <v>10</v>
      </c>
      <c r="D245" s="179">
        <f t="shared" si="13"/>
        <v>280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45</v>
      </c>
      <c r="B246" s="181">
        <f>'Données projet'!D224</f>
        <v>22</v>
      </c>
      <c r="C246" s="193">
        <v>10</v>
      </c>
      <c r="D246" s="179">
        <f t="shared" si="13"/>
        <v>220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50</v>
      </c>
      <c r="B247" s="181">
        <f>'Données projet'!D225</f>
        <v>218</v>
      </c>
      <c r="C247" s="193">
        <v>10</v>
      </c>
      <c r="D247" s="179">
        <f t="shared" si="13"/>
        <v>2180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Thibault Anselin</cp:lastModifiedBy>
  <dcterms:created xsi:type="dcterms:W3CDTF">2021-02-01T08:22:39Z</dcterms:created>
  <dcterms:modified xsi:type="dcterms:W3CDTF">2023-05-24T12:32:36Z</dcterms:modified>
</cp:coreProperties>
</file>