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VIIA\62 - Wacheux\"/>
    </mc:Choice>
  </mc:AlternateContent>
  <bookViews>
    <workbookView xWindow="0" yWindow="0" windowWidth="28800" windowHeight="12435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0" i="1" l="1"/>
  <c r="B211" i="1"/>
  <c r="B208" i="1"/>
  <c r="B206" i="1"/>
  <c r="B204" i="1"/>
  <c r="B202" i="1"/>
  <c r="B200" i="1"/>
  <c r="D210" i="1"/>
  <c r="D208" i="1"/>
  <c r="D206" i="1"/>
  <c r="D204" i="1"/>
  <c r="D202" i="1"/>
  <c r="D200" i="1"/>
  <c r="D198" i="1"/>
  <c r="D196" i="1"/>
  <c r="D194" i="1"/>
  <c r="B209" i="1"/>
  <c r="B207" i="1"/>
  <c r="B205" i="1"/>
  <c r="B203" i="1"/>
  <c r="B201" i="1"/>
  <c r="B199" i="1"/>
  <c r="B198" i="1"/>
  <c r="B197" i="1"/>
  <c r="B196" i="1"/>
  <c r="B195" i="1"/>
  <c r="B194" i="1"/>
  <c r="B193" i="1"/>
  <c r="B192" i="1"/>
  <c r="D75" i="1"/>
  <c r="B156" i="1"/>
  <c r="D156" i="1" s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1" i="1"/>
  <c r="B142" i="1"/>
  <c r="B140" i="1"/>
  <c r="D153" i="1"/>
  <c r="D151" i="1"/>
  <c r="D149" i="1"/>
  <c r="D147" i="1"/>
  <c r="D145" i="1"/>
  <c r="D143" i="1"/>
  <c r="B127" i="1" l="1"/>
  <c r="D126" i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D116" i="1"/>
  <c r="B116" i="1"/>
  <c r="B115" i="1"/>
  <c r="B114" i="1"/>
  <c r="D211" i="1" l="1"/>
  <c r="D102" i="1"/>
  <c r="B102" i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D90" i="1"/>
  <c r="B90" i="1"/>
  <c r="B89" i="1"/>
  <c r="B88" i="1"/>
  <c r="D226" i="1"/>
  <c r="D220" i="1"/>
  <c r="B220" i="1"/>
  <c r="B219" i="1"/>
  <c r="D257" i="1"/>
  <c r="B257" i="1"/>
  <c r="B256" i="1"/>
  <c r="D255" i="1"/>
  <c r="B255" i="1"/>
  <c r="B254" i="1"/>
  <c r="D253" i="1"/>
  <c r="B253" i="1"/>
  <c r="B252" i="1"/>
  <c r="D251" i="1"/>
  <c r="B251" i="1"/>
  <c r="B250" i="1"/>
  <c r="D249" i="1"/>
  <c r="B249" i="1"/>
  <c r="B248" i="1"/>
  <c r="D247" i="1"/>
  <c r="B247" i="1"/>
  <c r="B246" i="1"/>
  <c r="D245" i="1"/>
  <c r="B245" i="1"/>
  <c r="B244" i="1"/>
  <c r="D176" i="1"/>
  <c r="B55" i="1"/>
  <c r="B50" i="1"/>
  <c r="D55" i="1"/>
  <c r="B54" i="1"/>
  <c r="B51" i="1"/>
  <c r="D53" i="1"/>
  <c r="B53" i="1"/>
  <c r="B52" i="1"/>
  <c r="D51" i="1"/>
  <c r="D49" i="1"/>
  <c r="B49" i="1"/>
  <c r="B48" i="1"/>
  <c r="D47" i="1"/>
  <c r="B47" i="1"/>
  <c r="B46" i="1"/>
  <c r="D45" i="1"/>
  <c r="B45" i="1"/>
  <c r="B44" i="1"/>
  <c r="D43" i="1"/>
  <c r="B43" i="1"/>
  <c r="B42" i="1"/>
  <c r="D41" i="1"/>
  <c r="B41" i="1"/>
  <c r="B40" i="1"/>
  <c r="D39" i="1"/>
  <c r="B39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EB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EX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EA18" i="2"/>
  <c r="FS18" i="2"/>
  <c r="EW18" i="2"/>
  <c r="EV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H20" i="2"/>
  <c r="EC20" i="2"/>
  <c r="FS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W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W22" i="2"/>
  <c r="EB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HI28" i="2"/>
  <c r="EV28" i="2"/>
  <c r="EC28" i="2"/>
  <c r="FS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A33" i="2"/>
  <c r="EB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EA35" i="2"/>
  <c r="EB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H38" i="2"/>
  <c r="EA38" i="2"/>
  <c r="FS38" i="2"/>
  <c r="EW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A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HG45" i="2"/>
  <c r="EB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HI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H57" i="2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EW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B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A87" i="2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V105" i="2"/>
  <c r="EB105" i="2"/>
  <c r="EA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EC113" i="2"/>
  <c r="EB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Q118" i="2"/>
  <c r="FS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X120" i="2"/>
  <c r="FQ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C122" i="2"/>
  <c r="FS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EA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G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HG140" i="2"/>
  <c r="EB140" i="2"/>
  <c r="FS140" i="2"/>
  <c r="FR140" i="2"/>
  <c r="EX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FS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A144" i="2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G146" i="2"/>
  <c r="EA146" i="2"/>
  <c r="FR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C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EB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Y154" i="2"/>
  <c r="DI154" i="2"/>
  <c r="ED154" i="2"/>
  <c r="EW155" i="2"/>
  <c r="EX155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H156" i="2" l="1"/>
  <c r="HG156" i="2"/>
  <c r="EY155" i="2"/>
  <c r="FS156" i="2"/>
  <c r="ED155" i="2"/>
  <c r="AB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B157" i="2"/>
  <c r="EX157" i="2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HI159" i="2"/>
  <c r="EC159" i="2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DG160" i="2"/>
  <c r="EY159" i="2"/>
  <c r="ED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ED160" i="2"/>
  <c r="AB161" i="2"/>
  <c r="FS161" i="2"/>
  <c r="EX161" i="2"/>
  <c r="EA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HH162" i="2"/>
  <c r="DI161" i="2"/>
  <c r="ED161" i="2"/>
  <c r="EB162" i="2"/>
  <c r="EW162" i="2"/>
  <c r="EY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I163" i="2"/>
  <c r="HG163" i="2"/>
  <c r="EY162" i="2"/>
  <c r="EB163" i="2"/>
  <c r="ED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HG164" i="2"/>
  <c r="EY163" i="2"/>
  <c r="DI163" i="2"/>
  <c r="ED163" i="2"/>
  <c r="EA164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CN165" i="2"/>
  <c r="HI166" i="2"/>
  <c r="EX166" i="2"/>
  <c r="EW166" i="2"/>
  <c r="EY165" i="2"/>
  <c r="FR166" i="2"/>
  <c r="GN166" i="2"/>
  <c r="HH166" i="2"/>
  <c r="HJ166" i="2" s="1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HH167" i="2"/>
  <c r="EY166" i="2"/>
  <c r="DG167" i="2"/>
  <c r="EB167" i="2"/>
  <c r="EC167" i="2"/>
  <c r="FR167" i="2"/>
  <c r="EX167" i="2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DI167" i="2"/>
  <c r="EB168" i="2"/>
  <c r="EW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V172" i="2"/>
  <c r="EY171" i="2"/>
  <c r="ED171" i="2"/>
  <c r="EB172" i="2"/>
  <c r="EA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W173" i="2"/>
  <c r="EB173" i="2"/>
  <c r="ED172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Y173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5" i="2" l="1"/>
  <c r="EW175" i="2"/>
  <c r="ED174" i="2"/>
  <c r="EB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W177" i="2"/>
  <c r="FS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W178" i="2"/>
  <c r="EA178" i="2"/>
  <c r="FS178" i="2"/>
  <c r="FQ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ED178" i="2"/>
  <c r="EA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HI180" i="2"/>
  <c r="EY179" i="2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W181" i="2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FS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HH185" i="2"/>
  <c r="EY184" i="2"/>
  <c r="ED184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W186" i="2"/>
  <c r="EA186" i="2"/>
  <c r="FR186" i="2"/>
  <c r="FS186" i="2"/>
  <c r="EB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G190" i="2"/>
  <c r="EV190" i="2"/>
  <c r="EY189" i="2"/>
  <c r="ED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HG191" i="2"/>
  <c r="EW191" i="2"/>
  <c r="ED190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HH192" i="2"/>
  <c r="EY191" i="2"/>
  <c r="EW192" i="2"/>
  <c r="EC192" i="2"/>
  <c r="EV192" i="2"/>
  <c r="EB192" i="2"/>
  <c r="EA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A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A194" i="2"/>
  <c r="ED193" i="2"/>
  <c r="EB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D194" i="2"/>
  <c r="AA195" i="2"/>
  <c r="FQ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EY196" i="2"/>
  <c r="EW197" i="2"/>
  <c r="FS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W198" i="2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HG199" i="2"/>
  <c r="EY198" i="2"/>
  <c r="EV199" i="2"/>
  <c r="EW199" i="2"/>
  <c r="EB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HH201" i="2"/>
  <c r="EY200" i="2"/>
  <c r="DI200" i="2"/>
  <c r="FS201" i="2"/>
  <c r="EB201" i="2"/>
  <c r="EA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HG202" i="2"/>
  <c r="EY201" i="2"/>
  <c r="EX202" i="2"/>
  <c r="EW202" i="2"/>
  <c r="FS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DN56" i="2" a="1"/>
  <c r="DN56" i="2" s="1"/>
  <c r="GT115" i="2" a="1"/>
  <c r="GT115" i="2" s="1"/>
  <c r="GT33" i="2" a="1"/>
  <c r="GT33" i="2" s="1"/>
  <c r="GT147" i="2" a="1"/>
  <c r="GT147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8" i="2" a="1"/>
  <c r="FD48" i="2" s="1"/>
  <c r="BC130" i="2" a="1"/>
  <c r="BC130" i="2" s="1"/>
  <c r="DN63" i="2" a="1"/>
  <c r="DN63" i="2" s="1"/>
  <c r="GT189" i="2" a="1"/>
  <c r="GT189" i="2" s="1"/>
  <c r="GT74" i="2" a="1"/>
  <c r="GT74" i="2" s="1"/>
  <c r="GT126" i="2" a="1"/>
  <c r="GT126" i="2" s="1"/>
  <c r="GT107" i="2" a="1"/>
  <c r="GT107" i="2" s="1"/>
  <c r="GT15" i="2" a="1"/>
  <c r="GT1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BX107" i="2" a="1"/>
  <c r="BX107" i="2" s="1"/>
  <c r="FD82" i="2" a="1"/>
  <c r="FD82" i="2" s="1"/>
  <c r="DN187" i="2" a="1"/>
  <c r="DN187" i="2" s="1"/>
  <c r="HJ202" i="2"/>
  <c r="AX200" i="2"/>
  <c r="GT181" i="2" l="1" a="1"/>
  <c r="GT181" i="2" s="1"/>
  <c r="GT138" i="2" a="1"/>
  <c r="GT138" i="2" s="1"/>
  <c r="GT178" i="2" a="1"/>
  <c r="GT178" i="2" s="1"/>
  <c r="GT152" i="2" a="1"/>
  <c r="GT152" i="2" s="1"/>
  <c r="GT184" i="2" a="1"/>
  <c r="GT184" i="2" s="1"/>
  <c r="GT174" i="2" a="1"/>
  <c r="GT174" i="2" s="1"/>
  <c r="GT198" i="2" a="1"/>
  <c r="GT198" i="2" s="1"/>
  <c r="GT133" i="2" a="1"/>
  <c r="GT133" i="2" s="1"/>
  <c r="GT190" i="2" a="1"/>
  <c r="GT190" i="2" s="1"/>
  <c r="GT21" i="2" a="1"/>
  <c r="GT21" i="2" s="1"/>
  <c r="GT121" i="2" a="1"/>
  <c r="GT121" i="2" s="1"/>
  <c r="GT191" i="2" a="1"/>
  <c r="GT191" i="2" s="1"/>
  <c r="GT12" i="2" a="1"/>
  <c r="GT12" i="2" s="1"/>
  <c r="GT122" i="2" a="1"/>
  <c r="GT122" i="2" s="1"/>
  <c r="GT38" i="2" a="1"/>
  <c r="GT38" i="2" s="1"/>
  <c r="GT11" i="2" a="1"/>
  <c r="GT11" i="2" s="1"/>
  <c r="GT51" i="2" a="1"/>
  <c r="GT51" i="2" s="1"/>
  <c r="GT102" i="2" a="1"/>
  <c r="GT102" i="2" s="1"/>
  <c r="GT68" i="2" a="1"/>
  <c r="GT68" i="2" s="1"/>
  <c r="HH203" i="2"/>
  <c r="HG203" i="2"/>
  <c r="AH19" i="2" a="1"/>
  <c r="AH19" i="2" s="1"/>
  <c r="CS52" i="2" a="1"/>
  <c r="CS52" i="2" s="1"/>
  <c r="AH62" i="2" a="1"/>
  <c r="AH62" i="2" s="1"/>
  <c r="AH199" i="2" a="1"/>
  <c r="AH199" i="2" s="1"/>
  <c r="AH166" i="2" a="1"/>
  <c r="AH166" i="2" s="1"/>
  <c r="AH92" i="2" a="1"/>
  <c r="AH92" i="2" s="1"/>
  <c r="AH90" i="2" a="1"/>
  <c r="AH90" i="2" s="1"/>
  <c r="AH163" i="2" a="1"/>
  <c r="AH163" i="2" s="1"/>
  <c r="AH151" i="2" a="1"/>
  <c r="AH151" i="2" s="1"/>
  <c r="CS24" i="2" a="1"/>
  <c r="CS24" i="2" s="1"/>
  <c r="CS77" i="2" a="1"/>
  <c r="CS77" i="2" s="1"/>
  <c r="CS185" i="2" a="1"/>
  <c r="CS185" i="2" s="1"/>
  <c r="CS105" i="2" a="1"/>
  <c r="CS105" i="2" s="1"/>
  <c r="CS161" i="2" a="1"/>
  <c r="CS161" i="2" s="1"/>
  <c r="CS114" i="2" a="1"/>
  <c r="CS114" i="2" s="1"/>
  <c r="CS137" i="2" a="1"/>
  <c r="CS137" i="2" s="1"/>
  <c r="CS56" i="2" a="1"/>
  <c r="CS56" i="2" s="1"/>
  <c r="CS66" i="2" a="1"/>
  <c r="CS66" i="2" s="1"/>
  <c r="CS72" i="2" a="1"/>
  <c r="CS72" i="2" s="1"/>
  <c r="CS116" i="2" a="1"/>
  <c r="CS116" i="2" s="1"/>
  <c r="CS120" i="2" a="1"/>
  <c r="CS120" i="2" s="1"/>
  <c r="CS38" i="2" a="1"/>
  <c r="CS38" i="2" s="1"/>
  <c r="CS129" i="2" a="1"/>
  <c r="CS129" i="2" s="1"/>
  <c r="EI16" i="2" a="1"/>
  <c r="EI16" i="2" s="1"/>
  <c r="EI170" i="2" a="1"/>
  <c r="EI170" i="2" s="1"/>
  <c r="EI57" i="2" a="1"/>
  <c r="EI57" i="2" s="1"/>
  <c r="EI162" i="2" a="1"/>
  <c r="EI162" i="2" s="1"/>
  <c r="EI150" i="2" a="1"/>
  <c r="EI150" i="2" s="1"/>
  <c r="EI36" i="2" a="1"/>
  <c r="EI36" i="2" s="1"/>
  <c r="EY202" i="2"/>
  <c r="EI113" i="2" a="1"/>
  <c r="EI113" i="2" s="1"/>
  <c r="EI87" i="2" a="1"/>
  <c r="EI87" i="2" s="1"/>
  <c r="EI195" i="2" a="1"/>
  <c r="EI195" i="2" s="1"/>
  <c r="EI29" i="2" a="1"/>
  <c r="EI29" i="2" s="1"/>
  <c r="EI109" i="2" a="1"/>
  <c r="EI109" i="2" s="1"/>
  <c r="EI106" i="2" a="1"/>
  <c r="EI106" i="2" s="1"/>
  <c r="EI37" i="2" a="1"/>
  <c r="EI37" i="2" s="1"/>
  <c r="EI20" i="2" a="1"/>
  <c r="EI20" i="2" s="1"/>
  <c r="EI38" i="2" a="1"/>
  <c r="EI38" i="2" s="1"/>
  <c r="EI153" i="2" a="1"/>
  <c r="EI153" i="2" s="1"/>
  <c r="EI35" i="2" a="1"/>
  <c r="EI35" i="2" s="1"/>
  <c r="EI34" i="2" a="1"/>
  <c r="EI34" i="2" s="1"/>
  <c r="EI142" i="2" a="1"/>
  <c r="EI142" i="2" s="1"/>
  <c r="EI166" i="2" a="1"/>
  <c r="EI166" i="2" s="1"/>
  <c r="EI128" i="2" a="1"/>
  <c r="EI128" i="2" s="1"/>
  <c r="EI139" i="2" a="1"/>
  <c r="EI139" i="2" s="1"/>
  <c r="EI165" i="2" a="1"/>
  <c r="EI165" i="2" s="1"/>
  <c r="EI178" i="2" a="1"/>
  <c r="EI178" i="2" s="1"/>
  <c r="EI198" i="2" a="1"/>
  <c r="EI198" i="2" s="1"/>
  <c r="EI67" i="2" a="1"/>
  <c r="EI67" i="2" s="1"/>
  <c r="EI71" i="2" a="1"/>
  <c r="EI71" i="2" s="1"/>
  <c r="EI145" i="2" a="1"/>
  <c r="EI145" i="2" s="1"/>
  <c r="BC83" i="2" a="1"/>
  <c r="BC83" i="2" s="1"/>
  <c r="BC7" i="2" a="1"/>
  <c r="BC7" i="2" s="1"/>
  <c r="BC185" i="2" a="1"/>
  <c r="BC185" i="2" s="1"/>
  <c r="BC151" i="2" a="1"/>
  <c r="BC151" i="2" s="1"/>
  <c r="BC164" i="2" a="1"/>
  <c r="BC164" i="2" s="1"/>
  <c r="BC192" i="2" a="1"/>
  <c r="BC192" i="2" s="1"/>
  <c r="BC55" i="2" a="1"/>
  <c r="BC55" i="2" s="1"/>
  <c r="BC117" i="2" a="1"/>
  <c r="BC117" i="2" s="1"/>
  <c r="BC143" i="2" a="1"/>
  <c r="BC143" i="2" s="1"/>
  <c r="BC181" i="2" a="1"/>
  <c r="BC181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BC82" i="2" a="1"/>
  <c r="BC82" i="2" s="1"/>
  <c r="BC47" i="2" a="1"/>
  <c r="BC47" i="2" s="1"/>
  <c r="BC68" i="2" a="1"/>
  <c r="BC68" i="2" s="1"/>
  <c r="BC58" i="2" a="1"/>
  <c r="BC58" i="2" s="1"/>
  <c r="FD21" i="2" a="1"/>
  <c r="FD21" i="2" s="1"/>
  <c r="FD19" i="2" a="1"/>
  <c r="FD19" i="2" s="1"/>
  <c r="FR203" i="2"/>
  <c r="FD194" i="2" a="1"/>
  <c r="FD194" i="2" s="1"/>
  <c r="FD160" i="2" a="1"/>
  <c r="FD160" i="2" s="1"/>
  <c r="FD159" i="2" a="1"/>
  <c r="FD159" i="2" s="1"/>
  <c r="FD64" i="2" a="1"/>
  <c r="FD64" i="2" s="1"/>
  <c r="FD189" i="2" a="1"/>
  <c r="FD189" i="2" s="1"/>
  <c r="FD137" i="2" a="1"/>
  <c r="FD137" i="2" s="1"/>
  <c r="FD14" i="2" a="1"/>
  <c r="FD14" i="2" s="1"/>
  <c r="FD107" i="2" a="1"/>
  <c r="FD107" i="2" s="1"/>
  <c r="FD44" i="2" a="1"/>
  <c r="FD44" i="2" s="1"/>
  <c r="FD167" i="2" a="1"/>
  <c r="FD167" i="2" s="1"/>
  <c r="FD188" i="2" a="1"/>
  <c r="FD188" i="2" s="1"/>
  <c r="FD187" i="2" a="1"/>
  <c r="FD187" i="2" s="1"/>
  <c r="FD131" i="2" a="1"/>
  <c r="FD131" i="2" s="1"/>
  <c r="FD60" i="2" a="1"/>
  <c r="FD60" i="2" s="1"/>
  <c r="FD43" i="2" a="1"/>
  <c r="FD43" i="2" s="1"/>
  <c r="FD59" i="2" a="1"/>
  <c r="FD59" i="2" s="1"/>
  <c r="FD144" i="2" a="1"/>
  <c r="FD144" i="2" s="1"/>
  <c r="FS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DI203" i="2"/>
  <c r="FT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107" i="2"/>
  <c r="CY102" i="2"/>
  <c r="CY161" i="2"/>
  <c r="CY139" i="2"/>
  <c r="CY97" i="2"/>
  <c r="CY159" i="2"/>
  <c r="CY168" i="2"/>
  <c r="CY146" i="2"/>
  <c r="CY3" i="2"/>
  <c r="C10" i="4" s="1"/>
  <c r="E10" i="4" s="1"/>
  <c r="F10" i="4" s="1"/>
  <c r="G10" i="4" s="1"/>
  <c r="L10" i="4" s="1"/>
  <c r="CY145" i="2"/>
  <c r="CY194" i="2"/>
  <c r="CY75" i="2"/>
  <c r="CY197" i="2"/>
  <c r="CY150" i="2"/>
  <c r="CY90" i="2"/>
  <c r="CY101" i="2"/>
  <c r="CY141" i="2"/>
  <c r="CY9" i="2"/>
  <c r="CY63" i="2"/>
  <c r="CY49" i="2"/>
  <c r="CY88" i="2"/>
  <c r="CY50" i="2"/>
  <c r="CY163" i="2"/>
  <c r="CY67" i="2"/>
  <c r="CY177" i="2"/>
  <c r="CY87" i="2"/>
  <c r="CY183" i="2"/>
  <c r="CY172" i="2"/>
  <c r="CY42" i="2"/>
  <c r="CY147" i="2"/>
  <c r="CY77" i="2"/>
  <c r="CY81" i="2"/>
  <c r="CY137" i="2"/>
  <c r="CY73" i="2"/>
  <c r="CY44" i="2"/>
  <c r="CY131" i="2"/>
  <c r="CY142" i="2"/>
  <c r="CY4" i="2"/>
  <c r="CY98" i="2"/>
  <c r="CY106" i="2"/>
  <c r="CY169" i="2"/>
  <c r="CY121" i="2"/>
  <c r="CY195" i="2"/>
  <c r="CY48" i="2"/>
  <c r="CY26" i="2"/>
  <c r="CY27" i="2"/>
  <c r="CY65" i="2"/>
  <c r="CY115" i="2"/>
  <c r="CY15" i="2"/>
  <c r="CY78" i="2"/>
  <c r="CY30" i="2"/>
  <c r="CY59" i="2"/>
  <c r="CY35" i="2"/>
  <c r="CY138" i="2"/>
  <c r="CY28" i="2"/>
  <c r="CY189" i="2"/>
  <c r="CY64" i="2"/>
  <c r="CY25" i="2"/>
  <c r="CY175" i="2"/>
  <c r="CY38" i="2"/>
  <c r="CY166" i="2"/>
  <c r="CY7" i="2"/>
  <c r="CY103" i="2"/>
  <c r="CY33" i="2"/>
  <c r="CY182" i="2"/>
  <c r="CY178" i="2"/>
  <c r="CY203" i="2"/>
  <c r="CY86" i="2"/>
  <c r="CY114" i="2"/>
  <c r="CY173" i="2"/>
  <c r="CY31" i="2"/>
  <c r="CY118" i="2"/>
  <c r="CY8" i="2"/>
  <c r="CY179" i="2"/>
  <c r="CY152" i="2"/>
  <c r="CY105" i="2"/>
  <c r="CY186" i="2"/>
  <c r="CY187" i="2"/>
  <c r="CY126" i="2"/>
  <c r="CY201" i="2"/>
  <c r="CY36" i="2"/>
  <c r="CY199" i="2"/>
  <c r="CY89" i="2"/>
  <c r="CY19" i="2"/>
  <c r="CY185" i="2"/>
  <c r="CY80" i="2"/>
  <c r="CY133" i="2"/>
  <c r="CY29" i="2"/>
  <c r="CY32" i="2"/>
  <c r="CY108" i="2"/>
  <c r="CY158" i="2"/>
  <c r="CY124" i="2"/>
  <c r="CY192" i="2"/>
  <c r="CY112" i="2"/>
  <c r="CY40" i="2"/>
  <c r="CY110" i="2"/>
  <c r="CY134" i="2"/>
  <c r="CY157" i="2"/>
  <c r="CY171" i="2"/>
  <c r="CY11" i="2"/>
  <c r="CY123" i="2"/>
  <c r="CY12" i="2"/>
  <c r="CY144" i="2"/>
  <c r="CY62" i="2"/>
  <c r="CY170" i="2"/>
  <c r="CY94" i="2"/>
  <c r="CY113" i="2"/>
  <c r="CY5" i="2"/>
  <c r="CY92" i="2"/>
  <c r="CY120" i="2"/>
  <c r="CY91" i="2"/>
  <c r="CY41" i="2"/>
  <c r="CY174" i="2"/>
  <c r="CY60" i="2"/>
  <c r="CY51" i="2"/>
  <c r="CY122" i="2"/>
  <c r="CY55" i="2"/>
  <c r="CY14" i="2"/>
  <c r="CY167" i="2"/>
  <c r="CY188" i="2"/>
  <c r="CY13" i="2"/>
  <c r="CY21" i="2"/>
  <c r="CY83" i="2"/>
  <c r="CY202" i="2"/>
  <c r="CY132" i="2"/>
  <c r="CY160" i="2"/>
  <c r="CY23" i="2"/>
  <c r="CY52" i="2"/>
  <c r="CY70" i="2"/>
  <c r="CY164" i="2"/>
  <c r="CY190" i="2"/>
  <c r="CY18" i="2"/>
  <c r="CY79" i="2"/>
  <c r="CY99" i="2"/>
  <c r="CY53" i="2"/>
  <c r="CY82" i="2"/>
  <c r="CY155" i="2"/>
  <c r="CY143" i="2"/>
  <c r="CY10" i="2"/>
  <c r="CY37" i="2"/>
  <c r="CY71" i="2"/>
  <c r="CY125" i="2"/>
  <c r="CY84" i="2"/>
  <c r="CY111" i="2"/>
  <c r="CY149" i="2"/>
  <c r="CY54" i="2"/>
  <c r="CY72" i="2"/>
  <c r="CY22" i="2"/>
  <c r="CY162" i="2"/>
  <c r="CY95" i="2"/>
  <c r="CY6" i="2"/>
  <c r="CY66" i="2"/>
  <c r="CY198" i="2"/>
  <c r="CY200" i="2"/>
  <c r="CY45" i="2"/>
  <c r="CY17" i="2"/>
  <c r="CY191" i="2"/>
  <c r="CY46" i="2"/>
  <c r="CY20" i="2"/>
  <c r="CY100" i="2"/>
  <c r="CY184" i="2"/>
  <c r="CY156" i="2"/>
  <c r="CY128" i="2"/>
  <c r="CY119" i="2"/>
  <c r="CY153" i="2"/>
  <c r="CY68" i="2"/>
  <c r="CY136" i="2"/>
  <c r="CY135" i="2"/>
  <c r="CY116" i="2"/>
  <c r="CY76" i="2"/>
  <c r="CY176" i="2"/>
  <c r="CY61" i="2"/>
  <c r="CY196" i="2"/>
  <c r="CY85" i="2"/>
  <c r="CY140" i="2"/>
  <c r="CY47" i="2"/>
  <c r="CY56" i="2"/>
  <c r="CY93" i="2"/>
  <c r="CY181" i="2"/>
  <c r="CY148" i="2"/>
  <c r="CY165" i="2"/>
  <c r="CY154" i="2"/>
  <c r="CY193" i="2"/>
  <c r="CY109" i="2"/>
  <c r="CY96" i="2"/>
  <c r="CY16" i="2"/>
  <c r="CY104" i="2"/>
  <c r="CY57" i="2"/>
  <c r="CY58" i="2"/>
  <c r="CY39" i="2"/>
  <c r="CY129" i="2"/>
  <c r="CY130" i="2"/>
  <c r="CY127" i="2"/>
  <c r="CY34" i="2"/>
  <c r="CY43" i="2"/>
  <c r="CY151" i="2"/>
  <c r="CY69" i="2"/>
  <c r="CY180" i="2"/>
  <c r="CY117" i="2"/>
  <c r="CY74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E51" i="2" l="1"/>
  <c r="GE16" i="2"/>
  <c r="GE189" i="2"/>
  <c r="GE29" i="2"/>
  <c r="GE187" i="2"/>
  <c r="GE127" i="2"/>
  <c r="GE112" i="2"/>
  <c r="GE131" i="2"/>
  <c r="GE87" i="2"/>
  <c r="GE195" i="2"/>
  <c r="GE199" i="2"/>
  <c r="GE31" i="2"/>
  <c r="GE200" i="2"/>
  <c r="GE173" i="2"/>
  <c r="GE170" i="2"/>
  <c r="GE146" i="2"/>
  <c r="GE28" i="2"/>
  <c r="GE3" i="2"/>
  <c r="C14" i="4" s="1"/>
  <c r="E14" i="4" s="1"/>
  <c r="F14" i="4" s="1"/>
  <c r="G14" i="4" s="1"/>
  <c r="L14" i="4" s="1"/>
  <c r="GE147" i="2"/>
  <c r="GE8" i="2"/>
  <c r="GE68" i="2"/>
  <c r="GE71" i="2"/>
  <c r="GE65" i="2"/>
  <c r="GE166" i="2"/>
  <c r="GE22" i="2"/>
  <c r="GE192" i="2"/>
  <c r="GE193" i="2"/>
  <c r="GE108" i="2"/>
  <c r="GE184" i="2"/>
  <c r="GE190" i="2"/>
  <c r="GE67" i="2"/>
  <c r="GE61" i="2"/>
  <c r="GE109" i="2"/>
  <c r="GE90" i="2"/>
  <c r="GE58" i="2"/>
  <c r="GE105" i="2"/>
  <c r="GE120" i="2"/>
  <c r="GE134" i="2"/>
  <c r="GE174" i="2"/>
  <c r="GE113" i="2"/>
  <c r="GE156" i="2"/>
  <c r="GE150" i="2"/>
  <c r="GE182" i="2"/>
  <c r="GE149" i="2"/>
  <c r="GE191" i="2"/>
  <c r="GE35" i="2"/>
  <c r="GE102" i="2"/>
  <c r="GE160" i="2"/>
  <c r="GE11" i="2"/>
  <c r="GE172" i="2"/>
  <c r="GE139" i="2"/>
  <c r="GE158" i="2"/>
  <c r="GE138" i="2"/>
  <c r="GE74" i="2"/>
  <c r="GE5" i="2"/>
  <c r="GE84" i="2"/>
  <c r="GE186" i="2"/>
  <c r="GE178" i="2"/>
  <c r="GE183" i="2"/>
  <c r="GE165" i="2"/>
  <c r="GE44" i="2"/>
  <c r="GE117" i="2"/>
  <c r="GE66" i="2"/>
  <c r="GE145" i="2"/>
  <c r="GE124" i="2"/>
  <c r="GE151" i="2"/>
  <c r="GE30" i="2"/>
  <c r="GE201" i="2"/>
  <c r="GE114" i="2"/>
  <c r="GE129" i="2"/>
  <c r="GE50" i="2"/>
  <c r="GE94" i="2"/>
  <c r="GE177" i="2"/>
  <c r="GE179" i="2"/>
  <c r="GE101" i="2"/>
  <c r="GE20" i="2"/>
  <c r="GE76" i="2"/>
  <c r="GE9" i="2"/>
  <c r="GE7" i="2"/>
  <c r="GE62" i="2"/>
  <c r="GE81" i="2"/>
  <c r="GE49" i="2"/>
  <c r="GE99" i="2"/>
  <c r="GE100" i="2"/>
  <c r="GE18" i="2"/>
  <c r="GE10" i="2"/>
  <c r="GE162" i="2"/>
  <c r="GE202" i="2"/>
  <c r="GE54" i="2"/>
  <c r="GE121" i="2"/>
  <c r="GE77" i="2"/>
  <c r="GE132" i="2"/>
  <c r="GE168" i="2"/>
  <c r="GE116" i="2"/>
  <c r="GE55" i="2"/>
  <c r="GE69" i="2"/>
  <c r="GE24" i="2"/>
  <c r="GE181" i="2"/>
  <c r="GE135" i="2"/>
  <c r="GE159" i="2"/>
  <c r="GE79" i="2"/>
  <c r="GE52" i="2"/>
  <c r="GE40" i="2"/>
  <c r="GE34" i="2"/>
  <c r="GE78" i="2"/>
  <c r="GE80" i="2"/>
  <c r="GE93" i="2"/>
  <c r="GE169" i="2"/>
  <c r="GE37" i="2"/>
  <c r="GE188" i="2"/>
  <c r="GE163" i="2"/>
  <c r="GE130" i="2"/>
  <c r="GE25" i="2"/>
  <c r="GE47" i="2"/>
  <c r="GE63" i="2"/>
  <c r="GE15" i="2"/>
  <c r="GE95" i="2"/>
  <c r="GE136" i="2"/>
  <c r="GE88" i="2"/>
  <c r="GE203" i="2"/>
  <c r="GE103" i="2"/>
  <c r="GE33" i="2"/>
  <c r="GE128" i="2"/>
  <c r="GE57" i="2"/>
  <c r="GE185" i="2"/>
  <c r="GE198" i="2"/>
  <c r="GE12" i="2"/>
  <c r="GE48" i="2"/>
  <c r="GE97" i="2"/>
  <c r="GE91" i="2"/>
  <c r="GE119" i="2"/>
  <c r="GE153" i="2"/>
  <c r="GE41" i="2"/>
  <c r="GE82" i="2"/>
  <c r="GE38" i="2"/>
  <c r="GE164" i="2"/>
  <c r="GE194" i="2"/>
  <c r="GE176" i="2"/>
  <c r="GE148" i="2"/>
  <c r="GE21" i="2"/>
  <c r="GE137" i="2"/>
  <c r="GE104" i="2"/>
  <c r="GE36" i="2"/>
  <c r="GE126" i="2"/>
  <c r="GE196" i="2"/>
  <c r="GE155" i="2"/>
  <c r="GE83" i="2"/>
  <c r="GE59" i="2"/>
  <c r="GE53" i="2"/>
  <c r="GE171" i="2"/>
  <c r="GE60" i="2"/>
  <c r="GE157" i="2"/>
  <c r="GE175" i="2"/>
  <c r="GE167" i="2"/>
  <c r="GE106" i="2"/>
  <c r="GE115" i="2"/>
  <c r="GE14" i="2"/>
  <c r="GE13" i="2"/>
  <c r="GE39" i="2"/>
  <c r="GE125" i="2"/>
  <c r="GE32" i="2"/>
  <c r="GE45" i="2"/>
  <c r="GE43" i="2"/>
  <c r="GE85" i="2"/>
  <c r="GE140" i="2"/>
  <c r="GE122" i="2"/>
  <c r="GE27" i="2"/>
  <c r="GE133" i="2"/>
  <c r="GE142" i="2"/>
  <c r="GE107" i="2"/>
  <c r="GE6" i="2"/>
  <c r="GE75" i="2"/>
  <c r="GE70" i="2"/>
  <c r="GE96" i="2"/>
  <c r="GE64" i="2"/>
  <c r="GE89" i="2"/>
  <c r="GE152" i="2"/>
  <c r="GE110" i="2"/>
  <c r="GE72" i="2"/>
  <c r="GE17" i="2"/>
  <c r="GE123" i="2"/>
  <c r="GE26" i="2"/>
  <c r="GE143" i="2"/>
  <c r="GE161" i="2"/>
  <c r="GE23" i="2"/>
  <c r="GE92" i="2"/>
  <c r="GE46" i="2"/>
  <c r="GE180" i="2"/>
  <c r="GE56" i="2"/>
  <c r="GE154" i="2"/>
  <c r="GE141" i="2"/>
  <c r="GE19" i="2"/>
  <c r="GE4" i="2"/>
  <c r="GE86" i="2"/>
  <c r="GE197" i="2"/>
  <c r="GE118" i="2"/>
  <c r="GE42" i="2"/>
  <c r="GE98" i="2"/>
  <c r="GE111" i="2"/>
  <c r="GE144" i="2"/>
  <c r="GE73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<sst xmlns="http://schemas.openxmlformats.org/spreadsheetml/2006/main" count="1178" uniqueCount="324">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</sst>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161.75563241829539</c:v>
                </c:pt>
                <c:pt idx="22">
                  <c:v>175.89351283227515</c:v>
                </c:pt>
                <c:pt idx="23">
                  <c:v>190.00471981377623</c:v>
                </c:pt>
                <c:pt idx="24">
                  <c:v>204.09151430529414</c:v>
                </c:pt>
                <c:pt idx="25">
                  <c:v>218.15581931274576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262.56193918616879</c:v>
                </c:pt>
                <c:pt idx="32">
                  <c:v>283.53519379457339</c:v>
                </c:pt>
                <c:pt idx="33">
                  <c:v>304.47370954373434</c:v>
                </c:pt>
                <c:pt idx="34">
                  <c:v>325.38021038250321</c:v>
                </c:pt>
                <c:pt idx="35">
                  <c:v>346.25704166537042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302.92383728372175</c:v>
                </c:pt>
                <c:pt idx="39">
                  <c:v>324.60643807826506</c:v>
                </c:pt>
                <c:pt idx="40">
                  <c:v>346.25704166537042</c:v>
                </c:pt>
                <c:pt idx="41">
                  <c:v>368.2637587173711</c:v>
                </c:pt>
                <c:pt idx="42">
                  <c:v>390.24178515868516</c:v>
                </c:pt>
                <c:pt idx="43">
                  <c:v>412.19296293548695</c:v>
                </c:pt>
                <c:pt idx="44">
                  <c:v>434.11892190865478</c:v>
                </c:pt>
                <c:pt idx="45">
                  <c:v>456.02111397099458</c:v>
                </c:pt>
                <c:pt idx="46">
                  <c:v>369.42119511414563</c:v>
                </c:pt>
                <c:pt idx="47">
                  <c:v>390.62711987432004</c:v>
                </c:pt>
                <c:pt idx="48">
                  <c:v>411.8080763786877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473.68012971962668</c:v>
                </c:pt>
                <c:pt idx="52">
                  <c:v>493.24225474849794</c:v>
                </c:pt>
                <c:pt idx="53">
                  <c:v>512.78793950323291</c:v>
                </c:pt>
                <c:pt idx="54">
                  <c:v>532.31789836558266</c:v>
                </c:pt>
                <c:pt idx="55">
                  <c:v>551.83278906179726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551.45028504666311</c:v>
                </c:pt>
                <c:pt idx="62">
                  <c:v>568.27526097606199</c:v>
                </c:pt>
                <c:pt idx="63">
                  <c:v>585.08982917045773</c:v>
                </c:pt>
                <c:pt idx="64">
                  <c:v>601.89433065861692</c:v>
                </c:pt>
                <c:pt idx="65">
                  <c:v>618.68908588691215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604.56686745724687</c:v>
                </c:pt>
                <c:pt idx="72">
                  <c:v>619.07067399707296</c:v>
                </c:pt>
                <c:pt idx="73">
                  <c:v>633.56744133236327</c:v>
                </c:pt>
                <c:pt idx="74">
                  <c:v>648.05735312955619</c:v>
                </c:pt>
                <c:pt idx="75">
                  <c:v>662.54058417706926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636.99987545603415</c:v>
                </c:pt>
                <c:pt idx="82">
                  <c:v>649.58221541705063</c:v>
                </c:pt>
                <c:pt idx="83">
                  <c:v>662.15953068851047</c:v>
                </c:pt>
                <c:pt idx="84">
                  <c:v>674.73193011676551</c:v>
                </c:pt>
                <c:pt idx="85">
                  <c:v>687.29951816311348</c:v>
                </c:pt>
                <c:pt idx="86">
                  <c:v>699.86239515908403</c:v>
                </c:pt>
                <c:pt idx="87">
                  <c:v>712.42065754245129</c:v>
                </c:pt>
                <c:pt idx="88">
                  <c:v>724.97439807575211</c:v>
                </c:pt>
                <c:pt idx="89">
                  <c:v>737.52370604888972</c:v>
                </c:pt>
                <c:pt idx="90">
                  <c:v>750.06866746724211</c:v>
                </c:pt>
                <c:pt idx="91">
                  <c:v>601.32161215624615</c:v>
                </c:pt>
                <c:pt idx="92">
                  <c:v>612.58301041135394</c:v>
                </c:pt>
                <c:pt idx="93">
                  <c:v>623.84011521480943</c:v>
                </c:pt>
                <c:pt idx="94">
                  <c:v>635.09301493951614</c:v>
                </c:pt>
                <c:pt idx="95">
                  <c:v>646.34179457229266</c:v>
                </c:pt>
                <c:pt idx="96">
                  <c:v>657.58653590152971</c:v>
                </c:pt>
                <c:pt idx="97">
                  <c:v>668.82731769134739</c:v>
                </c:pt>
                <c:pt idx="98">
                  <c:v>680.06421584344105</c:v>
                </c:pt>
                <c:pt idx="99">
                  <c:v>691.29730354768026</c:v>
                </c:pt>
                <c:pt idx="100">
                  <c:v>702.52665142241483</c:v>
                </c:pt>
                <c:pt idx="101">
                  <c:v>712.42065754245107</c:v>
                </c:pt>
                <c:pt idx="102">
                  <c:v>722.31185677865858</c:v>
                </c:pt>
                <c:pt idx="103">
                  <c:v>732.20029297203462</c:v>
                </c:pt>
                <c:pt idx="104">
                  <c:v>742.08600868333099</c:v>
                </c:pt>
                <c:pt idx="105">
                  <c:v>751.96904524735601</c:v>
                </c:pt>
                <c:pt idx="106">
                  <c:v>761.84944282427648</c:v>
                </c:pt>
                <c:pt idx="107">
                  <c:v>771.72724044812094</c:v>
                </c:pt>
                <c:pt idx="108">
                  <c:v>781.60247607267092</c:v>
                </c:pt>
                <c:pt idx="109">
                  <c:v>791.47518661491574</c:v>
                </c:pt>
                <c:pt idx="110">
                  <c:v>801.34540799622619</c:v>
                </c:pt>
                <c:pt idx="111">
                  <c:v>608.19348941446765</c:v>
                </c:pt>
                <c:pt idx="112">
                  <c:v>616.78107210210862</c:v>
                </c:pt>
                <c:pt idx="113">
                  <c:v>625.36617664098856</c:v>
                </c:pt>
                <c:pt idx="114">
                  <c:v>633.94884184663999</c:v>
                </c:pt>
                <c:pt idx="115">
                  <c:v>642.52910539795459</c:v>
                </c:pt>
                <c:pt idx="116">
                  <c:v>651.10700388552493</c:v>
                </c:pt>
                <c:pt idx="117">
                  <c:v>659.68257285730954</c:v>
                </c:pt>
                <c:pt idx="118">
                  <c:v>668.25584686179957</c:v>
                </c:pt>
                <c:pt idx="119">
                  <c:v>676.82685948885762</c:v>
                </c:pt>
                <c:pt idx="120">
                  <c:v>685.39564340837808</c:v>
                </c:pt>
                <c:pt idx="121">
                  <c:v>693.39119233094789</c:v>
                </c:pt>
                <c:pt idx="122">
                  <c:v>701.38485267499789</c:v>
                </c:pt>
                <c:pt idx="123">
                  <c:v>709.37664899579306</c:v>
                </c:pt>
                <c:pt idx="124">
                  <c:v>717.36660525030732</c:v>
                </c:pt>
                <c:pt idx="125">
                  <c:v>725.35474481844449</c:v>
                </c:pt>
                <c:pt idx="126">
                  <c:v>733.34109052327722</c:v>
                </c:pt>
                <c:pt idx="127">
                  <c:v>741.32566465035904</c:v>
                </c:pt>
                <c:pt idx="128">
                  <c:v>749.30848896615805</c:v>
                </c:pt>
                <c:pt idx="129">
                  <c:v>757.28958473566934</c:v>
                </c:pt>
                <c:pt idx="130">
                  <c:v>765.2689727392434</c:v>
                </c:pt>
                <c:pt idx="131">
                  <c:v>599.22154722155733</c:v>
                </c:pt>
                <c:pt idx="132">
                  <c:v>606.47567200029607</c:v>
                </c:pt>
                <c:pt idx="133">
                  <c:v>613.72799533010129</c:v>
                </c:pt>
                <c:pt idx="134">
                  <c:v>620.97854150271451</c:v>
                </c:pt>
                <c:pt idx="135">
                  <c:v>628.22733419629969</c:v>
                </c:pt>
                <c:pt idx="136">
                  <c:v>635.47439649799799</c:v>
                </c:pt>
                <c:pt idx="137">
                  <c:v>642.71975092539503</c:v>
                </c:pt>
                <c:pt idx="138">
                  <c:v>649.96341944697554</c:v>
                </c:pt>
                <c:pt idx="139">
                  <c:v>657.20542350161361</c:v>
                </c:pt>
                <c:pt idx="140">
                  <c:v>664.44578401716376</c:v>
                </c:pt>
                <c:pt idx="141">
                  <c:v>671.1131007030807</c:v>
                </c:pt>
                <c:pt idx="142">
                  <c:v>677.77905606178604</c:v>
                </c:pt>
                <c:pt idx="143">
                  <c:v>684.44366537005408</c:v>
                </c:pt>
                <c:pt idx="144">
                  <c:v>691.10694358289311</c:v>
                </c:pt>
                <c:pt idx="145">
                  <c:v>697.76890534342408</c:v>
                </c:pt>
                <c:pt idx="146">
                  <c:v>704.42956499236743</c:v>
                </c:pt>
                <c:pt idx="147">
                  <c:v>711.08893657714862</c:v>
                </c:pt>
                <c:pt idx="148">
                  <c:v>717.74703386064687</c:v>
                </c:pt>
                <c:pt idx="149">
                  <c:v>724.40387032960223</c:v>
                </c:pt>
                <c:pt idx="150">
                  <c:v>731.05945920269721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994176"/>
        <c:axId val="2036999072"/>
      </c:scatterChart>
      <c:valAx>
        <c:axId val="20369941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36999072"/>
        <c:crosses val="autoZero"/>
        <c:crossBetween val="midCat"/>
      </c:valAx>
      <c:valAx>
        <c:axId val="203699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36994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904560"/>
        <c:axId val="2120905104"/>
      </c:scatterChart>
      <c:valAx>
        <c:axId val="2120904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5104"/>
        <c:crosses val="autoZero"/>
        <c:crossBetween val="midCat"/>
      </c:valAx>
      <c:valAx>
        <c:axId val="212090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4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2.4930544562343209</c:v>
                </c:pt>
                <c:pt idx="2">
                  <c:v>2.8312149626283083</c:v>
                </c:pt>
                <c:pt idx="3">
                  <c:v>3.215407113281183</c:v>
                </c:pt>
                <c:pt idx="4">
                  <c:v>3.6519179165808038</c:v>
                </c:pt>
                <c:pt idx="5">
                  <c:v>4.1478957572728943</c:v>
                </c:pt>
                <c:pt idx="6">
                  <c:v>4.7114687574411658</c:v>
                </c:pt>
                <c:pt idx="7">
                  <c:v>5.3518794453079614</c:v>
                </c:pt>
                <c:pt idx="8">
                  <c:v>6.079637984337869</c:v>
                </c:pt>
                <c:pt idx="9">
                  <c:v>6.906696526953815</c:v>
                </c:pt>
                <c:pt idx="10">
                  <c:v>7.8466476122603366</c:v>
                </c:pt>
                <c:pt idx="11">
                  <c:v>8.9149499315239371</c:v>
                </c:pt>
                <c:pt idx="12">
                  <c:v>10.129185245635144</c:v>
                </c:pt>
                <c:pt idx="13">
                  <c:v>11.509350763173957</c:v>
                </c:pt>
                <c:pt idx="14">
                  <c:v>13.078191884909627</c:v>
                </c:pt>
                <c:pt idx="15">
                  <c:v>14.861580900715024</c:v>
                </c:pt>
                <c:pt idx="16">
                  <c:v>16.888947999504762</c:v>
                </c:pt>
                <c:pt idx="17">
                  <c:v>19.193771835061334</c:v>
                </c:pt>
                <c:pt idx="18">
                  <c:v>21.81413789547473</c:v>
                </c:pt>
                <c:pt idx="19">
                  <c:v>24.793374068455687</c:v>
                </c:pt>
                <c:pt idx="20">
                  <c:v>28.180774098438121</c:v>
                </c:pt>
                <c:pt idx="21">
                  <c:v>32.032421116321167</c:v>
                </c:pt>
                <c:pt idx="22">
                  <c:v>51.647109078738964</c:v>
                </c:pt>
                <c:pt idx="23">
                  <c:v>71.060821810548774</c:v>
                </c:pt>
                <c:pt idx="24">
                  <c:v>90.337363448897307</c:v>
                </c:pt>
                <c:pt idx="25">
                  <c:v>109.51040959893373</c:v>
                </c:pt>
                <c:pt idx="26">
                  <c:v>128.6007226213413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7000160"/>
        <c:axId val="2120901296"/>
      </c:scatterChart>
      <c:valAx>
        <c:axId val="2037000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1296"/>
        <c:crosses val="autoZero"/>
        <c:crossBetween val="midCat"/>
      </c:valAx>
      <c:valAx>
        <c:axId val="212090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37000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900752"/>
        <c:axId val="2120912176"/>
      </c:scatterChart>
      <c:valAx>
        <c:axId val="21209007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12176"/>
        <c:crosses val="autoZero"/>
        <c:crossBetween val="midCat"/>
      </c:valAx>
      <c:valAx>
        <c:axId val="212091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0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2.3792316710116794</c:v>
                </c:pt>
                <c:pt idx="2">
                  <c:v>3.0001714302004134</c:v>
                </c:pt>
                <c:pt idx="3">
                  <c:v>3.7838026635400475</c:v>
                </c:pt>
                <c:pt idx="4">
                  <c:v>4.7729092148501211</c:v>
                </c:pt>
                <c:pt idx="5">
                  <c:v>6.0215647416368272</c:v>
                </c:pt>
                <c:pt idx="6">
                  <c:v>7.5981213697524668</c:v>
                </c:pt>
                <c:pt idx="7">
                  <c:v>9.5889918293318406</c:v>
                </c:pt>
                <c:pt idx="8">
                  <c:v>12.103436304894307</c:v>
                </c:pt>
                <c:pt idx="9">
                  <c:v>15.279621602197665</c:v>
                </c:pt>
                <c:pt idx="10">
                  <c:v>19.292291680236925</c:v>
                </c:pt>
                <c:pt idx="11">
                  <c:v>37.096852338099858</c:v>
                </c:pt>
                <c:pt idx="12">
                  <c:v>54.659647561719503</c:v>
                </c:pt>
                <c:pt idx="13">
                  <c:v>72.072088558495707</c:v>
                </c:pt>
                <c:pt idx="14">
                  <c:v>89.376149667899369</c:v>
                </c:pt>
                <c:pt idx="15">
                  <c:v>106.595922899923</c:v>
                </c:pt>
                <c:pt idx="16">
                  <c:v>128.68204943403745</c:v>
                </c:pt>
                <c:pt idx="17">
                  <c:v>150.67621656079791</c:v>
                </c:pt>
                <c:pt idx="18">
                  <c:v>172.59376735487015</c:v>
                </c:pt>
                <c:pt idx="19">
                  <c:v>194.44581168538045</c:v>
                </c:pt>
                <c:pt idx="20">
                  <c:v>216.24075084880474</c:v>
                </c:pt>
                <c:pt idx="21">
                  <c:v>133.93252826541888</c:v>
                </c:pt>
                <c:pt idx="22">
                  <c:v>157.46934134660478</c:v>
                </c:pt>
                <c:pt idx="23">
                  <c:v>180.92254957217764</c:v>
                </c:pt>
                <c:pt idx="24">
                  <c:v>204.3045280233529</c:v>
                </c:pt>
                <c:pt idx="25">
                  <c:v>227.62457918072189</c:v>
                </c:pt>
                <c:pt idx="26">
                  <c:v>250.13311494134999</c:v>
                </c:pt>
                <c:pt idx="27">
                  <c:v>272.59572366188627</c:v>
                </c:pt>
                <c:pt idx="28">
                  <c:v>295.01672068637509</c:v>
                </c:pt>
                <c:pt idx="29">
                  <c:v>317.39971168920596</c:v>
                </c:pt>
                <c:pt idx="30">
                  <c:v>339.74775226555522</c:v>
                </c:pt>
                <c:pt idx="31">
                  <c:v>250.07004383824537</c:v>
                </c:pt>
                <c:pt idx="32">
                  <c:v>270.42380439071962</c:v>
                </c:pt>
                <c:pt idx="33">
                  <c:v>290.74310019724186</c:v>
                </c:pt>
                <c:pt idx="34">
                  <c:v>311.03067786790672</c:v>
                </c:pt>
                <c:pt idx="35">
                  <c:v>331.28889643907786</c:v>
                </c:pt>
                <c:pt idx="36">
                  <c:v>349.04714813629499</c:v>
                </c:pt>
                <c:pt idx="37">
                  <c:v>366.78558363331143</c:v>
                </c:pt>
                <c:pt idx="38">
                  <c:v>384.50529582609062</c:v>
                </c:pt>
                <c:pt idx="39">
                  <c:v>402.20726868632238</c:v>
                </c:pt>
                <c:pt idx="40">
                  <c:v>419.89239253282386</c:v>
                </c:pt>
                <c:pt idx="41">
                  <c:v>325.83511614471871</c:v>
                </c:pt>
                <c:pt idx="42">
                  <c:v>341.21974267416618</c:v>
                </c:pt>
                <c:pt idx="43">
                  <c:v>356.58912057242401</c:v>
                </c:pt>
                <c:pt idx="44">
                  <c:v>371.94399954059327</c:v>
                </c:pt>
                <c:pt idx="45">
                  <c:v>387.28506233326408</c:v>
                </c:pt>
                <c:pt idx="46">
                  <c:v>400.61572997207281</c:v>
                </c:pt>
                <c:pt idx="47">
                  <c:v>413.9368001118296</c:v>
                </c:pt>
                <c:pt idx="48">
                  <c:v>427.24862511853593</c:v>
                </c:pt>
                <c:pt idx="49">
                  <c:v>440.55153361033672</c:v>
                </c:pt>
                <c:pt idx="50">
                  <c:v>453.84583274186275</c:v>
                </c:pt>
                <c:pt idx="51">
                  <c:v>398.15013483461621</c:v>
                </c:pt>
                <c:pt idx="52">
                  <c:v>409.63265752074312</c:v>
                </c:pt>
                <c:pt idx="53">
                  <c:v>421.10823125259907</c:v>
                </c:pt>
                <c:pt idx="54">
                  <c:v>432.57707211284247</c:v>
                </c:pt>
                <c:pt idx="55">
                  <c:v>444.03938378997123</c:v>
                </c:pt>
                <c:pt idx="56">
                  <c:v>453.81470838209202</c:v>
                </c:pt>
                <c:pt idx="57">
                  <c:v>463.58553297341928</c:v>
                </c:pt>
                <c:pt idx="58">
                  <c:v>473.35196580283736</c:v>
                </c:pt>
                <c:pt idx="59">
                  <c:v>483.1141102774788</c:v>
                </c:pt>
                <c:pt idx="60">
                  <c:v>492.8720652837838</c:v>
                </c:pt>
                <c:pt idx="61">
                  <c:v>454.06370198273868</c:v>
                </c:pt>
                <c:pt idx="62">
                  <c:v>462.21663985035343</c:v>
                </c:pt>
                <c:pt idx="63">
                  <c:v>470.36650984219659</c:v>
                </c:pt>
                <c:pt idx="64">
                  <c:v>478.51337263187162</c:v>
                </c:pt>
                <c:pt idx="65">
                  <c:v>486.65728665769001</c:v>
                </c:pt>
                <c:pt idx="66">
                  <c:v>493.64879532061622</c:v>
                </c:pt>
                <c:pt idx="67">
                  <c:v>500.63820532506929</c:v>
                </c:pt>
                <c:pt idx="68">
                  <c:v>507.62555011613114</c:v>
                </c:pt>
                <c:pt idx="69">
                  <c:v>514.61086214265538</c:v>
                </c:pt>
                <c:pt idx="70">
                  <c:v>521.59417290035935</c:v>
                </c:pt>
                <c:pt idx="71">
                  <c:v>487.8693000072526</c:v>
                </c:pt>
                <c:pt idx="72">
                  <c:v>494.36336407119035</c:v>
                </c:pt>
                <c:pt idx="73">
                  <c:v>500.85562034073132</c:v>
                </c:pt>
                <c:pt idx="74">
                  <c:v>507.34609556638321</c:v>
                </c:pt>
                <c:pt idx="75">
                  <c:v>513.83481575804865</c:v>
                </c:pt>
                <c:pt idx="76">
                  <c:v>519.35972931464255</c:v>
                </c:pt>
                <c:pt idx="77">
                  <c:v>524.88340345718075</c:v>
                </c:pt>
                <c:pt idx="78">
                  <c:v>530.40585307590879</c:v>
                </c:pt>
                <c:pt idx="79">
                  <c:v>535.9270927255476</c:v>
                </c:pt>
                <c:pt idx="80">
                  <c:v>541.44713663630864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914352"/>
        <c:axId val="2120907280"/>
      </c:scatterChart>
      <c:valAx>
        <c:axId val="21209143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7280"/>
        <c:crosses val="autoZero"/>
        <c:crossBetween val="midCat"/>
      </c:valAx>
      <c:valAx>
        <c:axId val="212090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14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2.1832588351718871</c:v>
                </c:pt>
                <c:pt idx="2">
                  <c:v>2.8151424126467504</c:v>
                </c:pt>
                <c:pt idx="3">
                  <c:v>3.6306435125259271</c:v>
                </c:pt>
                <c:pt idx="4">
                  <c:v>4.6833209032273171</c:v>
                </c:pt>
                <c:pt idx="5">
                  <c:v>6.0424108050733842</c:v>
                </c:pt>
                <c:pt idx="6">
                  <c:v>7.7974308907853205</c:v>
                </c:pt>
                <c:pt idx="7">
                  <c:v>10.064140401541296</c:v>
                </c:pt>
                <c:pt idx="8">
                  <c:v>12.992256920461166</c:v>
                </c:pt>
                <c:pt idx="9">
                  <c:v>16.775448944382362</c:v>
                </c:pt>
                <c:pt idx="10">
                  <c:v>21.664277189769351</c:v>
                </c:pt>
                <c:pt idx="11">
                  <c:v>33.289354974370632</c:v>
                </c:pt>
                <c:pt idx="12">
                  <c:v>44.800709012122176</c:v>
                </c:pt>
                <c:pt idx="13">
                  <c:v>56.232228395839918</c:v>
                </c:pt>
                <c:pt idx="14">
                  <c:v>67.602585604870924</c:v>
                </c:pt>
                <c:pt idx="15">
                  <c:v>78.923575647394614</c:v>
                </c:pt>
                <c:pt idx="16">
                  <c:v>99.143782119399972</c:v>
                </c:pt>
                <c:pt idx="17">
                  <c:v>119.26121337444529</c:v>
                </c:pt>
                <c:pt idx="18">
                  <c:v>139.29572121624977</c:v>
                </c:pt>
                <c:pt idx="19">
                  <c:v>159.26093919570374</c:v>
                </c:pt>
                <c:pt idx="20">
                  <c:v>179.16678741707778</c:v>
                </c:pt>
                <c:pt idx="21">
                  <c:v>194.77041295233732</c:v>
                </c:pt>
                <c:pt idx="22">
                  <c:v>210.34498910896306</c:v>
                </c:pt>
                <c:pt idx="23">
                  <c:v>225.89297020726829</c:v>
                </c:pt>
                <c:pt idx="24">
                  <c:v>241.41644483936727</c:v>
                </c:pt>
                <c:pt idx="25">
                  <c:v>256.91721089069478</c:v>
                </c:pt>
                <c:pt idx="26">
                  <c:v>211.75950715739978</c:v>
                </c:pt>
                <c:pt idx="27">
                  <c:v>225.89297020726829</c:v>
                </c:pt>
                <c:pt idx="28">
                  <c:v>240.00618343044377</c:v>
                </c:pt>
                <c:pt idx="29">
                  <c:v>254.10050561748861</c:v>
                </c:pt>
                <c:pt idx="30">
                  <c:v>268.17713242968813</c:v>
                </c:pt>
                <c:pt idx="31">
                  <c:v>281.67503125470051</c:v>
                </c:pt>
                <c:pt idx="32">
                  <c:v>295.1584377506797</c:v>
                </c:pt>
                <c:pt idx="33">
                  <c:v>308.62810734722376</c:v>
                </c:pt>
                <c:pt idx="34">
                  <c:v>322.08472413201127</c:v>
                </c:pt>
                <c:pt idx="35">
                  <c:v>335.52891035063595</c:v>
                </c:pt>
                <c:pt idx="36">
                  <c:v>272.11556422776465</c:v>
                </c:pt>
                <c:pt idx="37">
                  <c:v>284.48524314677445</c:v>
                </c:pt>
                <c:pt idx="38">
                  <c:v>296.842883014341</c:v>
                </c:pt>
                <c:pt idx="39">
                  <c:v>309.18905580466088</c:v>
                </c:pt>
                <c:pt idx="40">
                  <c:v>321.52428406625791</c:v>
                </c:pt>
                <c:pt idx="41">
                  <c:v>333.00904545770453</c:v>
                </c:pt>
                <c:pt idx="42">
                  <c:v>344.48507794805352</c:v>
                </c:pt>
                <c:pt idx="43">
                  <c:v>355.95271340736258</c:v>
                </c:pt>
                <c:pt idx="44">
                  <c:v>367.41226056988808</c:v>
                </c:pt>
                <c:pt idx="45">
                  <c:v>378.86400733367765</c:v>
                </c:pt>
                <c:pt idx="46">
                  <c:v>310.87176573267203</c:v>
                </c:pt>
                <c:pt idx="47">
                  <c:v>321.24405593004218</c:v>
                </c:pt>
                <c:pt idx="48">
                  <c:v>331.60893904924779</c:v>
                </c:pt>
                <c:pt idx="49">
                  <c:v>341.96667936306943</c:v>
                </c:pt>
                <c:pt idx="50">
                  <c:v>352.31752382065224</c:v>
                </c:pt>
                <c:pt idx="51">
                  <c:v>361.82322940720059</c:v>
                </c:pt>
                <c:pt idx="52">
                  <c:v>371.32347624442946</c:v>
                </c:pt>
                <c:pt idx="53">
                  <c:v>380.81842375712</c:v>
                </c:pt>
                <c:pt idx="54">
                  <c:v>390.30822276753679</c:v>
                </c:pt>
                <c:pt idx="55">
                  <c:v>399.79301616201775</c:v>
                </c:pt>
                <c:pt idx="56">
                  <c:v>336.08882358493906</c:v>
                </c:pt>
                <c:pt idx="57">
                  <c:v>345.04466702323003</c:v>
                </c:pt>
                <c:pt idx="58">
                  <c:v>353.99540526070876</c:v>
                </c:pt>
                <c:pt idx="59">
                  <c:v>362.9411856670547</c:v>
                </c:pt>
                <c:pt idx="60">
                  <c:v>371.88214774985954</c:v>
                </c:pt>
                <c:pt idx="61">
                  <c:v>379.9808435122855</c:v>
                </c:pt>
                <c:pt idx="62">
                  <c:v>388.07578438405858</c:v>
                </c:pt>
                <c:pt idx="63">
                  <c:v>396.1670597867639</c:v>
                </c:pt>
                <c:pt idx="64">
                  <c:v>404.25475518897287</c:v>
                </c:pt>
                <c:pt idx="65">
                  <c:v>412.33895235831295</c:v>
                </c:pt>
                <c:pt idx="66">
                  <c:v>355.67311242421277</c:v>
                </c:pt>
                <c:pt idx="67">
                  <c:v>363.2206629596339</c:v>
                </c:pt>
                <c:pt idx="68">
                  <c:v>370.76478640470532</c:v>
                </c:pt>
                <c:pt idx="69">
                  <c:v>378.30556238289756</c:v>
                </c:pt>
                <c:pt idx="70">
                  <c:v>385.8430670819634</c:v>
                </c:pt>
                <c:pt idx="71">
                  <c:v>392.54038405542718</c:v>
                </c:pt>
                <c:pt idx="72">
                  <c:v>399.23522324142277</c:v>
                </c:pt>
                <c:pt idx="73">
                  <c:v>405.92763208567681</c:v>
                </c:pt>
                <c:pt idx="74">
                  <c:v>412.61765634058543</c:v>
                </c:pt>
                <c:pt idx="75">
                  <c:v>419.30534015273292</c:v>
                </c:pt>
                <c:pt idx="76">
                  <c:v>369.92671719918661</c:v>
                </c:pt>
                <c:pt idx="77">
                  <c:v>376.35086351579042</c:v>
                </c:pt>
                <c:pt idx="78">
                  <c:v>382.77262197501403</c:v>
                </c:pt>
                <c:pt idx="79">
                  <c:v>389.19203832615466</c:v>
                </c:pt>
                <c:pt idx="80">
                  <c:v>395.60915668482608</c:v>
                </c:pt>
                <c:pt idx="81">
                  <c:v>401.46629393412576</c:v>
                </c:pt>
                <c:pt idx="82">
                  <c:v>407.32158229493183</c:v>
                </c:pt>
                <c:pt idx="83">
                  <c:v>413.17505211911902</c:v>
                </c:pt>
                <c:pt idx="84">
                  <c:v>419.02673282764044</c:v>
                </c:pt>
                <c:pt idx="85">
                  <c:v>424.8766529519724</c:v>
                </c:pt>
                <c:pt idx="86">
                  <c:v>430.16794388094587</c:v>
                </c:pt>
                <c:pt idx="87">
                  <c:v>435.45783620208505</c:v>
                </c:pt>
                <c:pt idx="88">
                  <c:v>440.74634931773767</c:v>
                </c:pt>
                <c:pt idx="89">
                  <c:v>446.03350212624326</c:v>
                </c:pt>
                <c:pt idx="90">
                  <c:v>451.31931304097913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910544"/>
        <c:axId val="2120899120"/>
      </c:scatterChart>
      <c:valAx>
        <c:axId val="2120910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899120"/>
        <c:crosses val="autoZero"/>
        <c:crossBetween val="midCat"/>
      </c:valAx>
      <c:valAx>
        <c:axId val="2120899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1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911088"/>
        <c:axId val="2120901840"/>
      </c:scatterChart>
      <c:valAx>
        <c:axId val="21209110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1840"/>
        <c:crosses val="autoZero"/>
        <c:crossBetween val="midCat"/>
      </c:valAx>
      <c:valAx>
        <c:axId val="212090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11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3.1079825342915606</c:v>
                </c:pt>
                <c:pt idx="2">
                  <c:v>3.9831352858359232</c:v>
                </c:pt>
                <c:pt idx="3">
                  <c:v>5.1056841629476652</c:v>
                </c:pt>
                <c:pt idx="4">
                  <c:v>6.5458229996824224</c:v>
                </c:pt>
                <c:pt idx="5">
                  <c:v>8.3937300292591015</c:v>
                </c:pt>
                <c:pt idx="6">
                  <c:v>10.765275524303604</c:v>
                </c:pt>
                <c:pt idx="7">
                  <c:v>13.809364307377871</c:v>
                </c:pt>
                <c:pt idx="8">
                  <c:v>17.717382659817904</c:v>
                </c:pt>
                <c:pt idx="9">
                  <c:v>22.735354328524441</c:v>
                </c:pt>
                <c:pt idx="10">
                  <c:v>29.179584501081067</c:v>
                </c:pt>
                <c:pt idx="11">
                  <c:v>37.456795063324897</c:v>
                </c:pt>
                <c:pt idx="12">
                  <c:v>48.090043708972111</c:v>
                </c:pt>
                <c:pt idx="13">
                  <c:v>61.752092288547864</c:v>
                </c:pt>
                <c:pt idx="14">
                  <c:v>79.308370348833833</c:v>
                </c:pt>
                <c:pt idx="15">
                  <c:v>101.87229931916873</c:v>
                </c:pt>
                <c:pt idx="16">
                  <c:v>117.38937647857762</c:v>
                </c:pt>
                <c:pt idx="17">
                  <c:v>132.85632044015878</c:v>
                </c:pt>
                <c:pt idx="18">
                  <c:v>148.27979814657829</c:v>
                </c:pt>
                <c:pt idx="19">
                  <c:v>163.66497200540442</c:v>
                </c:pt>
                <c:pt idx="20">
                  <c:v>179.01595233014768</c:v>
                </c:pt>
                <c:pt idx="21">
                  <c:v>194.59997246881539</c:v>
                </c:pt>
                <c:pt idx="22">
                  <c:v>210.1549883131822</c:v>
                </c:pt>
                <c:pt idx="23">
                  <c:v>225.68344951574352</c:v>
                </c:pt>
                <c:pt idx="24">
                  <c:v>241.18744081547302</c:v>
                </c:pt>
                <c:pt idx="25">
                  <c:v>256.66875686937959</c:v>
                </c:pt>
                <c:pt idx="26">
                  <c:v>198.29351956846904</c:v>
                </c:pt>
                <c:pt idx="27">
                  <c:v>213.57871664581691</c:v>
                </c:pt>
                <c:pt idx="28">
                  <c:v>228.83872386815744</c:v>
                </c:pt>
                <c:pt idx="29">
                  <c:v>244.0754578704227</c:v>
                </c:pt>
                <c:pt idx="30">
                  <c:v>259.29057630253919</c:v>
                </c:pt>
                <c:pt idx="31">
                  <c:v>273.96188391382958</c:v>
                </c:pt>
                <c:pt idx="32">
                  <c:v>288.61553966190291</c:v>
                </c:pt>
                <c:pt idx="33">
                  <c:v>303.25256606374194</c:v>
                </c:pt>
                <c:pt idx="34">
                  <c:v>317.87387884766321</c:v>
                </c:pt>
                <c:pt idx="35">
                  <c:v>332.48030260881734</c:v>
                </c:pt>
                <c:pt idx="36">
                  <c:v>278.41213183083715</c:v>
                </c:pt>
                <c:pt idx="37">
                  <c:v>292.27631779996528</c:v>
                </c:pt>
                <c:pt idx="38">
                  <c:v>306.12582263909644</c:v>
                </c:pt>
                <c:pt idx="39">
                  <c:v>319.96140418627698</c:v>
                </c:pt>
                <c:pt idx="40">
                  <c:v>333.78374937501832</c:v>
                </c:pt>
                <c:pt idx="41">
                  <c:v>346.55166637710568</c:v>
                </c:pt>
                <c:pt idx="42">
                  <c:v>359.30925781067913</c:v>
                </c:pt>
                <c:pt idx="43">
                  <c:v>372.05694200295653</c:v>
                </c:pt>
                <c:pt idx="44">
                  <c:v>384.79510627137751</c:v>
                </c:pt>
                <c:pt idx="45">
                  <c:v>397.52411019447646</c:v>
                </c:pt>
                <c:pt idx="46">
                  <c:v>339.51758892007979</c:v>
                </c:pt>
                <c:pt idx="47">
                  <c:v>351.76006924925809</c:v>
                </c:pt>
                <c:pt idx="48">
                  <c:v>363.99321066425381</c:v>
                </c:pt>
                <c:pt idx="49">
                  <c:v>376.21737131771482</c:v>
                </c:pt>
                <c:pt idx="50">
                  <c:v>388.4328841840873</c:v>
                </c:pt>
                <c:pt idx="51">
                  <c:v>399.86112159092801</c:v>
                </c:pt>
                <c:pt idx="52">
                  <c:v>411.28229041391364</c:v>
                </c:pt>
                <c:pt idx="53">
                  <c:v>422.69661464593588</c:v>
                </c:pt>
                <c:pt idx="54">
                  <c:v>434.10430519378178</c:v>
                </c:pt>
                <c:pt idx="55">
                  <c:v>445.50556097376767</c:v>
                </c:pt>
                <c:pt idx="56">
                  <c:v>386.35424502436632</c:v>
                </c:pt>
                <c:pt idx="57">
                  <c:v>397.26442392273333</c:v>
                </c:pt>
                <c:pt idx="58">
                  <c:v>408.16811416868921</c:v>
                </c:pt>
                <c:pt idx="59">
                  <c:v>419.06551357352504</c:v>
                </c:pt>
                <c:pt idx="60">
                  <c:v>429.95680881908919</c:v>
                </c:pt>
                <c:pt idx="61">
                  <c:v>440.06484307342475</c:v>
                </c:pt>
                <c:pt idx="62">
                  <c:v>450.16790026276612</c:v>
                </c:pt>
                <c:pt idx="63">
                  <c:v>460.26610785970826</c:v>
                </c:pt>
                <c:pt idx="64">
                  <c:v>470.35958728592249</c:v>
                </c:pt>
                <c:pt idx="65">
                  <c:v>480.44845432585157</c:v>
                </c:pt>
                <c:pt idx="66">
                  <c:v>423.993273379458</c:v>
                </c:pt>
                <c:pt idx="67">
                  <c:v>433.58591486422876</c:v>
                </c:pt>
                <c:pt idx="68">
                  <c:v>443.17400011470886</c:v>
                </c:pt>
                <c:pt idx="69">
                  <c:v>452.75764163369041</c:v>
                </c:pt>
                <c:pt idx="70">
                  <c:v>462.33694677132871</c:v>
                </c:pt>
                <c:pt idx="71">
                  <c:v>471.39455324221279</c:v>
                </c:pt>
                <c:pt idx="72">
                  <c:v>480.44845432585163</c:v>
                </c:pt>
                <c:pt idx="73">
                  <c:v>489.49872971371423</c:v>
                </c:pt>
                <c:pt idx="74">
                  <c:v>498.54545590936368</c:v>
                </c:pt>
                <c:pt idx="75">
                  <c:v>507.58870641276627</c:v>
                </c:pt>
                <c:pt idx="76">
                  <c:v>454.31133429442997</c:v>
                </c:pt>
                <c:pt idx="77">
                  <c:v>463.11346028434019</c:v>
                </c:pt>
                <c:pt idx="78">
                  <c:v>471.91201806530245</c:v>
                </c:pt>
                <c:pt idx="79">
                  <c:v>480.70708356712709</c:v>
                </c:pt>
                <c:pt idx="80">
                  <c:v>489.49872971371423</c:v>
                </c:pt>
                <c:pt idx="81">
                  <c:v>498.02859444198822</c:v>
                </c:pt>
                <c:pt idx="82">
                  <c:v>506.55536570967496</c:v>
                </c:pt>
                <c:pt idx="83">
                  <c:v>515.07910294474061</c:v>
                </c:pt>
                <c:pt idx="84">
                  <c:v>523.59986344738036</c:v>
                </c:pt>
                <c:pt idx="85">
                  <c:v>532.1177025003368</c:v>
                </c:pt>
                <c:pt idx="86">
                  <c:v>481.74157097323285</c:v>
                </c:pt>
                <c:pt idx="87">
                  <c:v>489.49872971371445</c:v>
                </c:pt>
                <c:pt idx="88">
                  <c:v>497.25328093317034</c:v>
                </c:pt>
                <c:pt idx="89">
                  <c:v>505.00527104516345</c:v>
                </c:pt>
                <c:pt idx="90">
                  <c:v>512.7547449216022</c:v>
                </c:pt>
                <c:pt idx="91">
                  <c:v>520.50174596698128</c:v>
                </c:pt>
                <c:pt idx="92">
                  <c:v>528.24631618797048</c:v>
                </c:pt>
                <c:pt idx="93">
                  <c:v>535.98849625870969</c:v>
                </c:pt>
                <c:pt idx="94">
                  <c:v>543.72832558213634</c:v>
                </c:pt>
                <c:pt idx="95">
                  <c:v>551.46584234763566</c:v>
                </c:pt>
                <c:pt idx="96">
                  <c:v>503.19670004131399</c:v>
                </c:pt>
                <c:pt idx="97">
                  <c:v>510.4301643532047</c:v>
                </c:pt>
                <c:pt idx="98">
                  <c:v>517.66146335524525</c:v>
                </c:pt>
                <c:pt idx="99">
                  <c:v>524.89063157230294</c:v>
                </c:pt>
                <c:pt idx="100">
                  <c:v>532.11770250033692</c:v>
                </c:pt>
                <c:pt idx="101">
                  <c:v>538.95570657046494</c:v>
                </c:pt>
                <c:pt idx="102">
                  <c:v>545.7918879539825</c:v>
                </c:pt>
                <c:pt idx="103">
                  <c:v>552.62627270805831</c:v>
                </c:pt>
                <c:pt idx="104">
                  <c:v>559.4588861925846</c:v>
                </c:pt>
                <c:pt idx="105">
                  <c:v>566.28975309730868</c:v>
                </c:pt>
                <c:pt idx="106">
                  <c:v>573.11889746758982</c:v>
                </c:pt>
                <c:pt idx="107">
                  <c:v>579.94634272886162</c:v>
                </c:pt>
                <c:pt idx="108">
                  <c:v>586.77211170988437</c:v>
                </c:pt>
                <c:pt idx="109">
                  <c:v>593.59622666485791</c:v>
                </c:pt>
                <c:pt idx="110">
                  <c:v>600.41870929446566</c:v>
                </c:pt>
                <c:pt idx="111">
                  <c:v>530.69826324876692</c:v>
                </c:pt>
                <c:pt idx="112">
                  <c:v>537.02060847710493</c:v>
                </c:pt>
                <c:pt idx="113">
                  <c:v>543.34138935187991</c:v>
                </c:pt>
                <c:pt idx="114">
                  <c:v>549.66062664564004</c:v>
                </c:pt>
                <c:pt idx="115">
                  <c:v>555.97834061416404</c:v>
                </c:pt>
                <c:pt idx="116">
                  <c:v>562.29455101517226</c:v>
                </c:pt>
                <c:pt idx="117">
                  <c:v>568.60927712615228</c:v>
                </c:pt>
                <c:pt idx="118">
                  <c:v>574.92253776135237</c:v>
                </c:pt>
                <c:pt idx="119">
                  <c:v>581.2343512879894</c:v>
                </c:pt>
                <c:pt idx="120">
                  <c:v>587.54473564171474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908912"/>
        <c:axId val="2120900208"/>
      </c:scatterChart>
      <c:valAx>
        <c:axId val="21209089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0208"/>
        <c:crosses val="autoZero"/>
        <c:crossBetween val="midCat"/>
      </c:valAx>
      <c:valAx>
        <c:axId val="2120900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8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903472"/>
        <c:axId val="2120902384"/>
      </c:scatterChart>
      <c:valAx>
        <c:axId val="2120903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2384"/>
        <c:crosses val="autoZero"/>
        <c:crossBetween val="midCat"/>
      </c:valAx>
      <c:valAx>
        <c:axId val="212090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3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172.61880685670505</c:v>
                </c:pt>
                <c:pt idx="22">
                  <c:v>187.70863707245701</c:v>
                </c:pt>
                <c:pt idx="23">
                  <c:v>202.77017479447795</c:v>
                </c:pt>
                <c:pt idx="24">
                  <c:v>217.80581820310817</c:v>
                </c:pt>
                <c:pt idx="25">
                  <c:v>232.81760702956308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280.21615005760458</c:v>
                </c:pt>
                <c:pt idx="32">
                  <c:v>302.60315205267642</c:v>
                </c:pt>
                <c:pt idx="33">
                  <c:v>324.95330656071559</c:v>
                </c:pt>
                <c:pt idx="34">
                  <c:v>347.26950287262474</c:v>
                </c:pt>
                <c:pt idx="35">
                  <c:v>369.55422870449644</c:v>
                </c:pt>
                <c:pt idx="36">
                  <c:v>276.89622424264081</c:v>
                </c:pt>
                <c:pt idx="37">
                  <c:v>300.11758429718867</c:v>
                </c:pt>
                <c:pt idx="38">
                  <c:v>323.29893699066071</c:v>
                </c:pt>
                <c:pt idx="39">
                  <c:v>346.44355255688725</c:v>
                </c:pt>
                <c:pt idx="40">
                  <c:v>369.55422870449632</c:v>
                </c:pt>
                <c:pt idx="41">
                  <c:v>393.04523943920964</c:v>
                </c:pt>
                <c:pt idx="42">
                  <c:v>416.50581806048382</c:v>
                </c:pt>
                <c:pt idx="43">
                  <c:v>439.93791831951495</c:v>
                </c:pt>
                <c:pt idx="44">
                  <c:v>463.34326900875232</c:v>
                </c:pt>
                <c:pt idx="45">
                  <c:v>486.72341015001939</c:v>
                </c:pt>
                <c:pt idx="46">
                  <c:v>394.28074727616132</c:v>
                </c:pt>
                <c:pt idx="47">
                  <c:v>416.9171476106103</c:v>
                </c:pt>
                <c:pt idx="48">
                  <c:v>439.52706413119489</c:v>
                </c:pt>
                <c:pt idx="49">
                  <c:v>462.11204968448243</c:v>
                </c:pt>
                <c:pt idx="50">
                  <c:v>484.67349306043207</c:v>
                </c:pt>
                <c:pt idx="51">
                  <c:v>505.5741589882723</c:v>
                </c:pt>
                <c:pt idx="52">
                  <c:v>526.45656094055948</c:v>
                </c:pt>
                <c:pt idx="53">
                  <c:v>547.32152470399308</c:v>
                </c:pt>
                <c:pt idx="54">
                  <c:v>568.16980802286537</c:v>
                </c:pt>
                <c:pt idx="55">
                  <c:v>589.00210854701277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588.59378151919873</c:v>
                </c:pt>
                <c:pt idx="62">
                  <c:v>606.55465432493395</c:v>
                </c:pt>
                <c:pt idx="63">
                  <c:v>624.504487652433</c:v>
                </c:pt>
                <c:pt idx="64">
                  <c:v>642.44364323070261</c:v>
                </c:pt>
                <c:pt idx="65">
                  <c:v>660.3724609570171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645.2966381487488</c:v>
                </c:pt>
                <c:pt idx="72">
                  <c:v>660.77981648497882</c:v>
                </c:pt>
                <c:pt idx="73">
                  <c:v>676.25552834120583</c:v>
                </c:pt>
                <c:pt idx="74">
                  <c:v>691.72396853231078</c:v>
                </c:pt>
                <c:pt idx="75">
                  <c:v>707.18532245626284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679.91975639292957</c:v>
                </c:pt>
                <c:pt idx="82">
                  <c:v>693.35181003961088</c:v>
                </c:pt>
                <c:pt idx="83">
                  <c:v>706.77853400111223</c:v>
                </c:pt>
                <c:pt idx="84">
                  <c:v>720.20004373069298</c:v>
                </c:pt>
                <c:pt idx="85">
                  <c:v>733.61645003038905</c:v>
                </c:pt>
                <c:pt idx="86">
                  <c:v>747.02785932179313</c:v>
                </c:pt>
                <c:pt idx="87">
                  <c:v>760.4343738963945</c:v>
                </c:pt>
                <c:pt idx="88">
                  <c:v>773.83609214735907</c:v>
                </c:pt>
                <c:pt idx="89">
                  <c:v>787.23310878443408</c:v>
                </c:pt>
                <c:pt idx="90">
                  <c:v>800.62551503347186</c:v>
                </c:pt>
                <c:pt idx="91">
                  <c:v>641.83225318617042</c:v>
                </c:pt>
                <c:pt idx="92">
                  <c:v>653.85406638827408</c:v>
                </c:pt>
                <c:pt idx="93">
                  <c:v>665.87132552880155</c:v>
                </c:pt>
                <c:pt idx="94">
                  <c:v>677.88412434483791</c:v>
                </c:pt>
                <c:pt idx="95">
                  <c:v>689.89255298185105</c:v>
                </c:pt>
                <c:pt idx="96">
                  <c:v>701.89669819273695</c:v>
                </c:pt>
                <c:pt idx="97">
                  <c:v>713.89664352255079</c:v>
                </c:pt>
                <c:pt idx="98">
                  <c:v>725.89246948017455</c:v>
                </c:pt>
                <c:pt idx="99">
                  <c:v>737.88425369805907</c:v>
                </c:pt>
                <c:pt idx="100">
                  <c:v>749.87207108104519</c:v>
                </c:pt>
                <c:pt idx="101">
                  <c:v>760.43437389639394</c:v>
                </c:pt>
                <c:pt idx="102">
                  <c:v>770.99369945175965</c:v>
                </c:pt>
                <c:pt idx="103">
                  <c:v>781.55009424926186</c:v>
                </c:pt>
                <c:pt idx="104">
                  <c:v>792.10360343306365</c:v>
                </c:pt>
                <c:pt idx="105">
                  <c:v>802.65427084697183</c:v>
                </c:pt>
                <c:pt idx="106">
                  <c:v>813.2021390888516</c:v>
                </c:pt>
                <c:pt idx="107">
                  <c:v>823.74724956207217</c:v>
                </c:pt>
                <c:pt idx="108">
                  <c:v>834.28964252418791</c:v>
                </c:pt>
                <c:pt idx="109">
                  <c:v>844.82935713302641</c:v>
                </c:pt>
                <c:pt idx="110">
                  <c:v>855.36643149036433</c:v>
                </c:pt>
                <c:pt idx="111">
                  <c:v>649.16814374322746</c:v>
                </c:pt>
                <c:pt idx="112">
                  <c:v>658.33560563795163</c:v>
                </c:pt>
                <c:pt idx="113">
                  <c:v>667.50043896178022</c:v>
                </c:pt>
                <c:pt idx="114">
                  <c:v>676.66268488632613</c:v>
                </c:pt>
                <c:pt idx="115">
                  <c:v>685.82238337756644</c:v>
                </c:pt>
                <c:pt idx="116">
                  <c:v>694.97957324712058</c:v>
                </c:pt>
                <c:pt idx="117">
                  <c:v>704.13429220068656</c:v>
                </c:pt>
                <c:pt idx="118">
                  <c:v>713.28657688382884</c:v>
                </c:pt>
                <c:pt idx="119">
                  <c:v>722.43646292529365</c:v>
                </c:pt>
                <c:pt idx="120">
                  <c:v>731.58398497801829</c:v>
                </c:pt>
                <c:pt idx="121">
                  <c:v>740.11956914072152</c:v>
                </c:pt>
                <c:pt idx="122">
                  <c:v>748.65315008932919</c:v>
                </c:pt>
                <c:pt idx="123">
                  <c:v>757.18475386959517</c:v>
                </c:pt>
                <c:pt idx="124">
                  <c:v>765.71440589266729</c:v>
                </c:pt>
                <c:pt idx="125">
                  <c:v>774.24213095759603</c:v>
                </c:pt>
                <c:pt idx="126">
                  <c:v>782.76795327280058</c:v>
                </c:pt>
                <c:pt idx="127">
                  <c:v>791.29189647655346</c:v>
                </c:pt>
                <c:pt idx="128">
                  <c:v>799.81398365653479</c:v>
                </c:pt>
                <c:pt idx="129">
                  <c:v>808.33423736851239</c:v>
                </c:pt>
                <c:pt idx="130">
                  <c:v>816.85267965419155</c:v>
                </c:pt>
                <c:pt idx="131">
                  <c:v>639.59038670342318</c:v>
                </c:pt>
                <c:pt idx="132">
                  <c:v>647.33433222460849</c:v>
                </c:pt>
                <c:pt idx="133">
                  <c:v>655.07636694999781</c:v>
                </c:pt>
                <c:pt idx="134">
                  <c:v>662.81651664582557</c:v>
                </c:pt>
                <c:pt idx="135">
                  <c:v>670.55480642750706</c:v>
                </c:pt>
                <c:pt idx="136">
                  <c:v>678.29126078355807</c:v>
                </c:pt>
                <c:pt idx="137">
                  <c:v>686.02590359836915</c:v>
                </c:pt>
                <c:pt idx="138">
                  <c:v>693.7587581738976</c:v>
                </c:pt>
                <c:pt idx="139">
                  <c:v>701.48984725034506</c:v>
                </c:pt>
                <c:pt idx="140">
                  <c:v>709.21919302587401</c:v>
                </c:pt>
                <c:pt idx="141">
                  <c:v>716.33680368243961</c:v>
                </c:pt>
                <c:pt idx="142">
                  <c:v>723.45297038005356</c:v>
                </c:pt>
                <c:pt idx="143">
                  <c:v>730.5677093227813</c:v>
                </c:pt>
                <c:pt idx="144">
                  <c:v>737.68103637339038</c:v>
                </c:pt>
                <c:pt idx="145">
                  <c:v>744.79296706383138</c:v>
                </c:pt>
                <c:pt idx="146">
                  <c:v>751.90351660529711</c:v>
                </c:pt>
                <c:pt idx="147">
                  <c:v>759.01269989788318</c:v>
                </c:pt>
                <c:pt idx="148">
                  <c:v>766.12053153986801</c:v>
                </c:pt>
                <c:pt idx="149">
                  <c:v>773.22702583662794</c:v>
                </c:pt>
                <c:pt idx="150">
                  <c:v>780.33219680921172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0904016"/>
        <c:axId val="2120902928"/>
      </c:scatterChart>
      <c:valAx>
        <c:axId val="2120904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2928"/>
        <c:crosses val="autoZero"/>
        <c:crossBetween val="midCat"/>
      </c:valAx>
      <c:valAx>
        <c:axId val="21209029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090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9" zoomScale="145" zoomScaleNormal="145" workbookViewId="0">
      <selection activeCell="E22" sqref="E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2.8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0.315</v>
      </c>
      <c r="D9" s="36">
        <f t="shared" ref="D9:D18" si="0">C9*$C$5</f>
        <v>0.8819999999999999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25</v>
      </c>
      <c r="C10" s="35">
        <v>0.20469999999999999</v>
      </c>
      <c r="D10" s="36">
        <f t="shared" si="0"/>
        <v>0.57315999999999989</v>
      </c>
      <c r="E10" s="37">
        <v>99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23</v>
      </c>
      <c r="C11" s="35">
        <v>0.1181</v>
      </c>
      <c r="D11" s="36">
        <f t="shared" si="0"/>
        <v>0.33067999999999997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</v>
      </c>
      <c r="C12" s="35">
        <v>7.8700000000000006E-2</v>
      </c>
      <c r="D12" s="36">
        <f t="shared" si="0"/>
        <v>0.22036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4</v>
      </c>
      <c r="C13" s="35">
        <v>7.0900000000000005E-2</v>
      </c>
      <c r="D13" s="36">
        <f t="shared" si="0"/>
        <v>0.19852</v>
      </c>
      <c r="E13" s="37">
        <v>90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</v>
      </c>
      <c r="C14" s="35">
        <v>7.0900000000000005E-2</v>
      </c>
      <c r="D14" s="36">
        <f t="shared" si="0"/>
        <v>0.19852</v>
      </c>
      <c r="E14" s="37">
        <v>60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6</v>
      </c>
      <c r="C15" s="35">
        <v>6.3E-2</v>
      </c>
      <c r="D15" s="36">
        <f t="shared" si="0"/>
        <v>0.1764</v>
      </c>
      <c r="E15" s="37">
        <v>120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29</v>
      </c>
      <c r="C16" s="35">
        <v>3.9399999999999998E-2</v>
      </c>
      <c r="D16" s="36">
        <f t="shared" si="0"/>
        <v>0.11031999999999999</v>
      </c>
      <c r="E16" s="37">
        <v>69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 t="s">
        <v>1</v>
      </c>
      <c r="C17" s="35">
        <v>3.9300000000000002E-2</v>
      </c>
      <c r="D17" s="36">
        <f t="shared" si="0"/>
        <v>0.11004</v>
      </c>
      <c r="E17" s="37">
        <v>150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f>67+6</f>
        <v>73</v>
      </c>
      <c r="C36" s="63"/>
      <c r="D36" s="63"/>
      <c r="E36" s="54"/>
      <c r="F36" s="54"/>
      <c r="G36" s="54"/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75+6+28</f>
        <v>109</v>
      </c>
      <c r="C37" s="63">
        <v>1</v>
      </c>
      <c r="D37" s="63">
        <f>6+28</f>
        <v>34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93+28</f>
        <v>121</v>
      </c>
      <c r="C38" s="63"/>
      <c r="D38" s="63"/>
      <c r="E38" s="54"/>
      <c r="F38" s="54"/>
      <c r="G38" s="54"/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119+28+28</f>
        <v>175</v>
      </c>
      <c r="C39" s="63">
        <v>2</v>
      </c>
      <c r="D39" s="63">
        <f>28+28</f>
        <v>56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147+28</f>
        <v>175</v>
      </c>
      <c r="C40" s="63"/>
      <c r="D40" s="63"/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176+28+28</f>
        <v>232</v>
      </c>
      <c r="C41" s="63">
        <v>3</v>
      </c>
      <c r="D41" s="63">
        <f>28+28</f>
        <v>56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203+28</f>
        <v>231</v>
      </c>
      <c r="C42" s="63"/>
      <c r="D42" s="63"/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f>226+28+28</f>
        <v>282</v>
      </c>
      <c r="C43" s="63">
        <v>4</v>
      </c>
      <c r="D43" s="63">
        <f>28+28</f>
        <v>56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f>245+28</f>
        <v>273</v>
      </c>
      <c r="C44" s="63"/>
      <c r="D44" s="63"/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f>261+28+28</f>
        <v>317</v>
      </c>
      <c r="C45" s="63">
        <v>5</v>
      </c>
      <c r="D45" s="63">
        <f>28+28</f>
        <v>56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f>274+28</f>
        <v>302</v>
      </c>
      <c r="C46" s="63"/>
      <c r="D46" s="63"/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f>284+28+28</f>
        <v>340</v>
      </c>
      <c r="C47" s="63">
        <v>6</v>
      </c>
      <c r="D47" s="63">
        <f>28+28</f>
        <v>56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f>292+28</f>
        <v>320</v>
      </c>
      <c r="C48" s="63"/>
      <c r="D48" s="63"/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f>302+28+28+28</f>
        <v>386</v>
      </c>
      <c r="C49" s="63">
        <v>7</v>
      </c>
      <c r="D49" s="63">
        <f>28+28+28</f>
        <v>84</v>
      </c>
      <c r="E49" s="54"/>
      <c r="F49" s="54"/>
      <c r="G49" s="54"/>
      <c r="H49" s="54"/>
      <c r="I49" s="52">
        <f t="shared" si="1"/>
        <v>6.6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100</v>
      </c>
      <c r="B50" s="53">
        <f>306+28+27</f>
        <v>361</v>
      </c>
      <c r="C50" s="53"/>
      <c r="D50" s="53"/>
      <c r="E50" s="54"/>
      <c r="F50" s="54"/>
      <c r="G50" s="54"/>
      <c r="H50" s="54"/>
      <c r="I50" s="52">
        <f t="shared" si="1"/>
        <v>5.9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110</v>
      </c>
      <c r="B51" s="53">
        <f>307+28+27+26+25</f>
        <v>413</v>
      </c>
      <c r="C51" s="53">
        <v>8</v>
      </c>
      <c r="D51" s="53">
        <f>28+27+26+25</f>
        <v>106</v>
      </c>
      <c r="E51" s="54"/>
      <c r="F51" s="54"/>
      <c r="G51" s="54"/>
      <c r="H51" s="54"/>
      <c r="I51" s="52">
        <f t="shared" si="1"/>
        <v>5.2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120</v>
      </c>
      <c r="B52" s="53">
        <f>305+24+23</f>
        <v>352</v>
      </c>
      <c r="C52" s="53"/>
      <c r="D52" s="53"/>
      <c r="E52" s="54"/>
      <c r="F52" s="54"/>
      <c r="G52" s="54"/>
      <c r="H52" s="54"/>
      <c r="I52" s="52">
        <f t="shared" si="1"/>
        <v>4.5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130</v>
      </c>
      <c r="B53" s="53">
        <f>303+24+23+22+22</f>
        <v>394</v>
      </c>
      <c r="C53" s="53">
        <v>9</v>
      </c>
      <c r="D53" s="53">
        <f>24+23+22+22</f>
        <v>91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140</v>
      </c>
      <c r="B54" s="53">
        <f>300+21+20</f>
        <v>341</v>
      </c>
      <c r="C54" s="53"/>
      <c r="D54" s="53"/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150</v>
      </c>
      <c r="B55" s="53">
        <f>298+21+20+19+18</f>
        <v>376</v>
      </c>
      <c r="C55" s="53">
        <v>10</v>
      </c>
      <c r="D55" s="53">
        <f>B55</f>
        <v>376</v>
      </c>
      <c r="E55" s="54"/>
      <c r="F55" s="54"/>
      <c r="G55" s="54"/>
      <c r="H55" s="54"/>
      <c r="I55" s="52">
        <f t="shared" si="1"/>
        <v>3.5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Hêtre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21</v>
      </c>
      <c r="B62" s="63">
        <v>16</v>
      </c>
      <c r="C62" s="63"/>
      <c r="D62" s="63"/>
      <c r="E62" s="54"/>
      <c r="F62" s="54"/>
      <c r="G62" s="54"/>
      <c r="H62" s="54"/>
      <c r="I62" s="56">
        <f>IFERROR(B62/A62,"")</f>
        <v>0.76190476190476186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27</v>
      </c>
      <c r="B63" s="63">
        <v>77</v>
      </c>
      <c r="C63" s="63">
        <v>1</v>
      </c>
      <c r="D63" s="63">
        <v>12</v>
      </c>
      <c r="E63" s="54"/>
      <c r="F63" s="54"/>
      <c r="G63" s="54"/>
      <c r="H63" s="54">
        <v>1</v>
      </c>
      <c r="I63" s="52">
        <f>IF(A63&lt;&gt;0,(B63-(B62-D62))/(A63-A62),"")</f>
        <v>10.166666666666666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102</v>
      </c>
      <c r="C64" s="63">
        <v>2</v>
      </c>
      <c r="D64" s="63">
        <v>13</v>
      </c>
      <c r="E64" s="54"/>
      <c r="F64" s="54"/>
      <c r="G64" s="54"/>
      <c r="H64" s="54">
        <v>1</v>
      </c>
      <c r="I64" s="52">
        <f>IF(A64&lt;&gt;0,(B64-(B63-D63))/(A64-A63),"")</f>
        <v>12.333333333333334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36</v>
      </c>
      <c r="B65" s="63">
        <v>174</v>
      </c>
      <c r="C65" s="63">
        <v>3</v>
      </c>
      <c r="D65" s="63">
        <v>60</v>
      </c>
      <c r="E65" s="54"/>
      <c r="F65" s="54"/>
      <c r="G65" s="54"/>
      <c r="H65" s="54"/>
      <c r="I65" s="52">
        <f>IF(A65&lt;&gt;0,(B65-(B64-D64))/(A65-A64),"")</f>
        <v>14.166666666666666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42</v>
      </c>
      <c r="B66" s="63">
        <v>205</v>
      </c>
      <c r="C66" s="63">
        <v>4</v>
      </c>
      <c r="D66" s="63">
        <v>59</v>
      </c>
      <c r="E66" s="54"/>
      <c r="F66" s="54"/>
      <c r="G66" s="54"/>
      <c r="H66" s="54"/>
      <c r="I66" s="52">
        <f t="shared" ref="I66:I81" si="2">IF(A66&lt;&gt;0,(B66-(B65-D65))/(A66-A65),"")</f>
        <v>15.166666666666666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48</v>
      </c>
      <c r="B67" s="63">
        <v>240</v>
      </c>
      <c r="C67" s="63">
        <v>5</v>
      </c>
      <c r="D67" s="63">
        <v>63</v>
      </c>
      <c r="E67" s="54"/>
      <c r="F67" s="54"/>
      <c r="G67" s="54"/>
      <c r="H67" s="54"/>
      <c r="I67" s="52">
        <f t="shared" si="2"/>
        <v>15.666666666666666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54</v>
      </c>
      <c r="B68" s="63">
        <v>270</v>
      </c>
      <c r="C68" s="63">
        <v>6</v>
      </c>
      <c r="D68" s="63">
        <v>64</v>
      </c>
      <c r="E68" s="54"/>
      <c r="F68" s="54"/>
      <c r="G68" s="54"/>
      <c r="H68" s="54"/>
      <c r="I68" s="52">
        <f t="shared" si="2"/>
        <v>15.5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295</v>
      </c>
      <c r="C69" s="53">
        <v>7</v>
      </c>
      <c r="D69" s="53">
        <v>61</v>
      </c>
      <c r="E69" s="54"/>
      <c r="F69" s="54"/>
      <c r="G69" s="54"/>
      <c r="H69" s="54"/>
      <c r="I69" s="52">
        <f t="shared" si="2"/>
        <v>14.833333333333334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69</v>
      </c>
      <c r="B70" s="53">
        <v>358</v>
      </c>
      <c r="C70" s="53">
        <v>8</v>
      </c>
      <c r="D70" s="53">
        <v>84</v>
      </c>
      <c r="E70" s="54"/>
      <c r="F70" s="54"/>
      <c r="G70" s="54"/>
      <c r="H70" s="54"/>
      <c r="I70" s="52">
        <f t="shared" si="2"/>
        <v>13.777777777777779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78</v>
      </c>
      <c r="B71" s="53">
        <v>387</v>
      </c>
      <c r="C71" s="53">
        <v>9</v>
      </c>
      <c r="D71" s="53">
        <v>39</v>
      </c>
      <c r="E71" s="54"/>
      <c r="F71" s="54"/>
      <c r="G71" s="54"/>
      <c r="H71" s="54"/>
      <c r="I71" s="52">
        <f t="shared" si="2"/>
        <v>12.555555555555555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84</v>
      </c>
      <c r="B72" s="53">
        <v>420</v>
      </c>
      <c r="C72" s="53"/>
      <c r="D72" s="53"/>
      <c r="E72" s="54"/>
      <c r="F72" s="54"/>
      <c r="G72" s="54"/>
      <c r="H72" s="54"/>
      <c r="I72" s="52">
        <f t="shared" si="2"/>
        <v>12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90</v>
      </c>
      <c r="B73" s="53">
        <v>489</v>
      </c>
      <c r="C73" s="53"/>
      <c r="D73" s="53"/>
      <c r="E73" s="54"/>
      <c r="F73" s="54"/>
      <c r="G73" s="54"/>
      <c r="H73" s="54"/>
      <c r="I73" s="52">
        <f t="shared" si="2"/>
        <v>11.5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96</v>
      </c>
      <c r="B74" s="53">
        <v>557</v>
      </c>
      <c r="C74" s="53"/>
      <c r="D74" s="53"/>
      <c r="E74" s="54"/>
      <c r="F74" s="54"/>
      <c r="G74" s="54"/>
      <c r="H74" s="54"/>
      <c r="I74" s="52">
        <f t="shared" si="2"/>
        <v>11.333333333333334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99</v>
      </c>
      <c r="B75" s="53">
        <v>591</v>
      </c>
      <c r="C75" s="53">
        <v>10</v>
      </c>
      <c r="D75" s="53">
        <f>B75</f>
        <v>591</v>
      </c>
      <c r="E75" s="54"/>
      <c r="F75" s="54"/>
      <c r="G75" s="54"/>
      <c r="H75" s="54"/>
      <c r="I75" s="52">
        <f t="shared" si="2"/>
        <v>11.333333333333334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sycomore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3">
        <f>11.1</f>
        <v>11.1</v>
      </c>
      <c r="C88" s="63"/>
      <c r="D88" s="63"/>
      <c r="E88" s="54"/>
      <c r="F88" s="54"/>
      <c r="G88" s="54"/>
      <c r="H88" s="93"/>
      <c r="I88" s="56">
        <f>IFERROR(B88/A88,"")</f>
        <v>1.1099999999999999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3">
        <f>33+31.5</f>
        <v>64.5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10.68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3">
        <f>66.8+31.5+35</f>
        <v>133.30000000000001</v>
      </c>
      <c r="C90" s="63">
        <v>1</v>
      </c>
      <c r="D90" s="63">
        <f>31.5+35</f>
        <v>66.5</v>
      </c>
      <c r="E90" s="93"/>
      <c r="F90" s="93"/>
      <c r="G90" s="93"/>
      <c r="H90" s="93">
        <v>1</v>
      </c>
      <c r="I90" s="56">
        <f t="shared" si="3"/>
        <v>13.760000000000002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3">
        <f>105.5+35</f>
        <v>140.5</v>
      </c>
      <c r="C91" s="63"/>
      <c r="D91" s="63"/>
      <c r="E91" s="93"/>
      <c r="F91" s="93"/>
      <c r="G91" s="93"/>
      <c r="H91" s="93"/>
      <c r="I91" s="56">
        <f t="shared" si="3"/>
        <v>14.739999999999998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3">
        <f>141.8+35+35</f>
        <v>211.8</v>
      </c>
      <c r="C92" s="63">
        <v>2</v>
      </c>
      <c r="D92" s="63">
        <f>35+35</f>
        <v>70</v>
      </c>
      <c r="E92" s="93"/>
      <c r="F92" s="93"/>
      <c r="G92" s="93"/>
      <c r="H92" s="93">
        <v>1</v>
      </c>
      <c r="I92" s="56">
        <f t="shared" si="3"/>
        <v>14.260000000000002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3">
        <f>171.4+35</f>
        <v>206.4</v>
      </c>
      <c r="C93" s="63"/>
      <c r="D93" s="63"/>
      <c r="E93" s="93"/>
      <c r="F93" s="93"/>
      <c r="G93" s="93"/>
      <c r="H93" s="93"/>
      <c r="I93" s="56">
        <f t="shared" si="3"/>
        <v>12.919999999999998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3">
        <f>193.1+35+35</f>
        <v>263.10000000000002</v>
      </c>
      <c r="C94" s="63">
        <v>3</v>
      </c>
      <c r="D94" s="63">
        <f>35+35</f>
        <v>70</v>
      </c>
      <c r="E94" s="93"/>
      <c r="F94" s="93"/>
      <c r="G94" s="93"/>
      <c r="H94" s="93"/>
      <c r="I94" s="56">
        <f t="shared" si="3"/>
        <v>11.340000000000003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45</v>
      </c>
      <c r="B95" s="63">
        <f>218+24.2</f>
        <v>242.2</v>
      </c>
      <c r="C95" s="63"/>
      <c r="D95" s="63"/>
      <c r="E95" s="93"/>
      <c r="F95" s="93"/>
      <c r="G95" s="93"/>
      <c r="H95" s="93"/>
      <c r="I95" s="56">
        <f t="shared" si="3"/>
        <v>9.8199999999999932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50</v>
      </c>
      <c r="B96" s="63">
        <f>241.8+24.2+18.9</f>
        <v>284.89999999999998</v>
      </c>
      <c r="C96" s="63">
        <v>4</v>
      </c>
      <c r="D96" s="63">
        <f>24.2+18.9</f>
        <v>43.099999999999994</v>
      </c>
      <c r="E96" s="93"/>
      <c r="F96" s="93"/>
      <c r="G96" s="93"/>
      <c r="H96" s="93"/>
      <c r="I96" s="56">
        <f t="shared" si="3"/>
        <v>8.5399999999999974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55</v>
      </c>
      <c r="B97" s="63">
        <f>262.6+16</f>
        <v>278.60000000000002</v>
      </c>
      <c r="C97" s="63"/>
      <c r="D97" s="63"/>
      <c r="E97" s="93"/>
      <c r="F97" s="93"/>
      <c r="G97" s="93"/>
      <c r="H97" s="93"/>
      <c r="I97" s="56">
        <f t="shared" si="3"/>
        <v>7.3600000000000083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60</v>
      </c>
      <c r="B98" s="63">
        <f>279.8+16+14.2</f>
        <v>310</v>
      </c>
      <c r="C98" s="63">
        <v>5</v>
      </c>
      <c r="D98" s="63">
        <f>16+14.2</f>
        <v>30.2</v>
      </c>
      <c r="E98" s="93"/>
      <c r="F98" s="93"/>
      <c r="G98" s="93"/>
      <c r="H98" s="93"/>
      <c r="I98" s="56">
        <f t="shared" si="3"/>
        <v>6.2799999999999958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65</v>
      </c>
      <c r="B99" s="63">
        <f>292.6+13.4</f>
        <v>306</v>
      </c>
      <c r="C99" s="63"/>
      <c r="D99" s="63"/>
      <c r="E99" s="93"/>
      <c r="F99" s="93"/>
      <c r="G99" s="93"/>
      <c r="H99" s="93"/>
      <c r="I99" s="56">
        <f t="shared" si="3"/>
        <v>5.2399999999999975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70</v>
      </c>
      <c r="B100" s="63">
        <f>302.6+13.4+12.5</f>
        <v>328.5</v>
      </c>
      <c r="C100" s="63">
        <v>6</v>
      </c>
      <c r="D100" s="63">
        <f>13.4+12.5</f>
        <v>25.9</v>
      </c>
      <c r="E100" s="68"/>
      <c r="F100" s="68"/>
      <c r="G100" s="68"/>
      <c r="H100" s="68"/>
      <c r="I100" s="56">
        <f t="shared" si="3"/>
        <v>4.5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75</v>
      </c>
      <c r="B101" s="63">
        <f>311.9+11.6</f>
        <v>323.5</v>
      </c>
      <c r="C101" s="63"/>
      <c r="D101" s="63"/>
      <c r="E101" s="68"/>
      <c r="F101" s="68"/>
      <c r="G101" s="68"/>
      <c r="H101" s="68"/>
      <c r="I101" s="56">
        <f t="shared" si="3"/>
        <v>4.1799999999999953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80</v>
      </c>
      <c r="B102" s="53">
        <f>319+11.6+10.7</f>
        <v>341.3</v>
      </c>
      <c r="C102" s="63">
        <v>7</v>
      </c>
      <c r="D102" s="53">
        <f>B102</f>
        <v>341.3</v>
      </c>
      <c r="E102" s="57"/>
      <c r="F102" s="57"/>
      <c r="G102" s="57"/>
      <c r="H102" s="57"/>
      <c r="I102" s="56">
        <f t="shared" si="3"/>
        <v>3.5600000000000023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Châtaignier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10</v>
      </c>
      <c r="B114" s="63">
        <f>11.1</f>
        <v>11.1</v>
      </c>
      <c r="C114" s="63"/>
      <c r="D114" s="63"/>
      <c r="E114" s="54"/>
      <c r="F114" s="54"/>
      <c r="G114" s="54"/>
      <c r="H114" s="93"/>
      <c r="I114" s="56">
        <f>IFERROR(B114/A114,"")</f>
        <v>1.1099999999999999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15</v>
      </c>
      <c r="B115" s="63">
        <f>33+31.5</f>
        <v>64.5</v>
      </c>
      <c r="C115" s="63"/>
      <c r="D115" s="63"/>
      <c r="E115" s="54"/>
      <c r="F115" s="54"/>
      <c r="G115" s="54"/>
      <c r="H115" s="93"/>
      <c r="I115" s="56">
        <f t="shared" ref="I115:I133" si="4">IF(A115&lt;&gt;0,(B115-(B114-D114))/(A115-A114),"")</f>
        <v>10.68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20</v>
      </c>
      <c r="B116" s="63">
        <f>66.8+31.5+35</f>
        <v>133.30000000000001</v>
      </c>
      <c r="C116" s="63">
        <v>1</v>
      </c>
      <c r="D116" s="63">
        <f>31.5+35</f>
        <v>66.5</v>
      </c>
      <c r="E116" s="93"/>
      <c r="F116" s="93"/>
      <c r="G116" s="93"/>
      <c r="H116" s="93">
        <v>1</v>
      </c>
      <c r="I116" s="56">
        <f t="shared" si="4"/>
        <v>13.760000000000002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25</v>
      </c>
      <c r="B117" s="63">
        <f>105.5+35</f>
        <v>140.5</v>
      </c>
      <c r="C117" s="63"/>
      <c r="D117" s="63"/>
      <c r="E117" s="93"/>
      <c r="F117" s="93"/>
      <c r="G117" s="93"/>
      <c r="H117" s="93"/>
      <c r="I117" s="56">
        <f t="shared" si="4"/>
        <v>14.739999999999998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30</v>
      </c>
      <c r="B118" s="63">
        <f>141.8+35+35</f>
        <v>211.8</v>
      </c>
      <c r="C118" s="63">
        <v>2</v>
      </c>
      <c r="D118" s="63">
        <f>35+35</f>
        <v>70</v>
      </c>
      <c r="E118" s="93"/>
      <c r="F118" s="93"/>
      <c r="G118" s="93"/>
      <c r="H118" s="93">
        <v>1</v>
      </c>
      <c r="I118" s="56">
        <f t="shared" si="4"/>
        <v>14.260000000000002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35</v>
      </c>
      <c r="B119" s="63">
        <f>171.4+35</f>
        <v>206.4</v>
      </c>
      <c r="C119" s="63"/>
      <c r="D119" s="63"/>
      <c r="E119" s="93"/>
      <c r="F119" s="93"/>
      <c r="G119" s="93"/>
      <c r="H119" s="93"/>
      <c r="I119" s="56">
        <f t="shared" si="4"/>
        <v>12.919999999999998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40</v>
      </c>
      <c r="B120" s="63">
        <f>193.1+35+35</f>
        <v>263.10000000000002</v>
      </c>
      <c r="C120" s="63">
        <v>3</v>
      </c>
      <c r="D120" s="63">
        <f>35+35</f>
        <v>70</v>
      </c>
      <c r="E120" s="93"/>
      <c r="F120" s="93"/>
      <c r="G120" s="93"/>
      <c r="H120" s="93"/>
      <c r="I120" s="56">
        <f t="shared" si="4"/>
        <v>11.340000000000003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45</v>
      </c>
      <c r="B121" s="63">
        <f>218+24.2</f>
        <v>242.2</v>
      </c>
      <c r="C121" s="63"/>
      <c r="D121" s="63"/>
      <c r="E121" s="93"/>
      <c r="F121" s="93"/>
      <c r="G121" s="93"/>
      <c r="H121" s="93"/>
      <c r="I121" s="56">
        <f t="shared" si="4"/>
        <v>9.8199999999999932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f>241.8+24.2+18.9</f>
        <v>284.89999999999998</v>
      </c>
      <c r="C122" s="63">
        <v>4</v>
      </c>
      <c r="D122" s="63">
        <f>24.2+18.9</f>
        <v>43.099999999999994</v>
      </c>
      <c r="E122" s="93"/>
      <c r="F122" s="93"/>
      <c r="G122" s="93"/>
      <c r="H122" s="93"/>
      <c r="I122" s="56">
        <f t="shared" si="4"/>
        <v>8.5399999999999974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55</v>
      </c>
      <c r="B123" s="63">
        <f>262.6+16</f>
        <v>278.60000000000002</v>
      </c>
      <c r="C123" s="63"/>
      <c r="D123" s="63"/>
      <c r="E123" s="93"/>
      <c r="F123" s="93"/>
      <c r="G123" s="93"/>
      <c r="H123" s="93"/>
      <c r="I123" s="56">
        <f t="shared" si="4"/>
        <v>7.3600000000000083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60</v>
      </c>
      <c r="B124" s="63">
        <f>279.8+16+14.2</f>
        <v>310</v>
      </c>
      <c r="C124" s="63">
        <v>5</v>
      </c>
      <c r="D124" s="63">
        <f>16+14.2</f>
        <v>30.2</v>
      </c>
      <c r="E124" s="93"/>
      <c r="F124" s="93"/>
      <c r="G124" s="93"/>
      <c r="H124" s="93"/>
      <c r="I124" s="56">
        <f t="shared" si="4"/>
        <v>6.2799999999999958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65</v>
      </c>
      <c r="B125" s="63">
        <f>292.6+13.4</f>
        <v>306</v>
      </c>
      <c r="C125" s="63"/>
      <c r="D125" s="63"/>
      <c r="E125" s="93"/>
      <c r="F125" s="93"/>
      <c r="G125" s="93"/>
      <c r="H125" s="93"/>
      <c r="I125" s="56">
        <f t="shared" si="4"/>
        <v>5.2399999999999975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70</v>
      </c>
      <c r="B126" s="63">
        <f>302.6+13.4+12.5</f>
        <v>328.5</v>
      </c>
      <c r="C126" s="63">
        <v>6</v>
      </c>
      <c r="D126" s="63">
        <f>13.4+12.5</f>
        <v>25.9</v>
      </c>
      <c r="E126" s="68"/>
      <c r="F126" s="68"/>
      <c r="G126" s="68"/>
      <c r="H126" s="68"/>
      <c r="I126" s="56">
        <f t="shared" si="4"/>
        <v>4.5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75</v>
      </c>
      <c r="B127" s="63">
        <f>311.9+11.6</f>
        <v>323.5</v>
      </c>
      <c r="C127" s="63"/>
      <c r="D127" s="63"/>
      <c r="E127" s="68"/>
      <c r="F127" s="68"/>
      <c r="G127" s="68"/>
      <c r="H127" s="68"/>
      <c r="I127" s="56">
        <f t="shared" si="4"/>
        <v>4.1799999999999953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63">
        <v>80</v>
      </c>
      <c r="B128" s="53">
        <v>341.3</v>
      </c>
      <c r="C128" s="63">
        <v>7</v>
      </c>
      <c r="D128" s="53">
        <v>341.3</v>
      </c>
      <c r="E128" s="57"/>
      <c r="F128" s="57"/>
      <c r="G128" s="57"/>
      <c r="H128" s="57"/>
      <c r="I128" s="56">
        <f t="shared" si="4"/>
        <v>3.5600000000000023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Aulne glutineux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f>13+1</f>
        <v>14</v>
      </c>
      <c r="C140" s="53"/>
      <c r="D140" s="63"/>
      <c r="E140" s="54"/>
      <c r="F140" s="54"/>
      <c r="G140" s="54"/>
      <c r="H140" s="54"/>
      <c r="I140" s="60">
        <f>IFERROR(B140/A140,"")</f>
        <v>1.4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f>47+1+5</f>
        <v>53</v>
      </c>
      <c r="C141" s="53"/>
      <c r="D141" s="63"/>
      <c r="E141" s="54"/>
      <c r="F141" s="54"/>
      <c r="G141" s="54"/>
      <c r="H141" s="54"/>
      <c r="I141" s="60">
        <f t="shared" ref="I141:I159" si="5">IF(A141&lt;&gt;0,(B141-(B140-D140))/(A141-A140),"")</f>
        <v>7.8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f>105+1+5+12</f>
        <v>123</v>
      </c>
      <c r="C142" s="53"/>
      <c r="D142" s="63"/>
      <c r="E142" s="54"/>
      <c r="F142" s="54"/>
      <c r="G142" s="54"/>
      <c r="H142" s="54"/>
      <c r="I142" s="60">
        <f t="shared" si="5"/>
        <v>14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f>136+1+5+12+24</f>
        <v>178</v>
      </c>
      <c r="C143" s="53">
        <v>1</v>
      </c>
      <c r="D143" s="63">
        <f>1+5+12+24</f>
        <v>42</v>
      </c>
      <c r="E143" s="54"/>
      <c r="F143" s="54"/>
      <c r="G143" s="54"/>
      <c r="H143" s="54"/>
      <c r="I143" s="60">
        <f t="shared" si="5"/>
        <v>11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f>160+26</f>
        <v>186</v>
      </c>
      <c r="C144" s="53"/>
      <c r="D144" s="63"/>
      <c r="E144" s="54"/>
      <c r="F144" s="54"/>
      <c r="G144" s="54"/>
      <c r="H144" s="54"/>
      <c r="I144" s="60">
        <f t="shared" si="5"/>
        <v>10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f>180+26+28</f>
        <v>234</v>
      </c>
      <c r="C145" s="53">
        <v>2</v>
      </c>
      <c r="D145" s="63">
        <f>26+28</f>
        <v>54</v>
      </c>
      <c r="E145" s="54"/>
      <c r="F145" s="54"/>
      <c r="G145" s="54"/>
      <c r="H145" s="54"/>
      <c r="I145" s="60">
        <f t="shared" si="5"/>
        <v>9.6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f>196+28</f>
        <v>224</v>
      </c>
      <c r="C146" s="53"/>
      <c r="D146" s="63"/>
      <c r="E146" s="54"/>
      <c r="F146" s="54"/>
      <c r="G146" s="54"/>
      <c r="H146" s="54"/>
      <c r="I146" s="60">
        <f t="shared" si="5"/>
        <v>8.8000000000000007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63">
        <f>209+28+28</f>
        <v>265</v>
      </c>
      <c r="C147" s="53">
        <v>3</v>
      </c>
      <c r="D147" s="63">
        <f>28+28</f>
        <v>56</v>
      </c>
      <c r="E147" s="54"/>
      <c r="F147" s="54"/>
      <c r="G147" s="54"/>
      <c r="H147" s="54"/>
      <c r="I147" s="60">
        <f>IF(A147&lt;&gt;0,(B147-(B146-D146))/(A147-A146),"")</f>
        <v>8.1999999999999993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63">
        <f>219+27</f>
        <v>246</v>
      </c>
      <c r="C148" s="53"/>
      <c r="D148" s="63"/>
      <c r="E148" s="54"/>
      <c r="F148" s="54"/>
      <c r="G148" s="54"/>
      <c r="H148" s="54"/>
      <c r="I148" s="60">
        <f t="shared" si="5"/>
        <v>7.4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55</v>
      </c>
      <c r="B149" s="63">
        <f>228+27+25</f>
        <v>280</v>
      </c>
      <c r="C149" s="53">
        <v>4</v>
      </c>
      <c r="D149" s="63">
        <f>27+25</f>
        <v>52</v>
      </c>
      <c r="E149" s="54"/>
      <c r="F149" s="54"/>
      <c r="G149" s="54"/>
      <c r="H149" s="54"/>
      <c r="I149" s="60">
        <f t="shared" si="5"/>
        <v>6.8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60</v>
      </c>
      <c r="B150" s="63">
        <f>236+24</f>
        <v>260</v>
      </c>
      <c r="C150" s="53"/>
      <c r="D150" s="63"/>
      <c r="E150" s="54"/>
      <c r="F150" s="54"/>
      <c r="G150" s="54"/>
      <c r="H150" s="54"/>
      <c r="I150" s="60">
        <f t="shared" si="5"/>
        <v>6.4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65</v>
      </c>
      <c r="B151" s="63">
        <f>243+24+22</f>
        <v>289</v>
      </c>
      <c r="C151" s="53">
        <v>5</v>
      </c>
      <c r="D151" s="63">
        <f>24+22</f>
        <v>46</v>
      </c>
      <c r="E151" s="54"/>
      <c r="F151" s="54"/>
      <c r="G151" s="54"/>
      <c r="H151" s="54"/>
      <c r="I151" s="60">
        <f t="shared" si="5"/>
        <v>5.8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70</v>
      </c>
      <c r="B152" s="63">
        <f>249+21</f>
        <v>270</v>
      </c>
      <c r="C152" s="53"/>
      <c r="D152" s="63"/>
      <c r="E152" s="57"/>
      <c r="F152" s="57"/>
      <c r="G152" s="57"/>
      <c r="H152" s="57"/>
      <c r="I152" s="60">
        <f t="shared" si="5"/>
        <v>5.4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75</v>
      </c>
      <c r="B153" s="63">
        <f>254+21+19</f>
        <v>294</v>
      </c>
      <c r="C153" s="53">
        <v>6</v>
      </c>
      <c r="D153" s="63">
        <f>21+19</f>
        <v>40</v>
      </c>
      <c r="E153" s="57"/>
      <c r="F153" s="57"/>
      <c r="G153" s="57"/>
      <c r="H153" s="57"/>
      <c r="I153" s="60">
        <f t="shared" si="5"/>
        <v>4.8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80</v>
      </c>
      <c r="B154" s="59">
        <f>259+18</f>
        <v>277</v>
      </c>
      <c r="C154" s="53"/>
      <c r="D154" s="53"/>
      <c r="E154" s="57"/>
      <c r="F154" s="57"/>
      <c r="G154" s="57"/>
      <c r="H154" s="57"/>
      <c r="I154" s="60">
        <f t="shared" si="5"/>
        <v>4.5999999999999996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85</v>
      </c>
      <c r="B155" s="59">
        <f>264+18+16</f>
        <v>298</v>
      </c>
      <c r="C155" s="53"/>
      <c r="D155" s="53"/>
      <c r="E155" s="57"/>
      <c r="F155" s="57"/>
      <c r="G155" s="57"/>
      <c r="H155" s="57"/>
      <c r="I155" s="60">
        <f t="shared" si="5"/>
        <v>4.2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90</v>
      </c>
      <c r="B156" s="59">
        <f>268+18+16+15</f>
        <v>317</v>
      </c>
      <c r="C156" s="53">
        <v>7</v>
      </c>
      <c r="D156" s="61">
        <f>B156</f>
        <v>317</v>
      </c>
      <c r="E156" s="57"/>
      <c r="F156" s="57"/>
      <c r="G156" s="57"/>
      <c r="H156" s="57"/>
      <c r="I156" s="60">
        <f t="shared" si="5"/>
        <v>3.8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Bouleau verruqueux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v>9</v>
      </c>
      <c r="C166" s="63"/>
      <c r="D166" s="63"/>
      <c r="E166" s="54"/>
      <c r="F166" s="54"/>
      <c r="G166" s="54"/>
      <c r="H166" s="54"/>
      <c r="I166" s="52">
        <f>IFERROR(B166/A166,"")</f>
        <v>0.9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v>49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v>99</v>
      </c>
      <c r="C168" s="63">
        <v>1</v>
      </c>
      <c r="D168" s="63">
        <v>40</v>
      </c>
      <c r="E168" s="54"/>
      <c r="F168" s="54"/>
      <c r="G168" s="54"/>
      <c r="H168" s="54">
        <v>1</v>
      </c>
      <c r="I168" s="52">
        <f t="shared" si="6"/>
        <v>10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v>102</v>
      </c>
      <c r="C169" s="63"/>
      <c r="D169" s="63"/>
      <c r="E169" s="54"/>
      <c r="F169" s="54"/>
      <c r="G169" s="54"/>
      <c r="H169" s="54"/>
      <c r="I169" s="52">
        <f t="shared" si="6"/>
        <v>8.6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v>146</v>
      </c>
      <c r="C170" s="63"/>
      <c r="D170" s="63"/>
      <c r="E170" s="54"/>
      <c r="F170" s="54"/>
      <c r="G170" s="54"/>
      <c r="H170" s="54"/>
      <c r="I170" s="52">
        <f t="shared" si="6"/>
        <v>8.8000000000000007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v>190</v>
      </c>
      <c r="C171" s="63">
        <v>2</v>
      </c>
      <c r="D171" s="63">
        <v>76</v>
      </c>
      <c r="E171" s="54"/>
      <c r="F171" s="54"/>
      <c r="G171" s="54"/>
      <c r="H171" s="54"/>
      <c r="I171" s="52">
        <f t="shared" si="6"/>
        <v>8.8000000000000007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3">
        <v>152</v>
      </c>
      <c r="C172" s="63"/>
      <c r="D172" s="63"/>
      <c r="E172" s="54"/>
      <c r="F172" s="54"/>
      <c r="G172" s="54"/>
      <c r="H172" s="54"/>
      <c r="I172" s="52">
        <f t="shared" si="6"/>
        <v>7.6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53">
        <v>190</v>
      </c>
      <c r="C173" s="53"/>
      <c r="D173" s="53"/>
      <c r="E173" s="54"/>
      <c r="F173" s="54"/>
      <c r="G173" s="54"/>
      <c r="H173" s="54"/>
      <c r="I173" s="52">
        <f t="shared" si="6"/>
        <v>7.6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53">
        <v>228</v>
      </c>
      <c r="C174" s="53"/>
      <c r="D174" s="53"/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53">
        <v>266</v>
      </c>
      <c r="C175" s="53"/>
      <c r="D175" s="53"/>
      <c r="E175" s="54"/>
      <c r="F175" s="54"/>
      <c r="G175" s="54"/>
      <c r="H175" s="54"/>
      <c r="I175" s="52">
        <f t="shared" si="6"/>
        <v>7.6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53">
        <v>303</v>
      </c>
      <c r="C176" s="53">
        <v>3</v>
      </c>
      <c r="D176" s="53">
        <f>B176</f>
        <v>303</v>
      </c>
      <c r="E176" s="54"/>
      <c r="F176" s="54"/>
      <c r="G176" s="54"/>
      <c r="H176" s="54"/>
      <c r="I176" s="52">
        <f t="shared" si="6"/>
        <v>7.4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Charme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3">
        <f>74/1.56</f>
        <v>47.435897435897431</v>
      </c>
      <c r="C192" s="63"/>
      <c r="D192" s="63"/>
      <c r="E192" s="54"/>
      <c r="F192" s="54"/>
      <c r="G192" s="54"/>
      <c r="H192" s="54"/>
      <c r="I192" s="52">
        <f>IFERROR(B192/A192,"")</f>
        <v>3.1623931623931623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3">
        <f>(118+14)/1.56</f>
        <v>84.615384615384613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7.4358974358974361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3">
        <f>(158+14+19)/1.56</f>
        <v>122.43589743589743</v>
      </c>
      <c r="C194" s="63">
        <v>1</v>
      </c>
      <c r="D194" s="63">
        <f>(14+19+23)/1.56</f>
        <v>35.897435897435898</v>
      </c>
      <c r="E194" s="54"/>
      <c r="F194" s="54"/>
      <c r="G194" s="54"/>
      <c r="H194" s="54">
        <v>1</v>
      </c>
      <c r="I194" s="52">
        <f t="shared" si="7"/>
        <v>7.5641025641025639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3">
        <f>193/1.56</f>
        <v>123.71794871794872</v>
      </c>
      <c r="C195" s="63"/>
      <c r="D195" s="63"/>
      <c r="E195" s="54"/>
      <c r="F195" s="54"/>
      <c r="G195" s="54"/>
      <c r="H195" s="54"/>
      <c r="I195" s="52">
        <f t="shared" si="7"/>
        <v>7.4358974358974361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3">
        <f>(224+25)/1.56</f>
        <v>159.61538461538461</v>
      </c>
      <c r="C196" s="63">
        <v>2</v>
      </c>
      <c r="D196" s="63">
        <f>(25+27)/1.56</f>
        <v>33.333333333333336</v>
      </c>
      <c r="E196" s="54"/>
      <c r="F196" s="54"/>
      <c r="G196" s="54"/>
      <c r="H196" s="54"/>
      <c r="I196" s="52">
        <f t="shared" si="7"/>
        <v>7.1794871794871797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3">
        <f>250/1.56</f>
        <v>160.25641025641025</v>
      </c>
      <c r="C197" s="63"/>
      <c r="D197" s="63"/>
      <c r="E197" s="54"/>
      <c r="F197" s="54"/>
      <c r="G197" s="54"/>
      <c r="H197" s="54"/>
      <c r="I197" s="52">
        <f t="shared" si="7"/>
        <v>6.7948717948717956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3">
        <f>(272+27)/1.56</f>
        <v>191.66666666666666</v>
      </c>
      <c r="C198" s="63">
        <v>3</v>
      </c>
      <c r="D198" s="63">
        <f>(27+27)/1.56</f>
        <v>34.615384615384613</v>
      </c>
      <c r="E198" s="54"/>
      <c r="F198" s="54"/>
      <c r="G198" s="54"/>
      <c r="H198" s="54"/>
      <c r="I198" s="52">
        <f t="shared" si="7"/>
        <v>6.2820512820512819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50</v>
      </c>
      <c r="B199" s="53">
        <f>292/1.56</f>
        <v>187.17948717948718</v>
      </c>
      <c r="C199" s="53"/>
      <c r="D199" s="53"/>
      <c r="E199" s="54"/>
      <c r="F199" s="54"/>
      <c r="G199" s="54"/>
      <c r="H199" s="54"/>
      <c r="I199" s="52">
        <f t="shared" si="7"/>
        <v>6.0256410256410273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55</v>
      </c>
      <c r="B200" s="53">
        <f>(309+27)/1.56</f>
        <v>215.38461538461539</v>
      </c>
      <c r="C200" s="53">
        <v>4</v>
      </c>
      <c r="D200" s="53">
        <f>(27+27)/1.56</f>
        <v>34.615384615384613</v>
      </c>
      <c r="E200" s="54"/>
      <c r="F200" s="54"/>
      <c r="G200" s="54"/>
      <c r="H200" s="54"/>
      <c r="I200" s="52">
        <f t="shared" si="7"/>
        <v>5.6410256410256405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60</v>
      </c>
      <c r="B201" s="53">
        <f>324/1.56</f>
        <v>207.69230769230768</v>
      </c>
      <c r="C201" s="53"/>
      <c r="D201" s="53"/>
      <c r="E201" s="54"/>
      <c r="F201" s="54"/>
      <c r="G201" s="54"/>
      <c r="H201" s="54"/>
      <c r="I201" s="52">
        <f t="shared" si="7"/>
        <v>5.3846153846153815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65</v>
      </c>
      <c r="B202" s="53">
        <f>(337+26)/1.56</f>
        <v>232.69230769230768</v>
      </c>
      <c r="C202" s="53">
        <v>5</v>
      </c>
      <c r="D202" s="53">
        <f>(26+25)/1.56</f>
        <v>32.692307692307693</v>
      </c>
      <c r="E202" s="54"/>
      <c r="F202" s="54"/>
      <c r="G202" s="54"/>
      <c r="H202" s="54"/>
      <c r="I202" s="52">
        <f t="shared" si="7"/>
        <v>5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70</v>
      </c>
      <c r="B203" s="53">
        <f>349/1.56</f>
        <v>223.7179487179487</v>
      </c>
      <c r="C203" s="53"/>
      <c r="D203" s="53"/>
      <c r="E203" s="54"/>
      <c r="F203" s="54"/>
      <c r="G203" s="54"/>
      <c r="H203" s="54"/>
      <c r="I203" s="52">
        <f t="shared" si="7"/>
        <v>4.7435897435897401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75</v>
      </c>
      <c r="B204" s="53">
        <f>(360+24)/1.56</f>
        <v>246.15384615384613</v>
      </c>
      <c r="C204" s="53">
        <v>6</v>
      </c>
      <c r="D204" s="53">
        <f>(24+24)/1.56</f>
        <v>30.769230769230766</v>
      </c>
      <c r="E204" s="54"/>
      <c r="F204" s="54"/>
      <c r="G204" s="54"/>
      <c r="H204" s="54"/>
      <c r="I204" s="52">
        <f t="shared" si="7"/>
        <v>4.4871794871794863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80</v>
      </c>
      <c r="B205" s="53">
        <f>370/1.56</f>
        <v>237.17948717948718</v>
      </c>
      <c r="C205" s="53"/>
      <c r="D205" s="53"/>
      <c r="E205" s="54"/>
      <c r="F205" s="54"/>
      <c r="G205" s="54"/>
      <c r="H205" s="54"/>
      <c r="I205" s="52">
        <f t="shared" si="7"/>
        <v>4.3589743589743648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85</v>
      </c>
      <c r="B206" s="53">
        <f>(380+23)/1.56</f>
        <v>258.33333333333331</v>
      </c>
      <c r="C206" s="53">
        <v>7</v>
      </c>
      <c r="D206" s="53">
        <f>(23+22)/1.56</f>
        <v>28.846153846153847</v>
      </c>
      <c r="E206" s="54"/>
      <c r="F206" s="54"/>
      <c r="G206" s="54"/>
      <c r="H206" s="54"/>
      <c r="I206" s="52">
        <f t="shared" si="7"/>
        <v>4.2307692307692264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90</v>
      </c>
      <c r="B207" s="53">
        <f>388/1.56</f>
        <v>248.7179487179487</v>
      </c>
      <c r="C207" s="53"/>
      <c r="D207" s="53"/>
      <c r="E207" s="54"/>
      <c r="F207" s="54"/>
      <c r="G207" s="54"/>
      <c r="H207" s="54"/>
      <c r="I207" s="52">
        <f t="shared" si="7"/>
        <v>3.8461538461538454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95</v>
      </c>
      <c r="B208" s="53">
        <f>(396+22)/1.56</f>
        <v>267.94871794871796</v>
      </c>
      <c r="C208" s="53">
        <v>8</v>
      </c>
      <c r="D208" s="53">
        <f>(22+21)/1.56</f>
        <v>27.564102564102562</v>
      </c>
      <c r="E208" s="54"/>
      <c r="F208" s="54"/>
      <c r="G208" s="54"/>
      <c r="H208" s="54"/>
      <c r="I208" s="52">
        <f t="shared" si="7"/>
        <v>3.8461538461538511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100</v>
      </c>
      <c r="B209" s="53">
        <f>403/1.56</f>
        <v>258.33333333333331</v>
      </c>
      <c r="C209" s="53"/>
      <c r="D209" s="53"/>
      <c r="E209" s="54"/>
      <c r="F209" s="54"/>
      <c r="G209" s="54"/>
      <c r="H209" s="54"/>
      <c r="I209" s="52">
        <f t="shared" si="7"/>
        <v>3.5897435897435854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110</v>
      </c>
      <c r="B210" s="53">
        <f>(416+20+20)/1.56</f>
        <v>292.30769230769232</v>
      </c>
      <c r="C210" s="53">
        <v>9</v>
      </c>
      <c r="D210" s="53">
        <f>(20+20+19)/1.56</f>
        <v>37.820512820512818</v>
      </c>
      <c r="E210" s="54"/>
      <c r="F210" s="54"/>
      <c r="G210" s="54"/>
      <c r="H210" s="54"/>
      <c r="I210" s="52">
        <f t="shared" si="7"/>
        <v>3.3974358974359005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120</v>
      </c>
      <c r="B211" s="53">
        <f>(427+19)/1.56</f>
        <v>285.89743589743591</v>
      </c>
      <c r="C211" s="53">
        <v>10</v>
      </c>
      <c r="D211" s="53">
        <f>B211</f>
        <v>285.89743589743591</v>
      </c>
      <c r="E211" s="54"/>
      <c r="F211" s="54"/>
      <c r="G211" s="54"/>
      <c r="H211" s="54"/>
      <c r="I211" s="52">
        <f t="shared" si="7"/>
        <v>3.141025641025641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Merisier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3">
        <v>40</v>
      </c>
      <c r="C218" s="53"/>
      <c r="D218" s="63"/>
      <c r="E218" s="66"/>
      <c r="F218" s="66"/>
      <c r="G218" s="66"/>
      <c r="H218" s="66"/>
      <c r="I218" s="56">
        <f>IFERROR(B218/A218,"")</f>
        <v>2.6666666666666665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3">
        <f>85+3</f>
        <v>88</v>
      </c>
      <c r="C219" s="53"/>
      <c r="D219" s="63"/>
      <c r="E219" s="66"/>
      <c r="F219" s="66"/>
      <c r="G219" s="66"/>
      <c r="H219" s="66"/>
      <c r="I219" s="56">
        <f t="shared" ref="I219:I237" si="8">IF(A219&lt;&gt;0,(B219-(B218-D218))/(A219-A218),"")</f>
        <v>9.6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3">
        <f>113+3+25</f>
        <v>141</v>
      </c>
      <c r="C220" s="53">
        <v>1</v>
      </c>
      <c r="D220" s="63">
        <f>3+25+27</f>
        <v>55</v>
      </c>
      <c r="E220" s="66"/>
      <c r="F220" s="66"/>
      <c r="G220" s="66"/>
      <c r="H220" s="66">
        <v>1</v>
      </c>
      <c r="I220" s="56">
        <f t="shared" si="8"/>
        <v>10.6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>
        <v>31</v>
      </c>
      <c r="B221" s="58">
        <v>155</v>
      </c>
      <c r="C221" s="58">
        <v>2</v>
      </c>
      <c r="D221" s="58">
        <v>36</v>
      </c>
      <c r="E221" s="66"/>
      <c r="F221" s="66"/>
      <c r="G221" s="66"/>
      <c r="H221" s="66"/>
      <c r="I221" s="56">
        <f t="shared" si="8"/>
        <v>11.5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>
        <v>37</v>
      </c>
      <c r="B222" s="58">
        <v>188</v>
      </c>
      <c r="C222" s="58">
        <v>3</v>
      </c>
      <c r="D222" s="58">
        <v>36</v>
      </c>
      <c r="E222" s="66"/>
      <c r="F222" s="66"/>
      <c r="G222" s="66"/>
      <c r="H222" s="66"/>
      <c r="I222" s="56">
        <f t="shared" si="8"/>
        <v>11.5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>
        <v>44</v>
      </c>
      <c r="B223" s="58">
        <v>230</v>
      </c>
      <c r="C223" s="58">
        <v>4</v>
      </c>
      <c r="D223" s="58">
        <v>43</v>
      </c>
      <c r="E223" s="66"/>
      <c r="F223" s="66"/>
      <c r="G223" s="66"/>
      <c r="H223" s="66"/>
      <c r="I223" s="56">
        <f t="shared" si="8"/>
        <v>11.142857142857142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>
        <v>52</v>
      </c>
      <c r="B224" s="58">
        <v>270</v>
      </c>
      <c r="C224" s="58">
        <v>5</v>
      </c>
      <c r="D224" s="58">
        <v>48</v>
      </c>
      <c r="E224" s="66"/>
      <c r="F224" s="66"/>
      <c r="G224" s="66"/>
      <c r="H224" s="66"/>
      <c r="I224" s="56">
        <f t="shared" si="8"/>
        <v>10.375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>
        <v>60</v>
      </c>
      <c r="B225" s="58">
        <v>297</v>
      </c>
      <c r="C225" s="58">
        <v>6</v>
      </c>
      <c r="D225" s="58">
        <v>47</v>
      </c>
      <c r="E225" s="66"/>
      <c r="F225" s="66"/>
      <c r="G225" s="66"/>
      <c r="H225" s="66"/>
      <c r="I225" s="56">
        <f t="shared" si="8"/>
        <v>9.375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>
        <v>69</v>
      </c>
      <c r="B226" s="58">
        <v>328</v>
      </c>
      <c r="C226" s="58">
        <v>7</v>
      </c>
      <c r="D226" s="58">
        <f>B226</f>
        <v>328</v>
      </c>
      <c r="E226" s="66"/>
      <c r="F226" s="66"/>
      <c r="G226" s="66"/>
      <c r="H226" s="66"/>
      <c r="I226" s="56">
        <f t="shared" si="8"/>
        <v>8.6666666666666661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>Alisier torminal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>
        <v>20</v>
      </c>
      <c r="B244" s="63">
        <f>67+6</f>
        <v>73</v>
      </c>
      <c r="C244" s="63"/>
      <c r="D244" s="63"/>
      <c r="E244" s="54"/>
      <c r="F244" s="54"/>
      <c r="G244" s="54"/>
      <c r="H244" s="54"/>
      <c r="I244" s="56">
        <f>IFERROR(B244/A244,"")</f>
        <v>3.65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>
        <v>25</v>
      </c>
      <c r="B245" s="63">
        <f>75+6+28</f>
        <v>109</v>
      </c>
      <c r="C245" s="63">
        <v>1</v>
      </c>
      <c r="D245" s="63">
        <f>6+28</f>
        <v>34</v>
      </c>
      <c r="E245" s="54"/>
      <c r="F245" s="54"/>
      <c r="G245" s="54"/>
      <c r="H245" s="54">
        <v>1</v>
      </c>
      <c r="I245" s="56">
        <f>IF(A245&lt;&gt;0,(B245-(B244-D244))/(A245-A244),"")</f>
        <v>7.2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>
        <v>30</v>
      </c>
      <c r="B246" s="63">
        <f>93+28</f>
        <v>121</v>
      </c>
      <c r="C246" s="63"/>
      <c r="D246" s="63"/>
      <c r="E246" s="54"/>
      <c r="F246" s="54"/>
      <c r="G246" s="54"/>
      <c r="H246" s="54"/>
      <c r="I246" s="56">
        <f>IF(A246&lt;&gt;0,(B246-(B245-D245))/(A246-A245),"")</f>
        <v>9.1999999999999993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>
        <v>35</v>
      </c>
      <c r="B247" s="63">
        <f>119+28+28</f>
        <v>175</v>
      </c>
      <c r="C247" s="63">
        <v>2</v>
      </c>
      <c r="D247" s="63">
        <f>28+28</f>
        <v>56</v>
      </c>
      <c r="E247" s="54"/>
      <c r="F247" s="54"/>
      <c r="G247" s="54"/>
      <c r="H247" s="54"/>
      <c r="I247" s="56">
        <f t="shared" ref="I247:I263" si="9">IF(A247&lt;&gt;0,(B247-(B246-D246))/(A247-A246),"")</f>
        <v>10.8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>
        <v>40</v>
      </c>
      <c r="B248" s="63">
        <f>147+28</f>
        <v>175</v>
      </c>
      <c r="C248" s="63"/>
      <c r="D248" s="63"/>
      <c r="E248" s="54"/>
      <c r="F248" s="54"/>
      <c r="G248" s="54"/>
      <c r="H248" s="54"/>
      <c r="I248" s="56">
        <f t="shared" si="9"/>
        <v>11.2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>
        <v>45</v>
      </c>
      <c r="B249" s="63">
        <f>176+28+28</f>
        <v>232</v>
      </c>
      <c r="C249" s="63">
        <v>3</v>
      </c>
      <c r="D249" s="63">
        <f>28+28</f>
        <v>56</v>
      </c>
      <c r="E249" s="54"/>
      <c r="F249" s="54"/>
      <c r="G249" s="54"/>
      <c r="H249" s="54"/>
      <c r="I249" s="56">
        <f t="shared" si="9"/>
        <v>11.4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>
        <v>50</v>
      </c>
      <c r="B250" s="63">
        <f>203+28</f>
        <v>231</v>
      </c>
      <c r="C250" s="63"/>
      <c r="D250" s="63"/>
      <c r="E250" s="54"/>
      <c r="F250" s="54"/>
      <c r="G250" s="54"/>
      <c r="H250" s="54"/>
      <c r="I250" s="56">
        <f t="shared" si="9"/>
        <v>11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283">
        <v>55</v>
      </c>
      <c r="B251" s="63">
        <f>226+28+28</f>
        <v>282</v>
      </c>
      <c r="C251" s="63">
        <v>4</v>
      </c>
      <c r="D251" s="63">
        <f>28+28</f>
        <v>56</v>
      </c>
      <c r="E251" s="54"/>
      <c r="F251" s="54"/>
      <c r="G251" s="54"/>
      <c r="H251" s="54"/>
      <c r="I251" s="56">
        <f t="shared" si="9"/>
        <v>10.199999999999999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283">
        <v>60</v>
      </c>
      <c r="B252" s="63">
        <f>245+28</f>
        <v>273</v>
      </c>
      <c r="C252" s="63"/>
      <c r="D252" s="63"/>
      <c r="E252" s="54"/>
      <c r="F252" s="54"/>
      <c r="G252" s="54"/>
      <c r="H252" s="54"/>
      <c r="I252" s="56">
        <f t="shared" si="9"/>
        <v>9.4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283">
        <v>65</v>
      </c>
      <c r="B253" s="63">
        <f>261+28+28</f>
        <v>317</v>
      </c>
      <c r="C253" s="63">
        <v>5</v>
      </c>
      <c r="D253" s="63">
        <f>28+28</f>
        <v>56</v>
      </c>
      <c r="E253" s="54"/>
      <c r="F253" s="54"/>
      <c r="G253" s="54"/>
      <c r="H253" s="54"/>
      <c r="I253" s="56">
        <f t="shared" si="9"/>
        <v>8.8000000000000007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283">
        <v>70</v>
      </c>
      <c r="B254" s="63">
        <f>274+28</f>
        <v>302</v>
      </c>
      <c r="C254" s="63"/>
      <c r="D254" s="63"/>
      <c r="E254" s="54"/>
      <c r="F254" s="54"/>
      <c r="G254" s="54"/>
      <c r="H254" s="54"/>
      <c r="I254" s="56">
        <f t="shared" si="9"/>
        <v>8.1999999999999993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283">
        <v>75</v>
      </c>
      <c r="B255" s="63">
        <f>284+28+28</f>
        <v>340</v>
      </c>
      <c r="C255" s="63">
        <v>6</v>
      </c>
      <c r="D255" s="63">
        <f>28+28</f>
        <v>56</v>
      </c>
      <c r="E255" s="54"/>
      <c r="F255" s="54"/>
      <c r="G255" s="54"/>
      <c r="H255" s="54"/>
      <c r="I255" s="56">
        <f t="shared" si="9"/>
        <v>7.6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283">
        <v>80</v>
      </c>
      <c r="B256" s="63">
        <f>292+28</f>
        <v>320</v>
      </c>
      <c r="C256" s="63"/>
      <c r="D256" s="63"/>
      <c r="E256" s="54"/>
      <c r="F256" s="54"/>
      <c r="G256" s="54"/>
      <c r="H256" s="54"/>
      <c r="I256" s="56">
        <f t="shared" si="9"/>
        <v>7.2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283">
        <v>90</v>
      </c>
      <c r="B257" s="63">
        <f>302+28+28+28</f>
        <v>386</v>
      </c>
      <c r="C257" s="63">
        <v>7</v>
      </c>
      <c r="D257" s="63">
        <f>28+28+28</f>
        <v>84</v>
      </c>
      <c r="E257" s="54"/>
      <c r="F257" s="54"/>
      <c r="G257" s="54"/>
      <c r="H257" s="54"/>
      <c r="I257" s="56">
        <f t="shared" si="9"/>
        <v>6.6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283">
        <v>100</v>
      </c>
      <c r="B258" s="53">
        <v>361</v>
      </c>
      <c r="C258" s="53"/>
      <c r="D258" s="53"/>
      <c r="E258" s="54"/>
      <c r="F258" s="54"/>
      <c r="G258" s="54"/>
      <c r="H258" s="54"/>
      <c r="I258" s="56">
        <f t="shared" si="9"/>
        <v>5.9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283">
        <v>110</v>
      </c>
      <c r="B259" s="53">
        <v>413</v>
      </c>
      <c r="C259" s="53">
        <v>8</v>
      </c>
      <c r="D259" s="53">
        <v>106</v>
      </c>
      <c r="E259" s="54"/>
      <c r="F259" s="54"/>
      <c r="G259" s="54"/>
      <c r="H259" s="54"/>
      <c r="I259" s="56">
        <f t="shared" si="9"/>
        <v>5.2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283">
        <v>120</v>
      </c>
      <c r="B260" s="53">
        <v>352</v>
      </c>
      <c r="C260" s="53"/>
      <c r="D260" s="53"/>
      <c r="E260" s="54"/>
      <c r="F260" s="54"/>
      <c r="G260" s="54"/>
      <c r="H260" s="54"/>
      <c r="I260" s="56">
        <f t="shared" si="9"/>
        <v>4.5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283">
        <v>130</v>
      </c>
      <c r="B261" s="53">
        <v>394</v>
      </c>
      <c r="C261" s="53">
        <v>9</v>
      </c>
      <c r="D261" s="53">
        <v>91</v>
      </c>
      <c r="E261" s="54"/>
      <c r="F261" s="54"/>
      <c r="G261" s="54"/>
      <c r="H261" s="54"/>
      <c r="I261" s="56">
        <f t="shared" si="9"/>
        <v>4.2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283">
        <v>140</v>
      </c>
      <c r="B262" s="53">
        <v>341</v>
      </c>
      <c r="C262" s="53"/>
      <c r="D262" s="53"/>
      <c r="E262" s="54"/>
      <c r="F262" s="54"/>
      <c r="G262" s="54"/>
      <c r="H262" s="54"/>
      <c r="I262" s="56">
        <f t="shared" si="9"/>
        <v>3.8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283">
        <v>150</v>
      </c>
      <c r="B263" s="53">
        <v>376</v>
      </c>
      <c r="C263" s="53">
        <v>10</v>
      </c>
      <c r="D263" s="53">
        <v>376</v>
      </c>
      <c r="E263" s="54"/>
      <c r="F263" s="54"/>
      <c r="G263" s="54"/>
      <c r="H263" s="54"/>
      <c r="I263" s="56">
        <f t="shared" si="9"/>
        <v>3.5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8" sqref="B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A1" zoomScale="106" zoomScaleNormal="106" workbookViewId="0">
      <selection activeCell="AA19" sqref="A19:XFD19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Hêtre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Erable sycomore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Châtaignier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Aulne glutineux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Bouleau verruqueux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Charme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Merisier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>Alisier torminal</v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529.25712986118265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446.86777652265448</v>
      </c>
      <c r="AO3" s="62">
        <f>IF('Données projet'!E10&gt;30,$AM$33-$H$33,LOOKUP('Données projet'!$E$10,$A$3:$A$203,AM3:AM203)-LOOKUP('Données projet'!$E$10,$A$3:$A$203,$H$3:$H$203))</f>
        <v>230.82970731138215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370.59298168107364</v>
      </c>
      <c r="BJ3" s="62">
        <f>IF('Données projet'!E11&gt;30,$BH$33-$H$33,LOOKUP('Données projet'!$E$11,$A$3:$A$203,BH3:BH203)-LOOKUP('Données projet'!$E$11,$A$3:$A$203,$H$3:$H$203))</f>
        <v>404.61777090709171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344.45199703750711</v>
      </c>
      <c r="CE3" s="62">
        <f>IF('Données projet'!E12&gt;30,$CC$33-$H$33,LOOKUP('Données projet'!$E$12,$A$3:$A$203,CC3:CC203)-LOOKUP('Données projet'!$E$12,$A$3:$A$203,$H$3:$H$203))</f>
        <v>376.41441893222185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311.53750850588153</v>
      </c>
      <c r="CZ3" s="62">
        <f>IF('Données projet'!E13&gt;30,$CX$33-$H$33,LOOKUP('Données projet'!$E$13,$A$3:$A$203,CX3:CX203)-LOOKUP('Données projet'!$E$13,$A$3:$A$203,$H$3:$H$203))</f>
        <v>304.84379909635476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256.19915261735281</v>
      </c>
      <c r="DU3" s="62">
        <f>IF('Données projet'!E14&gt;30,$DS$33-$H$33,LOOKUP('Données projet'!$E$14,$A$3:$A$203,DS3:DS203)-LOOKUP('Données projet'!$E$14,$A$3:$A$203,$H$3:$H$203))</f>
        <v>297.47246687305056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406.24139966722936</v>
      </c>
      <c r="EP3" s="62">
        <f>IF('Données projet'!E15&gt;30,$EN$33-$H$33,LOOKUP('Données projet'!$E$15,$A$3:$A$203,EN3:EN203)-LOOKUP('Données projet'!$E$15,$A$3:$A$203,$H$3:$H$203))</f>
        <v>295.95724296920577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292.57482726862594</v>
      </c>
      <c r="FK3" s="62">
        <f>IF('Données projet'!E16&gt;30,$FI$33-$H$33,LOOKUP('Données projet'!$E$16,$A$3:$A$203,FI3:FI203)-LOOKUP('Données projet'!$E$16,$A$3:$A$203,$H$3:$H$203))</f>
        <v>283.48738729114024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256.66666666666669</v>
      </c>
      <c r="GE3" s="62">
        <f ca="1">AVERAGE(OFFSET($GD$3,0,0,'Données projet'!$E$17+1,1))-AVERAGE(OFFSET($H$3,0,0,'Données projet'!$E$17+1,1))</f>
        <v>562.69380557620775</v>
      </c>
      <c r="GF3" s="62">
        <f>IF('Données projet'!E17&gt;30,$GD$33-$H$33,LOOKUP('Données projet'!$E$17,$A$3:$A$203,GD3:GD203)-LOOKUP('Données projet'!$E$17,$A$3:$A$203,$H$3:$H$203))</f>
        <v>294.45557293177131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529.25712986118265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0.76190476190476186</v>
      </c>
      <c r="AI4" s="14">
        <f>IF('Données projet'!$A$62&gt;35,AI3+AH4-AQ3,IF(A4&lt;'Données projet'!$A$62,$AF$205^A4,IF(A4='Données projet'!$A$62,'Données projet'!$B$62,AI3+AH4-AQ3)))</f>
        <v>1.1411403099940129</v>
      </c>
      <c r="AJ4" s="14">
        <f>AI4*VLOOKUP('Données projet'!$B$10,Paramètres!$A$1:$I$89,3,0)*VLOOKUP('Données projet'!$B$10,Paramètres!$A$1:$I$89,5,0)</f>
        <v>0.97909838597486321</v>
      </c>
      <c r="AK4" s="14">
        <f>EXP(-1.0587+0.8836*LN(AJ4)+0.284)</f>
        <v>0.45232044057115861</v>
      </c>
      <c r="AL4" s="22">
        <f t="shared" ref="AL4:AL67" si="4">(AJ4+AK4)*0.475*44/12</f>
        <v>2.4930544562343209</v>
      </c>
      <c r="AM4" s="62">
        <f t="shared" ref="AM4:AM67" si="5">AL4+(AD4+AE4)*44/12</f>
        <v>260.3819433451232</v>
      </c>
      <c r="AN4" s="62">
        <f ca="1">AVERAGE(OFFSET($AM$3,0,0,'Données projet'!$E$10+1,1))-AVERAGE(OFFSET($H$3,0,0,'Données projet'!$E$10+1,1))</f>
        <v>446.86777652265448</v>
      </c>
      <c r="AO4" s="62">
        <f>$AO$3</f>
        <v>230.82970731138215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1.1099999999999999</v>
      </c>
      <c r="BD4" s="13">
        <f>IF('Données projet'!$A$88&gt;35,BD3+BC4-BL3,IF(A4&lt;'Données projet'!$A$88,$BA$205^A4,IF(A4='Données projet'!$A$88,'Données projet'!$B$88,BD3+BC4-BL3)))</f>
        <v>1.2721323532877689</v>
      </c>
      <c r="BE4" s="14">
        <f>BD4*VLOOKUP('Données projet'!$B$11,Paramètres!$A$1:$I$89,3,0)*VLOOKUP('Données projet'!$B$11,Paramètres!$A$1:$I$89,5,0)</f>
        <v>1.0121085002757488</v>
      </c>
      <c r="BF4" s="14">
        <f>EXP(-1.0587+0.8836*LN(BE4)+0.284)</f>
        <v>0.46576913511432322</v>
      </c>
      <c r="BG4" s="22">
        <f t="shared" ref="BG4:BG67" si="7">(BE4+BF4)*0.475*44/12</f>
        <v>2.5739702149710419</v>
      </c>
      <c r="BH4" s="62">
        <f t="shared" ref="BH4:BH67" si="8">BG4+(AY4+AZ4)*44/12</f>
        <v>260.4628591038599</v>
      </c>
      <c r="BI4" s="62">
        <f ca="1">AVERAGE(OFFSET($BH$3,0,0,'Données projet'!$E$11+1,1))-AVERAGE(OFFSET($H$3,0,0,'Données projet'!$E$11+1,1))</f>
        <v>370.59298168107364</v>
      </c>
      <c r="BJ4" s="62">
        <f>$BJ$3</f>
        <v>404.61777090709171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1.1099999999999999</v>
      </c>
      <c r="BY4" s="13">
        <f>IF('Données projet'!$A$114&gt;35,BY3+BX4-CG3,IF(A4&lt;'Données projet'!$A$114,$BV$205^A4,IF(A4='Données projet'!$A$114,'Données projet'!$B$114,BY3+BX4-CG3)))</f>
        <v>1.2721323532877689</v>
      </c>
      <c r="BZ4" s="14">
        <f>BY4*VLOOKUP('Données projet'!$B$12,Paramètres!$A$1:$I$89,3,0)*VLOOKUP('Données projet'!$B$12,Paramètres!$A$1:$I$89,5,0)</f>
        <v>0.93272744143059216</v>
      </c>
      <c r="CA4" s="14">
        <f>EXP(-1.0587+0.8836*LN(BZ4)+0.284)</f>
        <v>0.43333858977228618</v>
      </c>
      <c r="CB4" s="22">
        <f t="shared" ref="CB4:CB67" si="10">(BZ4+CA4)*0.475*44/12</f>
        <v>2.3792316710116794</v>
      </c>
      <c r="CC4" s="62">
        <f t="shared" ref="CC4:CC67" si="11">CB4+(BT4+BU4)*44/12</f>
        <v>260.26812055990052</v>
      </c>
      <c r="CD4" s="62">
        <f ca="1">AVERAGE(OFFSET($CC$3,0,0,'Données projet'!$E$12+1,1))-AVERAGE(OFFSET($H$3,0,0,'Données projet'!$E$12+1,1))</f>
        <v>344.45199703750711</v>
      </c>
      <c r="CE4" s="62">
        <f>$CE$3</f>
        <v>376.41441893222185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1.4</v>
      </c>
      <c r="CT4" s="13">
        <f>IF('Données projet'!$A$140&gt;35,CT3+CS4-DB3,IF(A4&lt;'Données projet'!$A$140,$CQ$205^A4,IF(A4='Données projet'!$A$140,'Données projet'!$B$140,CT3+CS4-DB3)))</f>
        <v>1.3020054543174677</v>
      </c>
      <c r="CU4" s="18">
        <f>CT4*VLOOKUP('Données projet'!$B$13,Paramètres!$A$1:$I$89,3,0)*VLOOKUP('Données projet'!$B$13,Paramètres!$A$1:$I$89,5,0)</f>
        <v>0.85307397366880489</v>
      </c>
      <c r="CV4" s="14">
        <f>EXP(-1.0587+0.8836*LN(CU4)+0.284)</f>
        <v>0.40047176901361836</v>
      </c>
      <c r="CW4" s="22">
        <f t="shared" ref="CW4:CW67" si="13">(CU4+CV4)*0.475*44/12</f>
        <v>2.1832588351718871</v>
      </c>
      <c r="CX4" s="62">
        <f t="shared" ref="CX4:CX67" si="14">CW4+(CO4+CP4)*44/12</f>
        <v>260.07214772406076</v>
      </c>
      <c r="CY4" s="62">
        <f ca="1">AVERAGE(OFFSET($CX$3,0,0,'Données projet'!$E$13+1,1))-AVERAGE(OFFSET($H$3,0,0,'Données projet'!$E$13+1,1))</f>
        <v>311.53750850588153</v>
      </c>
      <c r="CZ4" s="62">
        <f>$CZ$3</f>
        <v>304.84379909635476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0.9</v>
      </c>
      <c r="DO4" s="13">
        <f>IF('Données projet'!$A$166&gt;35,DO3+DN4-DW3,IF(A4&lt;'Données projet'!$A$166,$DL$205^A4,IF(A4='Données projet'!$A$166,'Données projet'!$B$166,DO3+DN4-DW3)))</f>
        <v>1.2457309396155174</v>
      </c>
      <c r="DP4" s="18">
        <f>DO4*VLOOKUP('Données projet'!$B$14,Paramètres!$A$1:$I$89,3,0)*VLOOKUP('Données projet'!$B$14,Paramètres!$A$1:$I$89,5,0)</f>
        <v>1.0105369382161078</v>
      </c>
      <c r="DQ4" s="14">
        <f>EXP(-1.0587+0.8836*LN(DP4)+0.284)</f>
        <v>0.46513003316107315</v>
      </c>
      <c r="DR4" s="22">
        <f t="shared" ref="DR4:DR67" si="16">(DP4+DQ4)*0.475*44/12</f>
        <v>2.5701199751485899</v>
      </c>
      <c r="DS4" s="62">
        <f t="shared" ref="DS4:DS67" si="17">DR4+(DJ4+DK4)*44/12</f>
        <v>260.45900886403746</v>
      </c>
      <c r="DT4" s="62">
        <f ca="1">AVERAGE(OFFSET($DS$3,0,0,'Données projet'!$E$14+1,1))-AVERAGE(OFFSET($H$3,0,0,'Données projet'!$E$14+1,1))</f>
        <v>256.19915261735281</v>
      </c>
      <c r="DU4" s="62">
        <f>$DU$3</f>
        <v>297.47246687305056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3.1623931623931623</v>
      </c>
      <c r="EJ4" s="13">
        <f>IF('Données projet'!$A$192&gt;35,EJ3+EI4-ER3,IF(A4&lt;'Données projet'!$A$192,$EG$205^A4,IF(A4='Données projet'!$A$192,'Données projet'!$B$192,EJ3+EI4-ER3)))</f>
        <v>1.2934226882877784</v>
      </c>
      <c r="EK4" s="18">
        <f>EJ4*VLOOKUP('Données projet'!$B$15,Paramètres!$A$1:$I$89,3,0)*VLOOKUP('Données projet'!$B$15,Paramètres!$A$1:$I$89,5,0)</f>
        <v>1.2308210301746498</v>
      </c>
      <c r="EL4" s="14">
        <f>EXP(-1.0587+0.8836*LN(EK4)+0.284)</f>
        <v>0.55366654932289705</v>
      </c>
      <c r="EM4" s="22">
        <f t="shared" ref="EM4:EM67" si="19">(EK4+EL4)*0.475*44/12</f>
        <v>3.1079825342915606</v>
      </c>
      <c r="EN4" s="62">
        <f t="shared" ref="EN4:EN67" si="20">EM4+(EE4+EF4)*44/12</f>
        <v>260.99687142318044</v>
      </c>
      <c r="EO4" s="62">
        <f ca="1">AVERAGE(OFFSET($EN$3,0,0,'Données projet'!$E$15+1,1))-AVERAGE(OFFSET($H$3,0,0,'Données projet'!$E$15+1,1))</f>
        <v>406.24139966722936</v>
      </c>
      <c r="EP4" s="62">
        <f>$EP$3</f>
        <v>295.95724296920577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2.6666666666666665</v>
      </c>
      <c r="FE4" s="13">
        <f>IF('Données projet'!$A$218&gt;35,FE3+FD4-FM3,IF(A4&lt;'Données projet'!$A$218,$FB$205^A4,IF(A4='Données projet'!$A$218,'Données projet'!$B$218,FE3+FD4-FM3)))</f>
        <v>1.2788040393997409</v>
      </c>
      <c r="FF4" s="18">
        <f>FE4*VLOOKUP('Données projet'!$B$16,Paramètres!$A$1:$I$89,3,0)*VLOOKUP('Données projet'!$B$16,Paramètres!$A$1:$I$89,5,0)</f>
        <v>0.99746715073179792</v>
      </c>
      <c r="FG4" s="14">
        <f>EXP(-1.0587+0.8836*LN(FF4)+0.284)</f>
        <v>0.45981048445793882</v>
      </c>
      <c r="FH4" s="22">
        <f t="shared" ref="FH4:FH67" si="22">(FF4+FG4)*0.475*44/12</f>
        <v>2.5380918812887914</v>
      </c>
      <c r="FI4" s="62">
        <f t="shared" ref="FI4:FI67" si="23">FH4+(EZ4+FA4)*44/12</f>
        <v>260.42698077017764</v>
      </c>
      <c r="FJ4" s="62">
        <f ca="1">AVERAGE(OFFSET($FI$3,0,0,'Données projet'!$E$16+1,1))-AVERAGE(OFFSET($H$3,0,0,'Données projet'!$E$16+1,1))</f>
        <v>292.57482726862594</v>
      </c>
      <c r="FK4" s="62">
        <f>$FK$3</f>
        <v>283.48738729114024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3.65</v>
      </c>
      <c r="FZ4" s="13">
        <f>IF('Données projet'!$A$244&gt;35,FZ3+FY4-GH3,IF(A4&lt;'Données projet'!$A$244,$FW$205^A4,IF(A4='Données projet'!$A$244,'Données projet'!$B$244,FZ3+FY4-GH3)))</f>
        <v>1.2392705892426346</v>
      </c>
      <c r="GA4" s="18">
        <f>FZ4*VLOOKUP('Données projet'!$B$17,Paramètres!$A$1:$I$89,3,0)*VLOOKUP('Données projet'!$B$17,Paramètres!$A$1:$I$89,5,0)</f>
        <v>1.1986225139154763</v>
      </c>
      <c r="GB4" s="14">
        <f>EXP(-1.0587+0.8836*LN(GA4)+0.284)</f>
        <v>0.54084878793982472</v>
      </c>
      <c r="GC4" s="22">
        <f t="shared" ref="GC4:GC67" si="25">(GA4+GB4)*0.475*44/12</f>
        <v>3.0295791840646493</v>
      </c>
      <c r="GD4" s="62">
        <f t="shared" ref="GD4:GD67" si="26">GC4+(FU4+FV4)*44/12</f>
        <v>260.91846807295349</v>
      </c>
      <c r="GE4" s="62">
        <f ca="1">AVERAGE(OFFSET($GD$3,0,0,'Données projet'!$E$17+1,1))-AVERAGE(OFFSET($H$3,0,0,'Données projet'!$E$17+1,1))</f>
        <v>562.69380557620775</v>
      </c>
      <c r="GF4" s="62">
        <f>$GF$3</f>
        <v>294.45557293177131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529.25712986118265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0.76190476190476186</v>
      </c>
      <c r="AI5" s="14">
        <f>IF('Données projet'!$A$62&gt;35,AI4+AH5-AQ4,IF(A5&lt;'Données projet'!$A$62,$AF$205^A5,IF(A5='Données projet'!$A$62,'Données projet'!$B$62,AI4+AH5-AQ4)))</f>
        <v>1.3022012070932321</v>
      </c>
      <c r="AJ5" s="14">
        <f>AI5*VLOOKUP('Données projet'!$B$10,Paramètres!$A$1:$I$89,3,0)*VLOOKUP('Données projet'!$B$10,Paramètres!$A$1:$I$89,5,0)</f>
        <v>1.1172886356859932</v>
      </c>
      <c r="AK5" s="14">
        <f t="shared" ref="AK5:AK68" si="35">EXP(-1.0587+0.8836*LN(AJ5)+0.284)</f>
        <v>0.50828933328719816</v>
      </c>
      <c r="AL5" s="22">
        <f t="shared" si="4"/>
        <v>2.8312149626283083</v>
      </c>
      <c r="AM5" s="62">
        <f t="shared" si="5"/>
        <v>261.94232607373942</v>
      </c>
      <c r="AN5" s="62">
        <f ca="1">AVERAGE(OFFSET($AM$3,0,0,'Données projet'!$E$10+1,1))-AVERAGE(OFFSET($H$3,0,0,'Données projet'!$E$10+1,1))</f>
        <v>446.86777652265448</v>
      </c>
      <c r="AO5" s="62">
        <f t="shared" ref="AO5:AO68" si="36">$AO$3</f>
        <v>230.82970731138215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1.1099999999999999</v>
      </c>
      <c r="BD5" s="13">
        <f>IF('Données projet'!$A$88&gt;35,BD4+BC5-BL4,IF(A5&lt;'Données projet'!$A$88,$BA$205^A5,IF(A5='Données projet'!$A$88,'Données projet'!$B$88,BD4+BC5-BL4)))</f>
        <v>1.6183207242814768</v>
      </c>
      <c r="BE5" s="14">
        <f>BD5*VLOOKUP('Données projet'!$B$11,Paramètres!$A$1:$I$89,3,0)*VLOOKUP('Données projet'!$B$11,Paramètres!$A$1:$I$89,5,0)</f>
        <v>1.2875359682383429</v>
      </c>
      <c r="BF5" s="14">
        <f t="shared" ref="BF5:BF68" si="37">EXP(-1.0587+0.8836*LN(BE5)+0.284)</f>
        <v>0.57614983837086087</v>
      </c>
      <c r="BG5" s="22">
        <f t="shared" si="7"/>
        <v>3.2459194465110297</v>
      </c>
      <c r="BH5" s="62">
        <f t="shared" si="8"/>
        <v>262.35703055762218</v>
      </c>
      <c r="BI5" s="62">
        <f ca="1">AVERAGE(OFFSET($BH$3,0,0,'Données projet'!$E$11+1,1))-AVERAGE(OFFSET($H$3,0,0,'Données projet'!$E$11+1,1))</f>
        <v>370.59298168107364</v>
      </c>
      <c r="BJ5" s="62">
        <f t="shared" ref="BJ5:BJ68" si="38">$BJ$3</f>
        <v>404.61777090709171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1.1099999999999999</v>
      </c>
      <c r="BY5" s="13">
        <f>IF('Données projet'!$A$114&gt;35,BY4+BX5-CG4,IF(A5&lt;'Données projet'!$A$114,$BV$205^A5,IF(A5='Données projet'!$A$114,'Données projet'!$B$114,BY4+BX5-CG4)))</f>
        <v>1.6183207242814768</v>
      </c>
      <c r="BZ5" s="14">
        <f>BY5*VLOOKUP('Données projet'!$B$12,Paramètres!$A$1:$I$89,3,0)*VLOOKUP('Données projet'!$B$12,Paramètres!$A$1:$I$89,5,0)</f>
        <v>1.1865527550431787</v>
      </c>
      <c r="CA5" s="14">
        <f t="shared" ref="CA5:CA68" si="39">EXP(-1.0587+0.8836*LN(BZ5)+0.284)</f>
        <v>0.53603371205753736</v>
      </c>
      <c r="CB5" s="22">
        <f t="shared" si="10"/>
        <v>3.0001714302004134</v>
      </c>
      <c r="CC5" s="62">
        <f t="shared" si="11"/>
        <v>262.11128254131154</v>
      </c>
      <c r="CD5" s="62">
        <f ca="1">AVERAGE(OFFSET($CC$3,0,0,'Données projet'!$E$12+1,1))-AVERAGE(OFFSET($H$3,0,0,'Données projet'!$E$12+1,1))</f>
        <v>344.45199703750711</v>
      </c>
      <c r="CE5" s="62">
        <f t="shared" ref="CE5:CE68" si="40">$CE$3</f>
        <v>376.41441893222185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1.4</v>
      </c>
      <c r="CT5" s="13">
        <f>IF('Données projet'!$A$140&gt;35,CT4+CS5-DB4,IF(A5&lt;'Données projet'!$A$140,$CQ$205^A5,IF(A5='Données projet'!$A$140,'Données projet'!$B$140,CT4+CS5-DB4)))</f>
        <v>1.6952182030724354</v>
      </c>
      <c r="CU5" s="18">
        <f>CT5*VLOOKUP('Données projet'!$B$13,Paramètres!$A$1:$I$89,3,0)*VLOOKUP('Données projet'!$B$13,Paramètres!$A$1:$I$89,5,0)</f>
        <v>1.1107069666530596</v>
      </c>
      <c r="CV5" s="14">
        <f t="shared" ref="CV5:CV68" si="41">EXP(-1.0587+0.8836*LN(CU5)+0.284)</f>
        <v>0.50564274395751485</v>
      </c>
      <c r="CW5" s="22">
        <f t="shared" si="13"/>
        <v>2.8151424126467504</v>
      </c>
      <c r="CX5" s="62">
        <f t="shared" si="14"/>
        <v>261.92625352375791</v>
      </c>
      <c r="CY5" s="62">
        <f ca="1">AVERAGE(OFFSET($CX$3,0,0,'Données projet'!$E$13+1,1))-AVERAGE(OFFSET($H$3,0,0,'Données projet'!$E$13+1,1))</f>
        <v>311.53750850588153</v>
      </c>
      <c r="CZ5" s="62">
        <f t="shared" ref="CZ5:CZ68" si="42">$CZ$3</f>
        <v>304.84379909635476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0.9</v>
      </c>
      <c r="DO5" s="13">
        <f>IF('Données projet'!$A$166&gt;35,DO4+DN5-DW4,IF(A5&lt;'Données projet'!$A$166,$DL$205^A5,IF(A5='Données projet'!$A$166,'Données projet'!$B$166,DO4+DN5-DW4)))</f>
        <v>1.5518455739153598</v>
      </c>
      <c r="DP5" s="18">
        <f>DO5*VLOOKUP('Données projet'!$B$14,Paramètres!$A$1:$I$89,3,0)*VLOOKUP('Données projet'!$B$14,Paramètres!$A$1:$I$89,5,0)</f>
        <v>1.2588571295601401</v>
      </c>
      <c r="DQ5" s="14">
        <f t="shared" ref="DQ5:DQ68" si="43">EXP(-1.0587+0.8836*LN(DP5)+0.284)</f>
        <v>0.56479552972512193</v>
      </c>
      <c r="DR5" s="22">
        <f t="shared" si="16"/>
        <v>3.1761950482551646</v>
      </c>
      <c r="DS5" s="62">
        <f t="shared" si="17"/>
        <v>262.28730615936632</v>
      </c>
      <c r="DT5" s="62">
        <f ca="1">AVERAGE(OFFSET($DS$3,0,0,'Données projet'!$E$14+1,1))-AVERAGE(OFFSET($H$3,0,0,'Données projet'!$E$14+1,1))</f>
        <v>256.19915261735281</v>
      </c>
      <c r="DU5" s="62">
        <f t="shared" ref="DU5:DU68" si="44">$DU$3</f>
        <v>297.47246687305056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3.1623931623931623</v>
      </c>
      <c r="EJ5" s="13">
        <f>IF('Données projet'!$A$192&gt;35,EJ4+EI5-ER4,IF(A5&lt;'Données projet'!$A$192,$EG$205^A5,IF(A5='Données projet'!$A$192,'Données projet'!$B$192,EJ4+EI5-ER4)))</f>
        <v>1.6729422505775835</v>
      </c>
      <c r="EK5" s="18">
        <f>EJ5*VLOOKUP('Données projet'!$B$15,Paramètres!$A$1:$I$89,3,0)*VLOOKUP('Données projet'!$B$15,Paramètres!$A$1:$I$89,5,0)</f>
        <v>1.5919718456496286</v>
      </c>
      <c r="EL5" s="14">
        <f t="shared" ref="EL5:EL68" si="45">EXP(-1.0587+0.8836*LN(EK5)+0.284)</f>
        <v>0.69499578258152339</v>
      </c>
      <c r="EM5" s="22">
        <f t="shared" si="19"/>
        <v>3.9831352858359232</v>
      </c>
      <c r="EN5" s="62">
        <f t="shared" si="20"/>
        <v>263.09424639694709</v>
      </c>
      <c r="EO5" s="62">
        <f ca="1">AVERAGE(OFFSET($EN$3,0,0,'Données projet'!$E$15+1,1))-AVERAGE(OFFSET($H$3,0,0,'Données projet'!$E$15+1,1))</f>
        <v>406.24139966722936</v>
      </c>
      <c r="EP5" s="62">
        <f t="shared" ref="EP5:EP68" si="46">$EP$3</f>
        <v>295.95724296920577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2.6666666666666665</v>
      </c>
      <c r="FE5" s="13">
        <f>IF('Données projet'!$A$218&gt;35,FE4+FD5-FM4,IF(A5&lt;'Données projet'!$A$218,$FB$205^A5,IF(A5='Données projet'!$A$218,'Données projet'!$B$218,FE4+FD5-FM4)))</f>
        <v>1.6353397711850939</v>
      </c>
      <c r="FF5" s="18">
        <f>FE5*VLOOKUP('Données projet'!$B$16,Paramètres!$A$1:$I$89,3,0)*VLOOKUP('Données projet'!$B$16,Paramètres!$A$1:$I$89,5,0)</f>
        <v>1.2755650215243732</v>
      </c>
      <c r="FG5" s="14">
        <f t="shared" ref="FG5:FG68" si="47">EXP(-1.0587+0.8836*LN(FF5)+0.284)</f>
        <v>0.57141400910743001</v>
      </c>
      <c r="FH5" s="22">
        <f t="shared" si="22"/>
        <v>3.2168218116837237</v>
      </c>
      <c r="FI5" s="62">
        <f t="shared" si="23"/>
        <v>262.32793292279484</v>
      </c>
      <c r="FJ5" s="62">
        <f ca="1">AVERAGE(OFFSET($FI$3,0,0,'Données projet'!$E$16+1,1))-AVERAGE(OFFSET($H$3,0,0,'Données projet'!$E$16+1,1))</f>
        <v>292.57482726862594</v>
      </c>
      <c r="FK5" s="62">
        <f t="shared" ref="FK5:FK68" si="48">$FK$3</f>
        <v>283.48738729114024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3.65</v>
      </c>
      <c r="FZ5" s="13">
        <f>IF('Données projet'!$A$244&gt;35,FZ4+FY5-GH4,IF(A5&lt;'Données projet'!$A$244,$FW$205^A5,IF(A5='Données projet'!$A$244,'Données projet'!$B$244,FZ4+FY5-GH4)))</f>
        <v>1.5357915933617867</v>
      </c>
      <c r="GA5" s="18">
        <f>FZ5*VLOOKUP('Données projet'!$B$17,Paramètres!$A$1:$I$89,3,0)*VLOOKUP('Données projet'!$B$17,Paramètres!$A$1:$I$89,5,0)</f>
        <v>1.4854176290995202</v>
      </c>
      <c r="GB5" s="14">
        <f t="shared" ref="GB5:GB68" si="49">EXP(-1.0587+0.8836*LN(GA5)+0.284)</f>
        <v>0.65372856897250708</v>
      </c>
      <c r="GC5" s="22">
        <f t="shared" si="25"/>
        <v>3.725679628308781</v>
      </c>
      <c r="GD5" s="62">
        <f t="shared" si="26"/>
        <v>262.83679073941994</v>
      </c>
      <c r="GE5" s="62">
        <f ca="1">AVERAGE(OFFSET($GD$3,0,0,'Données projet'!$E$17+1,1))-AVERAGE(OFFSET($H$3,0,0,'Données projet'!$E$17+1,1))</f>
        <v>562.69380557620775</v>
      </c>
      <c r="GF5" s="62">
        <f t="shared" ref="GF5:GF68" si="50">$GF$3</f>
        <v>294.45557293177131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529.25712986118265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0.76190476190476186</v>
      </c>
      <c r="AI6" s="14">
        <f>IF('Données projet'!$A$62&gt;35,AI5+AH6-AQ5,IF(A6&lt;'Données projet'!$A$62,$AF$205^A6,IF(A6='Données projet'!$A$62,'Données projet'!$B$62,AI5+AH6-AQ5)))</f>
        <v>1.4859942891369486</v>
      </c>
      <c r="AJ6" s="14">
        <f>AI6*VLOOKUP('Données projet'!$B$10,Paramètres!$A$1:$I$89,3,0)*VLOOKUP('Données projet'!$B$10,Paramètres!$A$1:$I$89,5,0)</f>
        <v>1.274983100079502</v>
      </c>
      <c r="AK6" s="14">
        <f t="shared" si="35"/>
        <v>0.57118366352691896</v>
      </c>
      <c r="AL6" s="22">
        <f t="shared" si="4"/>
        <v>3.215407113281183</v>
      </c>
      <c r="AM6" s="62">
        <f t="shared" si="5"/>
        <v>263.54874044661449</v>
      </c>
      <c r="AN6" s="62">
        <f ca="1">AVERAGE(OFFSET($AM$3,0,0,'Données projet'!$E$10+1,1))-AVERAGE(OFFSET($H$3,0,0,'Données projet'!$E$10+1,1))</f>
        <v>446.86777652265448</v>
      </c>
      <c r="AO6" s="62">
        <f t="shared" si="36"/>
        <v>230.82970731138215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1.1099999999999999</v>
      </c>
      <c r="BD6" s="13">
        <f>IF('Données projet'!$A$88&gt;35,BD5+BC6-BL5,IF(A6&lt;'Données projet'!$A$88,$BA$205^A6,IF(A6='Données projet'!$A$88,'Données projet'!$B$88,BD5+BC6-BL5)))</f>
        <v>2.0587181513545616</v>
      </c>
      <c r="BE6" s="14">
        <f>BD6*VLOOKUP('Données projet'!$B$11,Paramètres!$A$1:$I$89,3,0)*VLOOKUP('Données projet'!$B$11,Paramètres!$A$1:$I$89,5,0)</f>
        <v>1.6379161612176893</v>
      </c>
      <c r="BF6" s="14">
        <f t="shared" si="37"/>
        <v>0.71268920851376738</v>
      </c>
      <c r="BG6" s="22">
        <f t="shared" si="7"/>
        <v>4.0939710189489533</v>
      </c>
      <c r="BH6" s="62">
        <f t="shared" si="8"/>
        <v>264.42730435228225</v>
      </c>
      <c r="BI6" s="62">
        <f ca="1">AVERAGE(OFFSET($BH$3,0,0,'Données projet'!$E$11+1,1))-AVERAGE(OFFSET($H$3,0,0,'Données projet'!$E$11+1,1))</f>
        <v>370.59298168107364</v>
      </c>
      <c r="BJ6" s="62">
        <f t="shared" si="38"/>
        <v>404.61777090709171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1.1099999999999999</v>
      </c>
      <c r="BY6" s="13">
        <f>IF('Données projet'!$A$114&gt;35,BY5+BX6-CG5,IF(A6&lt;'Données projet'!$A$114,$BV$205^A6,IF(A6='Données projet'!$A$114,'Données projet'!$B$114,BY5+BX6-CG5)))</f>
        <v>2.0587181513545616</v>
      </c>
      <c r="BZ6" s="14">
        <f>BY6*VLOOKUP('Données projet'!$B$12,Paramètres!$A$1:$I$89,3,0)*VLOOKUP('Données projet'!$B$12,Paramètres!$A$1:$I$89,5,0)</f>
        <v>1.5094521485731647</v>
      </c>
      <c r="CA6" s="14">
        <f t="shared" si="39"/>
        <v>0.66306612714360913</v>
      </c>
      <c r="CB6" s="22">
        <f t="shared" si="10"/>
        <v>3.7838026635400475</v>
      </c>
      <c r="CC6" s="62">
        <f t="shared" si="11"/>
        <v>264.11713599687334</v>
      </c>
      <c r="CD6" s="62">
        <f ca="1">AVERAGE(OFFSET($CC$3,0,0,'Données projet'!$E$12+1,1))-AVERAGE(OFFSET($H$3,0,0,'Données projet'!$E$12+1,1))</f>
        <v>344.45199703750711</v>
      </c>
      <c r="CE6" s="62">
        <f t="shared" si="40"/>
        <v>376.41441893222185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1.4</v>
      </c>
      <c r="CT6" s="13">
        <f>IF('Données projet'!$A$140&gt;35,CT5+CS6-DB5,IF(A6&lt;'Données projet'!$A$140,$CQ$205^A6,IF(A6='Données projet'!$A$140,'Données projet'!$B$140,CT5+CS6-DB5)))</f>
        <v>2.2071833466585677</v>
      </c>
      <c r="CU6" s="18">
        <f>CT6*VLOOKUP('Données projet'!$B$13,Paramètres!$A$1:$I$89,3,0)*VLOOKUP('Données projet'!$B$13,Paramètres!$A$1:$I$89,5,0)</f>
        <v>1.4461465287306936</v>
      </c>
      <c r="CV6" s="14">
        <f t="shared" si="41"/>
        <v>0.63843347846122611</v>
      </c>
      <c r="CW6" s="22">
        <f t="shared" si="13"/>
        <v>3.6306435125259271</v>
      </c>
      <c r="CX6" s="62">
        <f t="shared" si="14"/>
        <v>263.96397684585924</v>
      </c>
      <c r="CY6" s="62">
        <f ca="1">AVERAGE(OFFSET($CX$3,0,0,'Données projet'!$E$13+1,1))-AVERAGE(OFFSET($H$3,0,0,'Données projet'!$E$13+1,1))</f>
        <v>311.53750850588153</v>
      </c>
      <c r="CZ6" s="62">
        <f t="shared" si="42"/>
        <v>304.84379909635476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0.9</v>
      </c>
      <c r="DO6" s="13">
        <f>IF('Données projet'!$A$166&gt;35,DO5+DN6-DW5,IF(A6&lt;'Données projet'!$A$166,$DL$205^A6,IF(A6='Données projet'!$A$166,'Données projet'!$B$166,DO5+DN6-DW5)))</f>
        <v>1.9331820449317632</v>
      </c>
      <c r="DP6" s="18">
        <f>DO6*VLOOKUP('Données projet'!$B$14,Paramètres!$A$1:$I$89,3,0)*VLOOKUP('Données projet'!$B$14,Paramètres!$A$1:$I$89,5,0)</f>
        <v>1.5681972748486466</v>
      </c>
      <c r="DQ6" s="14">
        <f t="shared" si="43"/>
        <v>0.68581679886281277</v>
      </c>
      <c r="DR6" s="22">
        <f t="shared" si="16"/>
        <v>3.9257411783807914</v>
      </c>
      <c r="DS6" s="62">
        <f t="shared" si="17"/>
        <v>264.25907451171412</v>
      </c>
      <c r="DT6" s="62">
        <f ca="1">AVERAGE(OFFSET($DS$3,0,0,'Données projet'!$E$14+1,1))-AVERAGE(OFFSET($H$3,0,0,'Données projet'!$E$14+1,1))</f>
        <v>256.19915261735281</v>
      </c>
      <c r="DU6" s="62">
        <f t="shared" si="44"/>
        <v>297.47246687305056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3.1623931623931623</v>
      </c>
      <c r="EJ6" s="13">
        <f>IF('Données projet'!$A$192&gt;35,EJ5+EI6-ER5,IF(A6&lt;'Données projet'!$A$192,$EG$205^A6,IF(A6='Données projet'!$A$192,'Données projet'!$B$192,EJ5+EI6-ER5)))</f>
        <v>2.1638214630922641</v>
      </c>
      <c r="EK6" s="18">
        <f>EJ6*VLOOKUP('Données projet'!$B$15,Paramètres!$A$1:$I$89,3,0)*VLOOKUP('Données projet'!$B$15,Paramètres!$A$1:$I$89,5,0)</f>
        <v>2.0590925042785986</v>
      </c>
      <c r="EL6" s="14">
        <f t="shared" si="45"/>
        <v>0.87240079502149648</v>
      </c>
      <c r="EM6" s="22">
        <f t="shared" si="19"/>
        <v>5.1056841629476652</v>
      </c>
      <c r="EN6" s="62">
        <f t="shared" si="20"/>
        <v>265.439017496281</v>
      </c>
      <c r="EO6" s="62">
        <f ca="1">AVERAGE(OFFSET($EN$3,0,0,'Données projet'!$E$15+1,1))-AVERAGE(OFFSET($H$3,0,0,'Données projet'!$E$15+1,1))</f>
        <v>406.24139966722936</v>
      </c>
      <c r="EP6" s="62">
        <f t="shared" si="46"/>
        <v>295.95724296920577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2.6666666666666665</v>
      </c>
      <c r="FE6" s="13">
        <f>IF('Données projet'!$A$218&gt;35,FE5+FD6-FM5,IF(A6&lt;'Données projet'!$A$218,$FB$205^A6,IF(A6='Données projet'!$A$218,'Données projet'!$B$218,FE5+FD6-FM5)))</f>
        <v>2.0912791051825459</v>
      </c>
      <c r="FF6" s="18">
        <f>FE6*VLOOKUP('Données projet'!$B$16,Paramètres!$A$1:$I$89,3,0)*VLOOKUP('Données projet'!$B$16,Paramètres!$A$1:$I$89,5,0)</f>
        <v>1.6311977020423858</v>
      </c>
      <c r="FG6" s="14">
        <f t="shared" si="47"/>
        <v>0.71010553443370616</v>
      </c>
      <c r="FH6" s="22">
        <f t="shared" si="22"/>
        <v>4.0777698035291934</v>
      </c>
      <c r="FI6" s="62">
        <f t="shared" si="23"/>
        <v>264.41110313686249</v>
      </c>
      <c r="FJ6" s="62">
        <f ca="1">AVERAGE(OFFSET($FI$3,0,0,'Données projet'!$E$16+1,1))-AVERAGE(OFFSET($H$3,0,0,'Données projet'!$E$16+1,1))</f>
        <v>292.57482726862594</v>
      </c>
      <c r="FK6" s="62">
        <f t="shared" si="48"/>
        <v>283.48738729114024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3.65</v>
      </c>
      <c r="FZ6" s="13">
        <f>IF('Données projet'!$A$244&gt;35,FZ5+FY6-GH5,IF(A6&lt;'Données projet'!$A$244,$FW$205^A6,IF(A6='Données projet'!$A$244,'Données projet'!$B$244,FZ5+FY6-GH5)))</f>
        <v>1.9032613528593461</v>
      </c>
      <c r="GA6" s="18">
        <f>FZ6*VLOOKUP('Données projet'!$B$17,Paramètres!$A$1:$I$89,3,0)*VLOOKUP('Données projet'!$B$17,Paramètres!$A$1:$I$89,5,0)</f>
        <v>1.8408343804855598</v>
      </c>
      <c r="GB6" s="14">
        <f t="shared" si="49"/>
        <v>0.79016732850363813</v>
      </c>
      <c r="GC6" s="22">
        <f t="shared" si="25"/>
        <v>4.5823279764895188</v>
      </c>
      <c r="GD6" s="62">
        <f t="shared" si="26"/>
        <v>264.91566130982284</v>
      </c>
      <c r="GE6" s="62">
        <f ca="1">AVERAGE(OFFSET($GD$3,0,0,'Données projet'!$E$17+1,1))-AVERAGE(OFFSET($H$3,0,0,'Données projet'!$E$17+1,1))</f>
        <v>562.69380557620775</v>
      </c>
      <c r="GF6" s="62">
        <f t="shared" si="50"/>
        <v>294.45557293177131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529.25712986118265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0.76190476190476186</v>
      </c>
      <c r="AI7" s="14">
        <f>IF('Données projet'!$A$62&gt;35,AI6+AH7-AQ6,IF(A7&lt;'Données projet'!$A$62,$AF$205^A7,IF(A7='Données projet'!$A$62,'Données projet'!$B$62,AI6+AH7-AQ6)))</f>
        <v>1.6957279837550707</v>
      </c>
      <c r="AJ7" s="14">
        <f>AI7*VLOOKUP('Données projet'!$B$10,Paramètres!$A$1:$I$89,3,0)*VLOOKUP('Données projet'!$B$10,Paramètres!$A$1:$I$89,5,0)</f>
        <v>1.454934610061851</v>
      </c>
      <c r="AK7" s="14">
        <f t="shared" si="35"/>
        <v>0.64186036596540497</v>
      </c>
      <c r="AL7" s="22">
        <f t="shared" si="4"/>
        <v>3.6519179165808038</v>
      </c>
      <c r="AM7" s="62">
        <f t="shared" si="5"/>
        <v>265.20747347213637</v>
      </c>
      <c r="AN7" s="62">
        <f ca="1">AVERAGE(OFFSET($AM$3,0,0,'Données projet'!$E$10+1,1))-AVERAGE(OFFSET($H$3,0,0,'Données projet'!$E$10+1,1))</f>
        <v>446.86777652265448</v>
      </c>
      <c r="AO7" s="62">
        <f t="shared" si="36"/>
        <v>230.82970731138215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1.1099999999999999</v>
      </c>
      <c r="BD7" s="13">
        <f>IF('Données projet'!$A$88&gt;35,BD6+BC7-BL6,IF(A7&lt;'Données projet'!$A$88,$BA$205^A7,IF(A7='Données projet'!$A$88,'Données projet'!$B$88,BD6+BC7-BL6)))</f>
        <v>2.6189619666389237</v>
      </c>
      <c r="BE7" s="14">
        <f>BD7*VLOOKUP('Données projet'!$B$11,Paramètres!$A$1:$I$89,3,0)*VLOOKUP('Données projet'!$B$11,Paramètres!$A$1:$I$89,5,0)</f>
        <v>2.0836461406579279</v>
      </c>
      <c r="BF7" s="14">
        <f t="shared" si="37"/>
        <v>0.88158647994800687</v>
      </c>
      <c r="BG7" s="22">
        <f t="shared" si="7"/>
        <v>5.1644468142220035</v>
      </c>
      <c r="BH7" s="62">
        <f t="shared" si="8"/>
        <v>266.72000236977755</v>
      </c>
      <c r="BI7" s="62">
        <f ca="1">AVERAGE(OFFSET($BH$3,0,0,'Données projet'!$E$11+1,1))-AVERAGE(OFFSET($H$3,0,0,'Données projet'!$E$11+1,1))</f>
        <v>370.59298168107364</v>
      </c>
      <c r="BJ7" s="62">
        <f t="shared" si="38"/>
        <v>404.61777090709171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1.1099999999999999</v>
      </c>
      <c r="BY7" s="13">
        <f>IF('Données projet'!$A$114&gt;35,BY6+BX7-CG6,IF(A7&lt;'Données projet'!$A$114,$BV$205^A7,IF(A7='Données projet'!$A$114,'Données projet'!$B$114,BY6+BX7-CG6)))</f>
        <v>2.6189619666389237</v>
      </c>
      <c r="BZ7" s="14">
        <f>BY7*VLOOKUP('Données projet'!$B$12,Paramètres!$A$1:$I$89,3,0)*VLOOKUP('Données projet'!$B$12,Paramètres!$A$1:$I$89,5,0)</f>
        <v>1.9202229139396587</v>
      </c>
      <c r="CA7" s="14">
        <f t="shared" si="39"/>
        <v>0.82020342951495628</v>
      </c>
      <c r="CB7" s="22">
        <f t="shared" si="10"/>
        <v>4.7729092148501211</v>
      </c>
      <c r="CC7" s="62">
        <f t="shared" si="11"/>
        <v>266.32846477040567</v>
      </c>
      <c r="CD7" s="62">
        <f ca="1">AVERAGE(OFFSET($CC$3,0,0,'Données projet'!$E$12+1,1))-AVERAGE(OFFSET($H$3,0,0,'Données projet'!$E$12+1,1))</f>
        <v>344.45199703750711</v>
      </c>
      <c r="CE7" s="62">
        <f t="shared" si="40"/>
        <v>376.41441893222185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1.4</v>
      </c>
      <c r="CT7" s="13">
        <f>IF('Données projet'!$A$140&gt;35,CT6+CS7-DB6,IF(A7&lt;'Données projet'!$A$140,$CQ$205^A7,IF(A7='Données projet'!$A$140,'Données projet'!$B$140,CT6+CS7-DB6)))</f>
        <v>2.873764756028137</v>
      </c>
      <c r="CU7" s="18">
        <f>CT7*VLOOKUP('Données projet'!$B$13,Paramètres!$A$1:$I$89,3,0)*VLOOKUP('Données projet'!$B$13,Paramètres!$A$1:$I$89,5,0)</f>
        <v>1.8828906681496353</v>
      </c>
      <c r="CV7" s="14">
        <f t="shared" si="41"/>
        <v>0.80609741025839377</v>
      </c>
      <c r="CW7" s="22">
        <f t="shared" si="13"/>
        <v>4.6833209032273171</v>
      </c>
      <c r="CX7" s="62">
        <f t="shared" si="14"/>
        <v>266.23887645878284</v>
      </c>
      <c r="CY7" s="62">
        <f ca="1">AVERAGE(OFFSET($CX$3,0,0,'Données projet'!$E$13+1,1))-AVERAGE(OFFSET($H$3,0,0,'Données projet'!$E$13+1,1))</f>
        <v>311.53750850588153</v>
      </c>
      <c r="CZ7" s="62">
        <f t="shared" si="42"/>
        <v>304.84379909635476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0.9</v>
      </c>
      <c r="DO7" s="13">
        <f>IF('Données projet'!$A$166&gt;35,DO6+DN7-DW6,IF(A7&lt;'Données projet'!$A$166,$DL$205^A7,IF(A7='Données projet'!$A$166,'Données projet'!$B$166,DO6+DN7-DW6)))</f>
        <v>2.4082246852806923</v>
      </c>
      <c r="DP7" s="18">
        <f>DO7*VLOOKUP('Données projet'!$B$14,Paramètres!$A$1:$I$89,3,0)*VLOOKUP('Données projet'!$B$14,Paramètres!$A$1:$I$89,5,0)</f>
        <v>1.9535518646996977</v>
      </c>
      <c r="DQ7" s="14">
        <f t="shared" si="43"/>
        <v>0.83276983766381052</v>
      </c>
      <c r="DR7" s="22">
        <f t="shared" si="16"/>
        <v>4.8528436316164436</v>
      </c>
      <c r="DS7" s="62">
        <f t="shared" si="17"/>
        <v>266.40839918717199</v>
      </c>
      <c r="DT7" s="62">
        <f ca="1">AVERAGE(OFFSET($DS$3,0,0,'Données projet'!$E$14+1,1))-AVERAGE(OFFSET($H$3,0,0,'Données projet'!$E$14+1,1))</f>
        <v>256.19915261735281</v>
      </c>
      <c r="DU7" s="62">
        <f t="shared" si="44"/>
        <v>297.47246687305056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3.1623931623931623</v>
      </c>
      <c r="EJ7" s="13">
        <f>IF('Données projet'!$A$192&gt;35,EJ6+EI7-ER6,IF(A7&lt;'Données projet'!$A$192,$EG$205^A7,IF(A7='Données projet'!$A$192,'Données projet'!$B$192,EJ6+EI7-ER6)))</f>
        <v>2.7987357737675902</v>
      </c>
      <c r="EK7" s="18">
        <f>EJ7*VLOOKUP('Données projet'!$B$15,Paramètres!$A$1:$I$89,3,0)*VLOOKUP('Données projet'!$B$15,Paramètres!$A$1:$I$89,5,0)</f>
        <v>2.6632769623172385</v>
      </c>
      <c r="EL7" s="14">
        <f t="shared" si="45"/>
        <v>1.0950903102276937</v>
      </c>
      <c r="EM7" s="22">
        <f t="shared" si="19"/>
        <v>6.5458229996824224</v>
      </c>
      <c r="EN7" s="62">
        <f t="shared" si="20"/>
        <v>268.10137855523794</v>
      </c>
      <c r="EO7" s="62">
        <f ca="1">AVERAGE(OFFSET($EN$3,0,0,'Données projet'!$E$15+1,1))-AVERAGE(OFFSET($H$3,0,0,'Données projet'!$E$15+1,1))</f>
        <v>406.24139966722936</v>
      </c>
      <c r="EP7" s="62">
        <f t="shared" si="46"/>
        <v>295.95724296920577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2.6666666666666665</v>
      </c>
      <c r="FE7" s="13">
        <f>IF('Données projet'!$A$218&gt;35,FE6+FD7-FM6,IF(A7&lt;'Données projet'!$A$218,$FB$205^A7,IF(A7='Données projet'!$A$218,'Données projet'!$B$218,FE6+FD7-FM6)))</f>
        <v>2.6743361672197152</v>
      </c>
      <c r="FF7" s="18">
        <f>FE7*VLOOKUP('Données projet'!$B$16,Paramètres!$A$1:$I$89,3,0)*VLOOKUP('Données projet'!$B$16,Paramètres!$A$1:$I$89,5,0)</f>
        <v>2.0859822104313781</v>
      </c>
      <c r="FG7" s="14">
        <f t="shared" si="47"/>
        <v>0.88245976121767966</v>
      </c>
      <c r="FH7" s="22">
        <f t="shared" si="22"/>
        <v>5.1700364339554419</v>
      </c>
      <c r="FI7" s="62">
        <f t="shared" si="23"/>
        <v>266.72559198951097</v>
      </c>
      <c r="FJ7" s="62">
        <f ca="1">AVERAGE(OFFSET($FI$3,0,0,'Données projet'!$E$16+1,1))-AVERAGE(OFFSET($H$3,0,0,'Données projet'!$E$16+1,1))</f>
        <v>292.57482726862594</v>
      </c>
      <c r="FK7" s="62">
        <f t="shared" si="48"/>
        <v>283.48738729114024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3.65</v>
      </c>
      <c r="FZ7" s="13">
        <f>IF('Données projet'!$A$244&gt;35,FZ6+FY7-GH6,IF(A7&lt;'Données projet'!$A$244,$FW$205^A7,IF(A7='Données projet'!$A$244,'Données projet'!$B$244,FZ6+FY7-GH6)))</f>
        <v>2.3586558182407358</v>
      </c>
      <c r="GA7" s="18">
        <f>FZ7*VLOOKUP('Données projet'!$B$17,Paramètres!$A$1:$I$89,3,0)*VLOOKUP('Données projet'!$B$17,Paramètres!$A$1:$I$89,5,0)</f>
        <v>2.2812919074024398</v>
      </c>
      <c r="GB7" s="14">
        <f t="shared" si="49"/>
        <v>0.95508202741684722</v>
      </c>
      <c r="GC7" s="22">
        <f t="shared" si="25"/>
        <v>5.6366846031435918</v>
      </c>
      <c r="GD7" s="62">
        <f t="shared" si="26"/>
        <v>267.19224015869912</v>
      </c>
      <c r="GE7" s="62">
        <f ca="1">AVERAGE(OFFSET($GD$3,0,0,'Données projet'!$E$17+1,1))-AVERAGE(OFFSET($H$3,0,0,'Données projet'!$E$17+1,1))</f>
        <v>562.69380557620775</v>
      </c>
      <c r="GF7" s="62">
        <f t="shared" si="50"/>
        <v>294.45557293177131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529.25712986118265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0.76190476190476186</v>
      </c>
      <c r="AI8" s="14">
        <f>IF('Données projet'!$A$62&gt;35,AI7+AH8-AQ7,IF(A8&lt;'Données projet'!$A$62,$AF$205^A8,IF(A8='Données projet'!$A$62,'Données projet'!$B$62,AI7+AH8-AQ7)))</f>
        <v>1.9350635570477839</v>
      </c>
      <c r="AJ8" s="14">
        <f>AI8*VLOOKUP('Données projet'!$B$10,Paramètres!$A$1:$I$89,3,0)*VLOOKUP('Données projet'!$B$10,Paramètres!$A$1:$I$89,5,0)</f>
        <v>1.6602845319469988</v>
      </c>
      <c r="AK8" s="14">
        <f t="shared" si="35"/>
        <v>0.72128241002786886</v>
      </c>
      <c r="AL8" s="22">
        <f t="shared" si="4"/>
        <v>4.1478957572728943</v>
      </c>
      <c r="AM8" s="62">
        <f t="shared" si="5"/>
        <v>266.92567353505069</v>
      </c>
      <c r="AN8" s="62">
        <f ca="1">AVERAGE(OFFSET($AM$3,0,0,'Données projet'!$E$10+1,1))-AVERAGE(OFFSET($H$3,0,0,'Données projet'!$E$10+1,1))</f>
        <v>446.86777652265448</v>
      </c>
      <c r="AO8" s="62">
        <f t="shared" si="36"/>
        <v>230.82970731138215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1.1099999999999999</v>
      </c>
      <c r="BD8" s="13">
        <f>IF('Données projet'!$A$88&gt;35,BD7+BC8-BL7,IF(A8&lt;'Données projet'!$A$88,$BA$205^A8,IF(A8='Données projet'!$A$88,'Données projet'!$B$88,BD7+BC8-BL7)))</f>
        <v>3.331666249791537</v>
      </c>
      <c r="BE8" s="14">
        <f>BD8*VLOOKUP('Données projet'!$B$11,Paramètres!$A$1:$I$89,3,0)*VLOOKUP('Données projet'!$B$11,Paramètres!$A$1:$I$89,5,0)</f>
        <v>2.650673668334147</v>
      </c>
      <c r="BF8" s="14">
        <f t="shared" si="37"/>
        <v>1.0905100180313785</v>
      </c>
      <c r="BG8" s="22">
        <f t="shared" si="7"/>
        <v>6.5158949204199574</v>
      </c>
      <c r="BH8" s="62">
        <f t="shared" si="8"/>
        <v>269.29367269819772</v>
      </c>
      <c r="BI8" s="62">
        <f ca="1">AVERAGE(OFFSET($BH$3,0,0,'Données projet'!$E$11+1,1))-AVERAGE(OFFSET($H$3,0,0,'Données projet'!$E$11+1,1))</f>
        <v>370.59298168107364</v>
      </c>
      <c r="BJ8" s="62">
        <f t="shared" si="38"/>
        <v>404.61777090709171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1.1099999999999999</v>
      </c>
      <c r="BY8" s="13">
        <f>IF('Données projet'!$A$114&gt;35,BY7+BX8-CG7,IF(A8&lt;'Données projet'!$A$114,$BV$205^A8,IF(A8='Données projet'!$A$114,'Données projet'!$B$114,BY7+BX8-CG7)))</f>
        <v>3.331666249791537</v>
      </c>
      <c r="BZ8" s="14">
        <f>BY8*VLOOKUP('Données projet'!$B$12,Paramètres!$A$1:$I$89,3,0)*VLOOKUP('Données projet'!$B$12,Paramètres!$A$1:$I$89,5,0)</f>
        <v>2.4427776943471549</v>
      </c>
      <c r="CA8" s="14">
        <f t="shared" si="39"/>
        <v>1.0145800520471964</v>
      </c>
      <c r="CB8" s="22">
        <f t="shared" si="10"/>
        <v>6.0215647416368272</v>
      </c>
      <c r="CC8" s="62">
        <f t="shared" si="11"/>
        <v>268.79934251941461</v>
      </c>
      <c r="CD8" s="62">
        <f ca="1">AVERAGE(OFFSET($CC$3,0,0,'Données projet'!$E$12+1,1))-AVERAGE(OFFSET($H$3,0,0,'Données projet'!$E$12+1,1))</f>
        <v>344.45199703750711</v>
      </c>
      <c r="CE8" s="62">
        <f t="shared" si="40"/>
        <v>376.41441893222185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1.4</v>
      </c>
      <c r="CT8" s="13">
        <f>IF('Données projet'!$A$140&gt;35,CT7+CS8-DB7,IF(A8&lt;'Données projet'!$A$140,$CQ$205^A8,IF(A8='Données projet'!$A$140,'Données projet'!$B$140,CT7+CS8-DB7)))</f>
        <v>3.7416573867739413</v>
      </c>
      <c r="CU8" s="18">
        <f>CT8*VLOOKUP('Données projet'!$B$13,Paramètres!$A$1:$I$89,3,0)*VLOOKUP('Données projet'!$B$13,Paramètres!$A$1:$I$89,5,0)</f>
        <v>2.4515339198142865</v>
      </c>
      <c r="CV8" s="14">
        <f t="shared" si="41"/>
        <v>1.0177928582182787</v>
      </c>
      <c r="CW8" s="22">
        <f t="shared" si="13"/>
        <v>6.0424108050733842</v>
      </c>
      <c r="CX8" s="62">
        <f t="shared" si="14"/>
        <v>268.82018858285113</v>
      </c>
      <c r="CY8" s="62">
        <f ca="1">AVERAGE(OFFSET($CX$3,0,0,'Données projet'!$E$13+1,1))-AVERAGE(OFFSET($H$3,0,0,'Données projet'!$E$13+1,1))</f>
        <v>311.53750850588153</v>
      </c>
      <c r="CZ8" s="62">
        <f t="shared" si="42"/>
        <v>304.84379909635476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0.9</v>
      </c>
      <c r="DO8" s="13">
        <f>IF('Données projet'!$A$166&gt;35,DO7+DN8-DW7,IF(A8&lt;'Données projet'!$A$166,$DL$205^A8,IF(A8='Données projet'!$A$166,'Données projet'!$B$166,DO7+DN8-DW7)))</f>
        <v>3.0000000000000004</v>
      </c>
      <c r="DP8" s="18">
        <f>DO8*VLOOKUP('Données projet'!$B$14,Paramètres!$A$1:$I$89,3,0)*VLOOKUP('Données projet'!$B$14,Paramètres!$A$1:$I$89,5,0)</f>
        <v>2.4336000000000007</v>
      </c>
      <c r="DQ8" s="14">
        <f t="shared" si="43"/>
        <v>1.0112111626203177</v>
      </c>
      <c r="DR8" s="22">
        <f t="shared" si="16"/>
        <v>5.9997127748970547</v>
      </c>
      <c r="DS8" s="62">
        <f t="shared" si="17"/>
        <v>268.77749055267481</v>
      </c>
      <c r="DT8" s="62">
        <f ca="1">AVERAGE(OFFSET($DS$3,0,0,'Données projet'!$E$14+1,1))-AVERAGE(OFFSET($H$3,0,0,'Données projet'!$E$14+1,1))</f>
        <v>256.19915261735281</v>
      </c>
      <c r="DU8" s="62">
        <f t="shared" si="44"/>
        <v>297.47246687305056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3.1623931623931623</v>
      </c>
      <c r="EJ8" s="13">
        <f>IF('Données projet'!$A$192&gt;35,EJ7+EI8-ER7,IF(A8&lt;'Données projet'!$A$192,$EG$205^A8,IF(A8='Données projet'!$A$192,'Données projet'!$B$192,EJ7+EI8-ER7)))</f>
        <v>3.6199483483136521</v>
      </c>
      <c r="EK8" s="18">
        <f>EJ8*VLOOKUP('Données projet'!$B$15,Paramètres!$A$1:$I$89,3,0)*VLOOKUP('Données projet'!$B$15,Paramètres!$A$1:$I$89,5,0)</f>
        <v>3.4447428482552716</v>
      </c>
      <c r="EL8" s="14">
        <f t="shared" si="45"/>
        <v>1.3746236757212458</v>
      </c>
      <c r="EM8" s="22">
        <f t="shared" si="19"/>
        <v>8.3937300292591015</v>
      </c>
      <c r="EN8" s="62">
        <f t="shared" si="20"/>
        <v>271.17150780703685</v>
      </c>
      <c r="EO8" s="62">
        <f ca="1">AVERAGE(OFFSET($EN$3,0,0,'Données projet'!$E$15+1,1))-AVERAGE(OFFSET($H$3,0,0,'Données projet'!$E$15+1,1))</f>
        <v>406.24139966722936</v>
      </c>
      <c r="EP8" s="62">
        <f t="shared" si="46"/>
        <v>295.95724296920577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2.6666666666666665</v>
      </c>
      <c r="FE8" s="13">
        <f>IF('Données projet'!$A$218&gt;35,FE7+FD8-FM7,IF(A8&lt;'Données projet'!$A$218,$FB$205^A8,IF(A8='Données projet'!$A$218,'Données projet'!$B$218,FE7+FD8-FM7)))</f>
        <v>3.4199518933533928</v>
      </c>
      <c r="FF8" s="18">
        <f>FE8*VLOOKUP('Données projet'!$B$16,Paramètres!$A$1:$I$89,3,0)*VLOOKUP('Données projet'!$B$16,Paramètres!$A$1:$I$89,5,0)</f>
        <v>2.6675624768156463</v>
      </c>
      <c r="FG8" s="14">
        <f t="shared" si="47"/>
        <v>1.0966471776471767</v>
      </c>
      <c r="FH8" s="22">
        <f t="shared" si="22"/>
        <v>6.5559984815227494</v>
      </c>
      <c r="FI8" s="62">
        <f t="shared" si="23"/>
        <v>269.33377625930052</v>
      </c>
      <c r="FJ8" s="62">
        <f ca="1">AVERAGE(OFFSET($FI$3,0,0,'Données projet'!$E$16+1,1))-AVERAGE(OFFSET($H$3,0,0,'Données projet'!$E$16+1,1))</f>
        <v>292.57482726862594</v>
      </c>
      <c r="FK8" s="62">
        <f t="shared" si="48"/>
        <v>283.48738729114024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3.65</v>
      </c>
      <c r="FZ8" s="13">
        <f>IF('Données projet'!$A$244&gt;35,FZ7+FY8-GH7,IF(A8&lt;'Données projet'!$A$244,$FW$205^A8,IF(A8='Données projet'!$A$244,'Données projet'!$B$244,FZ7+FY8-GH7)))</f>
        <v>2.9230127856917649</v>
      </c>
      <c r="GA8" s="18">
        <f>FZ8*VLOOKUP('Données projet'!$B$17,Paramètres!$A$1:$I$89,3,0)*VLOOKUP('Données projet'!$B$17,Paramètres!$A$1:$I$89,5,0)</f>
        <v>2.8271379663210752</v>
      </c>
      <c r="GB8" s="14">
        <f t="shared" si="49"/>
        <v>1.1544158385061292</v>
      </c>
      <c r="GC8" s="22">
        <f t="shared" si="25"/>
        <v>6.9345395434073795</v>
      </c>
      <c r="GD8" s="62">
        <f t="shared" si="26"/>
        <v>269.71231732118514</v>
      </c>
      <c r="GE8" s="62">
        <f ca="1">AVERAGE(OFFSET($GD$3,0,0,'Données projet'!$E$17+1,1))-AVERAGE(OFFSET($H$3,0,0,'Données projet'!$E$17+1,1))</f>
        <v>562.69380557620775</v>
      </c>
      <c r="GF8" s="62">
        <f t="shared" si="50"/>
        <v>294.45557293177131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529.25712986118265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0.76190476190476186</v>
      </c>
      <c r="AI9" s="14">
        <f>IF('Données projet'!$A$62&gt;35,AI8+AH9-AQ8,IF(A9&lt;'Données projet'!$A$62,$AF$205^A9,IF(A9='Données projet'!$A$62,'Données projet'!$B$62,AI8+AH9-AQ8)))</f>
        <v>2.2081790273476258</v>
      </c>
      <c r="AJ9" s="14">
        <f>AI9*VLOOKUP('Données projet'!$B$10,Paramètres!$A$1:$I$89,3,0)*VLOOKUP('Données projet'!$B$10,Paramètres!$A$1:$I$89,5,0)</f>
        <v>1.8946176054642632</v>
      </c>
      <c r="AK9" s="14">
        <f t="shared" si="35"/>
        <v>0.81053192033927701</v>
      </c>
      <c r="AL9" s="22">
        <f t="shared" si="4"/>
        <v>4.7114687574411658</v>
      </c>
      <c r="AM9" s="62">
        <f t="shared" si="5"/>
        <v>268.71146875744114</v>
      </c>
      <c r="AN9" s="62">
        <f ca="1">AVERAGE(OFFSET($AM$3,0,0,'Données projet'!$E$10+1,1))-AVERAGE(OFFSET($H$3,0,0,'Données projet'!$E$10+1,1))</f>
        <v>446.86777652265448</v>
      </c>
      <c r="AO9" s="62">
        <f t="shared" si="36"/>
        <v>230.82970731138215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1.1099999999999999</v>
      </c>
      <c r="BD9" s="13">
        <f>IF('Données projet'!$A$88&gt;35,BD8+BC9-BL8,IF(A9&lt;'Données projet'!$A$88,$BA$205^A9,IF(A9='Données projet'!$A$88,'Données projet'!$B$88,BD8+BC9-BL8)))</f>
        <v>4.2383204267167436</v>
      </c>
      <c r="BE9" s="14">
        <f>BD9*VLOOKUP('Données projet'!$B$11,Paramètres!$A$1:$I$89,3,0)*VLOOKUP('Données projet'!$B$11,Paramètres!$A$1:$I$89,5,0)</f>
        <v>3.3720077314958417</v>
      </c>
      <c r="BF9" s="14">
        <f t="shared" si="37"/>
        <v>1.3489454823501079</v>
      </c>
      <c r="BG9" s="22">
        <f t="shared" si="7"/>
        <v>8.2223268474483628</v>
      </c>
      <c r="BH9" s="62">
        <f t="shared" si="8"/>
        <v>272.22232684744836</v>
      </c>
      <c r="BI9" s="62">
        <f ca="1">AVERAGE(OFFSET($BH$3,0,0,'Données projet'!$E$11+1,1))-AVERAGE(OFFSET($H$3,0,0,'Données projet'!$E$11+1,1))</f>
        <v>370.59298168107364</v>
      </c>
      <c r="BJ9" s="62">
        <f t="shared" si="38"/>
        <v>404.61777090709171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1.1099999999999999</v>
      </c>
      <c r="BY9" s="13">
        <f>IF('Données projet'!$A$114&gt;35,BY8+BX9-CG8,IF(A9&lt;'Données projet'!$A$114,$BV$205^A9,IF(A9='Données projet'!$A$114,'Données projet'!$B$114,BY8+BX9-CG8)))</f>
        <v>4.2383204267167436</v>
      </c>
      <c r="BZ9" s="14">
        <f>BY9*VLOOKUP('Données projet'!$B$12,Paramètres!$A$1:$I$89,3,0)*VLOOKUP('Données projet'!$B$12,Paramètres!$A$1:$I$89,5,0)</f>
        <v>3.1075365368687162</v>
      </c>
      <c r="CA9" s="14">
        <f t="shared" si="39"/>
        <v>1.2550211873910744</v>
      </c>
      <c r="CB9" s="22">
        <f t="shared" si="10"/>
        <v>7.5981213697524668</v>
      </c>
      <c r="CC9" s="62">
        <f t="shared" si="11"/>
        <v>271.59812136975245</v>
      </c>
      <c r="CD9" s="62">
        <f ca="1">AVERAGE(OFFSET($CC$3,0,0,'Données projet'!$E$12+1,1))-AVERAGE(OFFSET($H$3,0,0,'Données projet'!$E$12+1,1))</f>
        <v>344.45199703750711</v>
      </c>
      <c r="CE9" s="62">
        <f t="shared" si="40"/>
        <v>376.41441893222185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1.4</v>
      </c>
      <c r="CT9" s="13">
        <f>IF('Données projet'!$A$140&gt;35,CT8+CS9-DB8,IF(A9&lt;'Données projet'!$A$140,$CQ$205^A9,IF(A9='Données projet'!$A$140,'Données projet'!$B$140,CT8+CS9-DB8)))</f>
        <v>4.8716583257669139</v>
      </c>
      <c r="CU9" s="18">
        <f>CT9*VLOOKUP('Données projet'!$B$13,Paramètres!$A$1:$I$89,3,0)*VLOOKUP('Données projet'!$B$13,Paramètres!$A$1:$I$89,5,0)</f>
        <v>3.1919105350424819</v>
      </c>
      <c r="CV9" s="14">
        <f t="shared" si="41"/>
        <v>1.2850832778486103</v>
      </c>
      <c r="CW9" s="22">
        <f t="shared" si="13"/>
        <v>7.7974308907853205</v>
      </c>
      <c r="CX9" s="62">
        <f t="shared" si="14"/>
        <v>271.79743089078534</v>
      </c>
      <c r="CY9" s="62">
        <f ca="1">AVERAGE(OFFSET($CX$3,0,0,'Données projet'!$E$13+1,1))-AVERAGE(OFFSET($H$3,0,0,'Données projet'!$E$13+1,1))</f>
        <v>311.53750850588153</v>
      </c>
      <c r="CZ9" s="62">
        <f t="shared" si="42"/>
        <v>304.84379909635476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0.9</v>
      </c>
      <c r="DO9" s="13">
        <f>IF('Données projet'!$A$166&gt;35,DO8+DN9-DW8,IF(A9&lt;'Données projet'!$A$166,$DL$205^A9,IF(A9='Données projet'!$A$166,'Données projet'!$B$166,DO8+DN9-DW8)))</f>
        <v>3.7371928188465526</v>
      </c>
      <c r="DP9" s="18">
        <f>DO9*VLOOKUP('Données projet'!$B$14,Paramètres!$A$1:$I$89,3,0)*VLOOKUP('Données projet'!$B$14,Paramètres!$A$1:$I$89,5,0)</f>
        <v>3.0316108146483236</v>
      </c>
      <c r="DQ9" s="14">
        <f t="shared" si="43"/>
        <v>1.2278879099133964</v>
      </c>
      <c r="DR9" s="22">
        <f t="shared" si="16"/>
        <v>7.4186269452783291</v>
      </c>
      <c r="DS9" s="62">
        <f t="shared" si="17"/>
        <v>271.41862694527833</v>
      </c>
      <c r="DT9" s="62">
        <f ca="1">AVERAGE(OFFSET($DS$3,0,0,'Données projet'!$E$14+1,1))-AVERAGE(OFFSET($H$3,0,0,'Données projet'!$E$14+1,1))</f>
        <v>256.19915261735281</v>
      </c>
      <c r="DU9" s="62">
        <f t="shared" si="44"/>
        <v>297.47246687305056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3.1623931623931623</v>
      </c>
      <c r="EJ9" s="13">
        <f>IF('Données projet'!$A$192&gt;35,EJ8+EI9-ER8,IF(A9&lt;'Données projet'!$A$192,$EG$205^A9,IF(A9='Données projet'!$A$192,'Données projet'!$B$192,EJ8+EI9-ER8)))</f>
        <v>4.6821233241387468</v>
      </c>
      <c r="EK9" s="18">
        <f>EJ9*VLOOKUP('Données projet'!$B$15,Paramètres!$A$1:$I$89,3,0)*VLOOKUP('Données projet'!$B$15,Paramètres!$A$1:$I$89,5,0)</f>
        <v>4.4555085552504314</v>
      </c>
      <c r="EL9" s="14">
        <f t="shared" si="45"/>
        <v>1.7255108845411122</v>
      </c>
      <c r="EM9" s="22">
        <f t="shared" si="19"/>
        <v>10.765275524303604</v>
      </c>
      <c r="EN9" s="62">
        <f t="shared" si="20"/>
        <v>274.7652755243036</v>
      </c>
      <c r="EO9" s="62">
        <f ca="1">AVERAGE(OFFSET($EN$3,0,0,'Données projet'!$E$15+1,1))-AVERAGE(OFFSET($H$3,0,0,'Données projet'!$E$15+1,1))</f>
        <v>406.24139966722936</v>
      </c>
      <c r="EP9" s="62">
        <f t="shared" si="46"/>
        <v>295.95724296920577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2.6666666666666665</v>
      </c>
      <c r="FE9" s="13">
        <f>IF('Données projet'!$A$218&gt;35,FE8+FD9-FM8,IF(A9&lt;'Données projet'!$A$218,$FB$205^A9,IF(A9='Données projet'!$A$218,'Données projet'!$B$218,FE8+FD9-FM8)))</f>
        <v>4.3734482957731098</v>
      </c>
      <c r="FF9" s="18">
        <f>FE9*VLOOKUP('Données projet'!$B$16,Paramètres!$A$1:$I$89,3,0)*VLOOKUP('Données projet'!$B$16,Paramètres!$A$1:$I$89,5,0)</f>
        <v>3.4112896707030256</v>
      </c>
      <c r="FG9" s="14">
        <f t="shared" si="47"/>
        <v>1.3628213830192535</v>
      </c>
      <c r="FH9" s="22">
        <f t="shared" si="22"/>
        <v>8.3149100852329703</v>
      </c>
      <c r="FI9" s="62">
        <f t="shared" si="23"/>
        <v>272.31491008523295</v>
      </c>
      <c r="FJ9" s="62">
        <f ca="1">AVERAGE(OFFSET($FI$3,0,0,'Données projet'!$E$16+1,1))-AVERAGE(OFFSET($H$3,0,0,'Données projet'!$E$16+1,1))</f>
        <v>292.57482726862594</v>
      </c>
      <c r="FK9" s="62">
        <f t="shared" si="48"/>
        <v>283.48738729114024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3.65</v>
      </c>
      <c r="FZ9" s="13">
        <f>IF('Données projet'!$A$244&gt;35,FZ8+FY9-GH8,IF(A9&lt;'Données projet'!$A$244,$FW$205^A9,IF(A9='Données projet'!$A$244,'Données projet'!$B$244,FZ8+FY9-GH8)))</f>
        <v>3.6224037772879885</v>
      </c>
      <c r="GA9" s="18">
        <f>FZ9*VLOOKUP('Données projet'!$B$17,Paramètres!$A$1:$I$89,3,0)*VLOOKUP('Données projet'!$B$17,Paramètres!$A$1:$I$89,5,0)</f>
        <v>3.5035889333929422</v>
      </c>
      <c r="GB9" s="14">
        <f t="shared" si="49"/>
        <v>1.3953523257036018</v>
      </c>
      <c r="GC9" s="22">
        <f t="shared" si="25"/>
        <v>8.5323226929264795</v>
      </c>
      <c r="GD9" s="62">
        <f t="shared" si="26"/>
        <v>272.53232269292647</v>
      </c>
      <c r="GE9" s="62">
        <f ca="1">AVERAGE(OFFSET($GD$3,0,0,'Données projet'!$E$17+1,1))-AVERAGE(OFFSET($H$3,0,0,'Données projet'!$E$17+1,1))</f>
        <v>562.69380557620775</v>
      </c>
      <c r="GF9" s="62">
        <f t="shared" si="50"/>
        <v>294.45557293177131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529.25712986118265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0.76190476190476186</v>
      </c>
      <c r="AI10" s="14">
        <f>IF('Données projet'!$A$62&gt;35,AI9+AH10-AQ9,IF(A10&lt;'Données projet'!$A$62,$AF$205^A10,IF(A10='Données projet'!$A$62,'Données projet'!$B$62,AI9+AH10-AQ9)))</f>
        <v>2.5198420997897477</v>
      </c>
      <c r="AJ10" s="14">
        <f>AI10*VLOOKUP('Données projet'!$B$10,Paramètres!$A$1:$I$89,3,0)*VLOOKUP('Données projet'!$B$10,Paramètres!$A$1:$I$89,5,0)</f>
        <v>2.1620245216196037</v>
      </c>
      <c r="AK10" s="14">
        <f t="shared" si="35"/>
        <v>0.91082492066248</v>
      </c>
      <c r="AL10" s="22">
        <f t="shared" si="4"/>
        <v>5.3518794453079614</v>
      </c>
      <c r="AM10" s="62">
        <f t="shared" si="5"/>
        <v>270.57410166753021</v>
      </c>
      <c r="AN10" s="62">
        <f ca="1">AVERAGE(OFFSET($AM$3,0,0,'Données projet'!$E$10+1,1))-AVERAGE(OFFSET($H$3,0,0,'Données projet'!$E$10+1,1))</f>
        <v>446.86777652265448</v>
      </c>
      <c r="AO10" s="62">
        <f t="shared" si="36"/>
        <v>230.82970731138215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1.1099999999999999</v>
      </c>
      <c r="BD10" s="13">
        <f>IF('Données projet'!$A$88&gt;35,BD9+BC10-BL9,IF(A10&lt;'Données projet'!$A$88,$BA$205^A10,IF(A10='Données projet'!$A$88,'Données projet'!$B$88,BD9+BC10-BL9)))</f>
        <v>5.3917045384267919</v>
      </c>
      <c r="BE10" s="14">
        <f>BD10*VLOOKUP('Données projet'!$B$11,Paramètres!$A$1:$I$89,3,0)*VLOOKUP('Données projet'!$B$11,Paramètres!$A$1:$I$89,5,0)</f>
        <v>4.289640130772356</v>
      </c>
      <c r="BF10" s="14">
        <f t="shared" si="37"/>
        <v>1.6686264997708673</v>
      </c>
      <c r="BG10" s="22">
        <f t="shared" si="7"/>
        <v>10.377314381529446</v>
      </c>
      <c r="BH10" s="62">
        <f t="shared" si="8"/>
        <v>275.59953660375169</v>
      </c>
      <c r="BI10" s="62">
        <f ca="1">AVERAGE(OFFSET($BH$3,0,0,'Données projet'!$E$11+1,1))-AVERAGE(OFFSET($H$3,0,0,'Données projet'!$E$11+1,1))</f>
        <v>370.59298168107364</v>
      </c>
      <c r="BJ10" s="62">
        <f t="shared" si="38"/>
        <v>404.61777090709171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1.1099999999999999</v>
      </c>
      <c r="BY10" s="13">
        <f>IF('Données projet'!$A$114&gt;35,BY9+BX10-CG9,IF(A10&lt;'Données projet'!$A$114,$BV$205^A10,IF(A10='Données projet'!$A$114,'Données projet'!$B$114,BY9+BX10-CG9)))</f>
        <v>5.3917045384267919</v>
      </c>
      <c r="BZ10" s="14">
        <f>BY10*VLOOKUP('Données projet'!$B$12,Paramètres!$A$1:$I$89,3,0)*VLOOKUP('Données projet'!$B$12,Paramètres!$A$1:$I$89,5,0)</f>
        <v>3.9531977675745238</v>
      </c>
      <c r="CA10" s="14">
        <f t="shared" si="39"/>
        <v>1.5524434741471074</v>
      </c>
      <c r="CB10" s="22">
        <f t="shared" si="10"/>
        <v>9.5889918293318406</v>
      </c>
      <c r="CC10" s="62">
        <f t="shared" si="11"/>
        <v>274.81121405155409</v>
      </c>
      <c r="CD10" s="62">
        <f ca="1">AVERAGE(OFFSET($CC$3,0,0,'Données projet'!$E$12+1,1))-AVERAGE(OFFSET($H$3,0,0,'Données projet'!$E$12+1,1))</f>
        <v>344.45199703750711</v>
      </c>
      <c r="CE10" s="62">
        <f t="shared" si="40"/>
        <v>376.41441893222185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1.4</v>
      </c>
      <c r="CT10" s="13">
        <f>IF('Données projet'!$A$140&gt;35,CT9+CS10-DB9,IF(A10&lt;'Données projet'!$A$140,$CQ$205^A10,IF(A10='Données projet'!$A$140,'Données projet'!$B$140,CT9+CS10-DB9)))</f>
        <v>6.3429257117196256</v>
      </c>
      <c r="CU10" s="18">
        <f>CT10*VLOOKUP('Données projet'!$B$13,Paramètres!$A$1:$I$89,3,0)*VLOOKUP('Données projet'!$B$13,Paramètres!$A$1:$I$89,5,0)</f>
        <v>4.1558849263186985</v>
      </c>
      <c r="CV10" s="14">
        <f t="shared" si="41"/>
        <v>1.6225688927480735</v>
      </c>
      <c r="CW10" s="22">
        <f t="shared" si="13"/>
        <v>10.064140401541296</v>
      </c>
      <c r="CX10" s="62">
        <f t="shared" si="14"/>
        <v>275.28636262376352</v>
      </c>
      <c r="CY10" s="62">
        <f ca="1">AVERAGE(OFFSET($CX$3,0,0,'Données projet'!$E$13+1,1))-AVERAGE(OFFSET($H$3,0,0,'Données projet'!$E$13+1,1))</f>
        <v>311.53750850588153</v>
      </c>
      <c r="CZ10" s="62">
        <f t="shared" si="42"/>
        <v>304.84379909635476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0.9</v>
      </c>
      <c r="DO10" s="13">
        <f>IF('Données projet'!$A$166&gt;35,DO9+DN10-DW9,IF(A10&lt;'Données projet'!$A$166,$DL$205^A10,IF(A10='Données projet'!$A$166,'Données projet'!$B$166,DO9+DN10-DW9)))</f>
        <v>4.6555367217460804</v>
      </c>
      <c r="DP10" s="18">
        <f>DO10*VLOOKUP('Données projet'!$B$14,Paramètres!$A$1:$I$89,3,0)*VLOOKUP('Données projet'!$B$14,Paramètres!$A$1:$I$89,5,0)</f>
        <v>3.7765713886804204</v>
      </c>
      <c r="DQ10" s="14">
        <f t="shared" si="43"/>
        <v>1.490992954829151</v>
      </c>
      <c r="DR10" s="22">
        <f t="shared" si="16"/>
        <v>9.1743412316125035</v>
      </c>
      <c r="DS10" s="62">
        <f t="shared" si="17"/>
        <v>274.39656345383474</v>
      </c>
      <c r="DT10" s="62">
        <f ca="1">AVERAGE(OFFSET($DS$3,0,0,'Données projet'!$E$14+1,1))-AVERAGE(OFFSET($H$3,0,0,'Données projet'!$E$14+1,1))</f>
        <v>256.19915261735281</v>
      </c>
      <c r="DU10" s="62">
        <f t="shared" si="44"/>
        <v>297.47246687305056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3.1623931623931623</v>
      </c>
      <c r="EJ10" s="13">
        <f>IF('Données projet'!$A$192&gt;35,EJ9+EI10-ER9,IF(A10&lt;'Données projet'!$A$192,$EG$205^A10,IF(A10='Données projet'!$A$192,'Données projet'!$B$192,EJ9+EI10-ER9)))</f>
        <v>6.0559645368024464</v>
      </c>
      <c r="EK10" s="18">
        <f>EJ10*VLOOKUP('Données projet'!$B$15,Paramètres!$A$1:$I$89,3,0)*VLOOKUP('Données projet'!$B$15,Paramètres!$A$1:$I$89,5,0)</f>
        <v>5.7628558532212084</v>
      </c>
      <c r="EL10" s="14">
        <f t="shared" si="45"/>
        <v>2.1659657586703922</v>
      </c>
      <c r="EM10" s="22">
        <f t="shared" si="19"/>
        <v>13.809364307377871</v>
      </c>
      <c r="EN10" s="62">
        <f t="shared" si="20"/>
        <v>279.03158652960008</v>
      </c>
      <c r="EO10" s="62">
        <f ca="1">AVERAGE(OFFSET($EN$3,0,0,'Données projet'!$E$15+1,1))-AVERAGE(OFFSET($H$3,0,0,'Données projet'!$E$15+1,1))</f>
        <v>406.24139966722936</v>
      </c>
      <c r="EP10" s="62">
        <f t="shared" si="46"/>
        <v>295.95724296920577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2.6666666666666665</v>
      </c>
      <c r="FE10" s="13">
        <f>IF('Données projet'!$A$218&gt;35,FE9+FD10-FM9,IF(A10&lt;'Données projet'!$A$218,$FB$205^A10,IF(A10='Données projet'!$A$218,'Données projet'!$B$218,FE9+FD10-FM9)))</f>
        <v>5.5927833467405659</v>
      </c>
      <c r="FF10" s="18">
        <f>FE10*VLOOKUP('Données projet'!$B$16,Paramètres!$A$1:$I$89,3,0)*VLOOKUP('Données projet'!$B$16,Paramètres!$A$1:$I$89,5,0)</f>
        <v>4.3623710104576414</v>
      </c>
      <c r="FG10" s="14">
        <f t="shared" si="47"/>
        <v>1.6936004212396314</v>
      </c>
      <c r="FH10" s="22">
        <f t="shared" si="22"/>
        <v>10.54748357687275</v>
      </c>
      <c r="FI10" s="62">
        <f t="shared" si="23"/>
        <v>275.76970579909499</v>
      </c>
      <c r="FJ10" s="62">
        <f ca="1">AVERAGE(OFFSET($FI$3,0,0,'Données projet'!$E$16+1,1))-AVERAGE(OFFSET($H$3,0,0,'Données projet'!$E$16+1,1))</f>
        <v>292.57482726862594</v>
      </c>
      <c r="FK10" s="62">
        <f t="shared" si="48"/>
        <v>283.48738729114024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3.65</v>
      </c>
      <c r="FZ10" s="13">
        <f>IF('Données projet'!$A$244&gt;35,FZ9+FY10-GH9,IF(A10&lt;'Données projet'!$A$244,$FW$205^A10,IF(A10='Données projet'!$A$244,'Données projet'!$B$244,FZ9+FY10-GH9)))</f>
        <v>4.4891384635544309</v>
      </c>
      <c r="GA10" s="18">
        <f>FZ10*VLOOKUP('Données projet'!$B$17,Paramètres!$A$1:$I$89,3,0)*VLOOKUP('Données projet'!$B$17,Paramètres!$A$1:$I$89,5,0)</f>
        <v>4.3418947219498456</v>
      </c>
      <c r="GB10" s="14">
        <f t="shared" si="49"/>
        <v>1.6865743243491664</v>
      </c>
      <c r="GC10" s="22">
        <f t="shared" si="25"/>
        <v>10.499583588970779</v>
      </c>
      <c r="GD10" s="62">
        <f t="shared" si="26"/>
        <v>275.72180581119301</v>
      </c>
      <c r="GE10" s="62">
        <f ca="1">AVERAGE(OFFSET($GD$3,0,0,'Données projet'!$E$17+1,1))-AVERAGE(OFFSET($H$3,0,0,'Données projet'!$E$17+1,1))</f>
        <v>562.69380557620775</v>
      </c>
      <c r="GF10" s="62">
        <f t="shared" si="50"/>
        <v>294.45557293177131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529.25712986118265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0.76190476190476186</v>
      </c>
      <c r="AI11" s="14">
        <f>IF('Données projet'!$A$62&gt;35,AI10+AH11-AQ10,IF(A11&lt;'Données projet'!$A$62,$AF$205^A11,IF(A11='Données projet'!$A$62,'Données projet'!$B$62,AI10+AH11-AQ10)))</f>
        <v>2.8754933948900372</v>
      </c>
      <c r="AJ11" s="14">
        <f>AI11*VLOOKUP('Données projet'!$B$10,Paramètres!$A$1:$I$89,3,0)*VLOOKUP('Données projet'!$B$10,Paramètres!$A$1:$I$89,5,0)</f>
        <v>2.4671733328156522</v>
      </c>
      <c r="AK11" s="14">
        <f t="shared" si="35"/>
        <v>1.0235279022108759</v>
      </c>
      <c r="AL11" s="22">
        <f t="shared" si="4"/>
        <v>6.079637984337869</v>
      </c>
      <c r="AM11" s="62">
        <f t="shared" si="5"/>
        <v>272.52408242878232</v>
      </c>
      <c r="AN11" s="62">
        <f ca="1">AVERAGE(OFFSET($AM$3,0,0,'Données projet'!$E$10+1,1))-AVERAGE(OFFSET($H$3,0,0,'Données projet'!$E$10+1,1))</f>
        <v>446.86777652265448</v>
      </c>
      <c r="AO11" s="62">
        <f t="shared" si="36"/>
        <v>230.82970731138215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1.1099999999999999</v>
      </c>
      <c r="BD11" s="13">
        <f>IF('Données projet'!$A$88&gt;35,BD10+BC11-BL10,IF(A11&lt;'Données projet'!$A$88,$BA$205^A11,IF(A11='Données projet'!$A$88,'Données projet'!$B$88,BD10+BC11-BL10)))</f>
        <v>6.8589617827012184</v>
      </c>
      <c r="BE11" s="14">
        <f>BD11*VLOOKUP('Données projet'!$B$11,Paramètres!$A$1:$I$89,3,0)*VLOOKUP('Données projet'!$B$11,Paramètres!$A$1:$I$89,5,0)</f>
        <v>5.4569899943170901</v>
      </c>
      <c r="BF11" s="14">
        <f t="shared" si="37"/>
        <v>2.0640674009203073</v>
      </c>
      <c r="BG11" s="22">
        <f t="shared" si="7"/>
        <v>13.0991749633718</v>
      </c>
      <c r="BH11" s="62">
        <f t="shared" si="8"/>
        <v>279.54361940781627</v>
      </c>
      <c r="BI11" s="62">
        <f ca="1">AVERAGE(OFFSET($BH$3,0,0,'Données projet'!$E$11+1,1))-AVERAGE(OFFSET($H$3,0,0,'Données projet'!$E$11+1,1))</f>
        <v>370.59298168107364</v>
      </c>
      <c r="BJ11" s="62">
        <f t="shared" si="38"/>
        <v>404.61777090709171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1.1099999999999999</v>
      </c>
      <c r="BY11" s="13">
        <f>IF('Données projet'!$A$114&gt;35,BY10+BX11-CG10,IF(A11&lt;'Données projet'!$A$114,$BV$205^A11,IF(A11='Données projet'!$A$114,'Données projet'!$B$114,BY10+BX11-CG10)))</f>
        <v>6.8589617827012184</v>
      </c>
      <c r="BZ11" s="14">
        <f>BY11*VLOOKUP('Données projet'!$B$12,Paramètres!$A$1:$I$89,3,0)*VLOOKUP('Données projet'!$B$12,Paramètres!$A$1:$I$89,5,0)</f>
        <v>5.0289907790765334</v>
      </c>
      <c r="CA11" s="14">
        <f t="shared" si="39"/>
        <v>1.920350640001538</v>
      </c>
      <c r="CB11" s="22">
        <f t="shared" si="10"/>
        <v>12.103436304894307</v>
      </c>
      <c r="CC11" s="62">
        <f t="shared" si="11"/>
        <v>278.54788074933879</v>
      </c>
      <c r="CD11" s="62">
        <f ca="1">AVERAGE(OFFSET($CC$3,0,0,'Données projet'!$E$12+1,1))-AVERAGE(OFFSET($H$3,0,0,'Données projet'!$E$12+1,1))</f>
        <v>344.45199703750711</v>
      </c>
      <c r="CE11" s="62">
        <f t="shared" si="40"/>
        <v>376.41441893222185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1.4</v>
      </c>
      <c r="CT11" s="13">
        <f>IF('Données projet'!$A$140&gt;35,CT10+CS11-DB10,IF(A11&lt;'Données projet'!$A$140,$CQ$205^A11,IF(A11='Données projet'!$A$140,'Données projet'!$B$140,CT10+CS11-DB10)))</f>
        <v>8.258523872989457</v>
      </c>
      <c r="CU11" s="18">
        <f>CT11*VLOOKUP('Données projet'!$B$13,Paramètres!$A$1:$I$89,3,0)*VLOOKUP('Données projet'!$B$13,Paramètres!$A$1:$I$89,5,0)</f>
        <v>5.4109848415826924</v>
      </c>
      <c r="CV11" s="14">
        <f t="shared" si="41"/>
        <v>2.0486842036581692</v>
      </c>
      <c r="CW11" s="22">
        <f t="shared" si="13"/>
        <v>12.992256920461166</v>
      </c>
      <c r="CX11" s="62">
        <f t="shared" si="14"/>
        <v>279.43670136490562</v>
      </c>
      <c r="CY11" s="62">
        <f ca="1">AVERAGE(OFFSET($CX$3,0,0,'Données projet'!$E$13+1,1))-AVERAGE(OFFSET($H$3,0,0,'Données projet'!$E$13+1,1))</f>
        <v>311.53750850588153</v>
      </c>
      <c r="CZ11" s="62">
        <f t="shared" si="42"/>
        <v>304.84379909635476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0.9</v>
      </c>
      <c r="DO11" s="13">
        <f>IF('Données projet'!$A$166&gt;35,DO10+DN11-DW10,IF(A11&lt;'Données projet'!$A$166,$DL$205^A11,IF(A11='Données projet'!$A$166,'Données projet'!$B$166,DO10+DN11-DW10)))</f>
        <v>5.7995461347952899</v>
      </c>
      <c r="DP11" s="18">
        <f>DO11*VLOOKUP('Données projet'!$B$14,Paramètres!$A$1:$I$89,3,0)*VLOOKUP('Données projet'!$B$14,Paramètres!$A$1:$I$89,5,0)</f>
        <v>4.7045918245459397</v>
      </c>
      <c r="DQ11" s="14">
        <f t="shared" si="43"/>
        <v>1.8104746967554695</v>
      </c>
      <c r="DR11" s="22">
        <f t="shared" si="16"/>
        <v>11.347074191266621</v>
      </c>
      <c r="DS11" s="62">
        <f t="shared" si="17"/>
        <v>277.7915186357111</v>
      </c>
      <c r="DT11" s="62">
        <f ca="1">AVERAGE(OFFSET($DS$3,0,0,'Données projet'!$E$14+1,1))-AVERAGE(OFFSET($H$3,0,0,'Données projet'!$E$14+1,1))</f>
        <v>256.19915261735281</v>
      </c>
      <c r="DU11" s="62">
        <f t="shared" si="44"/>
        <v>297.47246687305056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3.1623931623931623</v>
      </c>
      <c r="EJ11" s="13">
        <f>IF('Données projet'!$A$192&gt;35,EJ10+EI11-ER10,IF(A11&lt;'Données projet'!$A$192,$EG$205^A11,IF(A11='Données projet'!$A$192,'Données projet'!$B$192,EJ10+EI11-ER10)))</f>
        <v>7.8329219313664717</v>
      </c>
      <c r="EK11" s="18">
        <f>EJ11*VLOOKUP('Données projet'!$B$15,Paramètres!$A$1:$I$89,3,0)*VLOOKUP('Données projet'!$B$15,Paramètres!$A$1:$I$89,5,0)</f>
        <v>7.4538085098883347</v>
      </c>
      <c r="EL11" s="14">
        <f t="shared" si="45"/>
        <v>2.7188513904855807</v>
      </c>
      <c r="EM11" s="22">
        <f t="shared" si="19"/>
        <v>17.717382659817904</v>
      </c>
      <c r="EN11" s="62">
        <f t="shared" si="20"/>
        <v>284.16182710426239</v>
      </c>
      <c r="EO11" s="62">
        <f ca="1">AVERAGE(OFFSET($EN$3,0,0,'Données projet'!$E$15+1,1))-AVERAGE(OFFSET($H$3,0,0,'Données projet'!$E$15+1,1))</f>
        <v>406.24139966722936</v>
      </c>
      <c r="EP11" s="62">
        <f t="shared" si="46"/>
        <v>295.95724296920577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2.6666666666666665</v>
      </c>
      <c r="FE11" s="13">
        <f>IF('Données projet'!$A$218&gt;35,FE10+FD11-FM10,IF(A11&lt;'Données projet'!$A$218,$FB$205^A11,IF(A11='Données projet'!$A$218,'Données projet'!$B$218,FE10+FD11-FM10)))</f>
        <v>7.1520739352994367</v>
      </c>
      <c r="FF11" s="18">
        <f>FE11*VLOOKUP('Données projet'!$B$16,Paramètres!$A$1:$I$89,3,0)*VLOOKUP('Données projet'!$B$16,Paramètres!$A$1:$I$89,5,0)</f>
        <v>5.5786176695335605</v>
      </c>
      <c r="FG11" s="14">
        <f t="shared" si="47"/>
        <v>2.1046649418345189</v>
      </c>
      <c r="FH11" s="22">
        <f t="shared" si="22"/>
        <v>13.381717214799407</v>
      </c>
      <c r="FI11" s="62">
        <f t="shared" si="23"/>
        <v>279.82616165924384</v>
      </c>
      <c r="FJ11" s="62">
        <f ca="1">AVERAGE(OFFSET($FI$3,0,0,'Données projet'!$E$16+1,1))-AVERAGE(OFFSET($H$3,0,0,'Données projet'!$E$16+1,1))</f>
        <v>292.57482726862594</v>
      </c>
      <c r="FK11" s="62">
        <f t="shared" si="48"/>
        <v>283.48738729114024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3.65</v>
      </c>
      <c r="FZ11" s="13">
        <f>IF('Données projet'!$A$244&gt;35,FZ10+FY11-GH10,IF(A11&lt;'Données projet'!$A$244,$FW$205^A11,IF(A11='Données projet'!$A$244,'Données projet'!$B$244,FZ10+FY11-GH10)))</f>
        <v>5.563257268920875</v>
      </c>
      <c r="GA11" s="18">
        <f>FZ11*VLOOKUP('Données projet'!$B$17,Paramètres!$A$1:$I$89,3,0)*VLOOKUP('Données projet'!$B$17,Paramètres!$A$1:$I$89,5,0)</f>
        <v>5.3807824305002701</v>
      </c>
      <c r="GB11" s="14">
        <f t="shared" si="49"/>
        <v>2.0385768519929188</v>
      </c>
      <c r="GC11" s="22">
        <f t="shared" si="25"/>
        <v>12.922050750342303</v>
      </c>
      <c r="GD11" s="62">
        <f t="shared" si="26"/>
        <v>279.36649519478675</v>
      </c>
      <c r="GE11" s="62">
        <f ca="1">AVERAGE(OFFSET($GD$3,0,0,'Données projet'!$E$17+1,1))-AVERAGE(OFFSET($H$3,0,0,'Données projet'!$E$17+1,1))</f>
        <v>562.69380557620775</v>
      </c>
      <c r="GF11" s="62">
        <f t="shared" si="50"/>
        <v>294.45557293177131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529.25712986118265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0.76190476190476186</v>
      </c>
      <c r="AI12" s="14">
        <f>IF('Données projet'!$A$62&gt;35,AI11+AH12-AQ11,IF(A12&lt;'Données projet'!$A$62,$AF$205^A12,IF(A12='Données projet'!$A$62,'Données projet'!$B$62,AI11+AH12-AQ11)))</f>
        <v>3.2813414240305536</v>
      </c>
      <c r="AJ12" s="14">
        <f>AI12*VLOOKUP('Données projet'!$B$10,Paramètres!$A$1:$I$89,3,0)*VLOOKUP('Données projet'!$B$10,Paramètres!$A$1:$I$89,5,0)</f>
        <v>2.8153909418182153</v>
      </c>
      <c r="AK12" s="14">
        <f t="shared" si="35"/>
        <v>1.1501764420787119</v>
      </c>
      <c r="AL12" s="22">
        <f t="shared" si="4"/>
        <v>6.906696526953815</v>
      </c>
      <c r="AM12" s="62">
        <f t="shared" si="5"/>
        <v>274.57336319362048</v>
      </c>
      <c r="AN12" s="62">
        <f ca="1">AVERAGE(OFFSET($AM$3,0,0,'Données projet'!$E$10+1,1))-AVERAGE(OFFSET($H$3,0,0,'Données projet'!$E$10+1,1))</f>
        <v>446.86777652265448</v>
      </c>
      <c r="AO12" s="62">
        <f t="shared" si="36"/>
        <v>230.82970731138215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1.1099999999999999</v>
      </c>
      <c r="BD12" s="13">
        <f>IF('Données projet'!$A$88&gt;35,BD11+BC12-BL11,IF(A12&lt;'Données projet'!$A$88,$BA$205^A12,IF(A12='Données projet'!$A$88,'Données projet'!$B$88,BD11+BC12-BL11)))</f>
        <v>8.7255071937385704</v>
      </c>
      <c r="BE12" s="14">
        <f>BD12*VLOOKUP('Données projet'!$B$11,Paramètres!$A$1:$I$89,3,0)*VLOOKUP('Données projet'!$B$11,Paramètres!$A$1:$I$89,5,0)</f>
        <v>6.9420135233384066</v>
      </c>
      <c r="BF12" s="14">
        <f t="shared" si="37"/>
        <v>2.5532222076821487</v>
      </c>
      <c r="BG12" s="22">
        <f t="shared" si="7"/>
        <v>16.5375355648608</v>
      </c>
      <c r="BH12" s="62">
        <f t="shared" si="8"/>
        <v>284.20420223152746</v>
      </c>
      <c r="BI12" s="62">
        <f ca="1">AVERAGE(OFFSET($BH$3,0,0,'Données projet'!$E$11+1,1))-AVERAGE(OFFSET($H$3,0,0,'Données projet'!$E$11+1,1))</f>
        <v>370.59298168107364</v>
      </c>
      <c r="BJ12" s="62">
        <f t="shared" si="38"/>
        <v>404.61777090709171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1.1099999999999999</v>
      </c>
      <c r="BY12" s="13">
        <f>IF('Données projet'!$A$114&gt;35,BY11+BX12-CG11,IF(A12&lt;'Données projet'!$A$114,$BV$205^A12,IF(A12='Données projet'!$A$114,'Données projet'!$B$114,BY11+BX12-CG11)))</f>
        <v>8.7255071937385704</v>
      </c>
      <c r="BZ12" s="14">
        <f>BY12*VLOOKUP('Données projet'!$B$12,Paramètres!$A$1:$I$89,3,0)*VLOOKUP('Données projet'!$B$12,Paramètres!$A$1:$I$89,5,0)</f>
        <v>6.3975418744491197</v>
      </c>
      <c r="CA12" s="14">
        <f t="shared" si="39"/>
        <v>2.3754466052815975</v>
      </c>
      <c r="CB12" s="22">
        <f t="shared" si="10"/>
        <v>15.279621602197665</v>
      </c>
      <c r="CC12" s="62">
        <f t="shared" si="11"/>
        <v>282.94628826886435</v>
      </c>
      <c r="CD12" s="62">
        <f ca="1">AVERAGE(OFFSET($CC$3,0,0,'Données projet'!$E$12+1,1))-AVERAGE(OFFSET($H$3,0,0,'Données projet'!$E$12+1,1))</f>
        <v>344.45199703750711</v>
      </c>
      <c r="CE12" s="62">
        <f t="shared" si="40"/>
        <v>376.41441893222185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1.4</v>
      </c>
      <c r="CT12" s="13">
        <f>IF('Données projet'!$A$140&gt;35,CT11+CS12-DB11,IF(A12&lt;'Données projet'!$A$140,$CQ$205^A12,IF(A12='Données projet'!$A$140,'Données projet'!$B$140,CT11+CS12-DB11)))</f>
        <v>10.752643127243291</v>
      </c>
      <c r="CU12" s="18">
        <f>CT12*VLOOKUP('Données projet'!$B$13,Paramètres!$A$1:$I$89,3,0)*VLOOKUP('Données projet'!$B$13,Paramètres!$A$1:$I$89,5,0)</f>
        <v>7.0451317769698045</v>
      </c>
      <c r="CV12" s="14">
        <f t="shared" si="41"/>
        <v>2.5867049375081068</v>
      </c>
      <c r="CW12" s="22">
        <f t="shared" si="13"/>
        <v>16.775448944382362</v>
      </c>
      <c r="CX12" s="62">
        <f t="shared" si="14"/>
        <v>284.44211561104908</v>
      </c>
      <c r="CY12" s="62">
        <f ca="1">AVERAGE(OFFSET($CX$3,0,0,'Données projet'!$E$13+1,1))-AVERAGE(OFFSET($H$3,0,0,'Données projet'!$E$13+1,1))</f>
        <v>311.53750850588153</v>
      </c>
      <c r="CZ12" s="62">
        <f t="shared" si="42"/>
        <v>304.84379909635476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0.9</v>
      </c>
      <c r="DO12" s="13">
        <f>IF('Données projet'!$A$166&gt;35,DO11+DN12-DW11,IF(A12&lt;'Données projet'!$A$166,$DL$205^A12,IF(A12='Données projet'!$A$166,'Données projet'!$B$166,DO11+DN12-DW11)))</f>
        <v>7.2246740558420788</v>
      </c>
      <c r="DP12" s="18">
        <f>DO12*VLOOKUP('Données projet'!$B$14,Paramètres!$A$1:$I$89,3,0)*VLOOKUP('Données projet'!$B$14,Paramètres!$A$1:$I$89,5,0)</f>
        <v>5.8606555940990948</v>
      </c>
      <c r="DQ12" s="14">
        <f t="shared" si="43"/>
        <v>2.1984132231982314</v>
      </c>
      <c r="DR12" s="22">
        <f t="shared" si="16"/>
        <v>14.036211523459508</v>
      </c>
      <c r="DS12" s="62">
        <f t="shared" si="17"/>
        <v>281.70287819012617</v>
      </c>
      <c r="DT12" s="62">
        <f ca="1">AVERAGE(OFFSET($DS$3,0,0,'Données projet'!$E$14+1,1))-AVERAGE(OFFSET($H$3,0,0,'Données projet'!$E$14+1,1))</f>
        <v>256.19915261735281</v>
      </c>
      <c r="DU12" s="62">
        <f t="shared" si="44"/>
        <v>297.47246687305056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3.1623931623931623</v>
      </c>
      <c r="EJ12" s="13">
        <f>IF('Données projet'!$A$192&gt;35,EJ11+EI12-ER11,IF(A12&lt;'Données projet'!$A$192,$EG$205^A12,IF(A12='Données projet'!$A$192,'Données projet'!$B$192,EJ11+EI12-ER11)))</f>
        <v>10.131278941616319</v>
      </c>
      <c r="EK12" s="18">
        <f>EJ12*VLOOKUP('Données projet'!$B$15,Paramètres!$A$1:$I$89,3,0)*VLOOKUP('Données projet'!$B$15,Paramètres!$A$1:$I$89,5,0)</f>
        <v>9.6409250408420899</v>
      </c>
      <c r="EL12" s="14">
        <f t="shared" si="45"/>
        <v>3.412866918119311</v>
      </c>
      <c r="EM12" s="22">
        <f t="shared" si="19"/>
        <v>22.735354328524441</v>
      </c>
      <c r="EN12" s="62">
        <f t="shared" si="20"/>
        <v>290.40202099519115</v>
      </c>
      <c r="EO12" s="62">
        <f ca="1">AVERAGE(OFFSET($EN$3,0,0,'Données projet'!$E$15+1,1))-AVERAGE(OFFSET($H$3,0,0,'Données projet'!$E$15+1,1))</f>
        <v>406.24139966722936</v>
      </c>
      <c r="EP12" s="62">
        <f t="shared" si="46"/>
        <v>295.95724296920577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2.6666666666666665</v>
      </c>
      <c r="FE12" s="13">
        <f>IF('Données projet'!$A$218&gt;35,FE11+FD12-FM11,IF(A12&lt;'Données projet'!$A$218,$FB$205^A12,IF(A12='Données projet'!$A$218,'Données projet'!$B$218,FE11+FD12-FM11)))</f>
        <v>9.1461010385465205</v>
      </c>
      <c r="FF12" s="18">
        <f>FE12*VLOOKUP('Données projet'!$B$16,Paramètres!$A$1:$I$89,3,0)*VLOOKUP('Données projet'!$B$16,Paramètres!$A$1:$I$89,5,0)</f>
        <v>7.1339588100662858</v>
      </c>
      <c r="FG12" s="14">
        <f t="shared" si="47"/>
        <v>2.6155015444227643</v>
      </c>
      <c r="FH12" s="22">
        <f t="shared" si="22"/>
        <v>16.980310117401761</v>
      </c>
      <c r="FI12" s="62">
        <f t="shared" si="23"/>
        <v>284.64697678406844</v>
      </c>
      <c r="FJ12" s="62">
        <f ca="1">AVERAGE(OFFSET($FI$3,0,0,'Données projet'!$E$16+1,1))-AVERAGE(OFFSET($H$3,0,0,'Données projet'!$E$16+1,1))</f>
        <v>292.57482726862594</v>
      </c>
      <c r="FK12" s="62">
        <f t="shared" si="48"/>
        <v>283.48738729114024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3.65</v>
      </c>
      <c r="FZ12" s="13">
        <f>IF('Données projet'!$A$244&gt;35,FZ11+FY12-GH11,IF(A12&lt;'Données projet'!$A$244,$FW$205^A12,IF(A12='Données projet'!$A$244,'Données projet'!$B$244,FZ11+FY12-GH11)))</f>
        <v>6.8943811137639424</v>
      </c>
      <c r="GA12" s="18">
        <f>FZ12*VLOOKUP('Données projet'!$B$17,Paramètres!$A$1:$I$89,3,0)*VLOOKUP('Données projet'!$B$17,Paramètres!$A$1:$I$89,5,0)</f>
        <v>6.6682454132324853</v>
      </c>
      <c r="GB12" s="14">
        <f t="shared" si="49"/>
        <v>2.4640453263659414</v>
      </c>
      <c r="GC12" s="22">
        <f t="shared" si="25"/>
        <v>15.905406371467258</v>
      </c>
      <c r="GD12" s="62">
        <f t="shared" si="26"/>
        <v>283.57207303813396</v>
      </c>
      <c r="GE12" s="62">
        <f ca="1">AVERAGE(OFFSET($GD$3,0,0,'Données projet'!$E$17+1,1))-AVERAGE(OFFSET($H$3,0,0,'Données projet'!$E$17+1,1))</f>
        <v>562.69380557620775</v>
      </c>
      <c r="GF12" s="62">
        <f t="shared" si="50"/>
        <v>294.45557293177131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529.25712986118265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0.76190476190476186</v>
      </c>
      <c r="AI13" s="14">
        <f>IF('Données projet'!$A$62&gt;35,AI12+AH13-AQ12,IF(A13&lt;'Données projet'!$A$62,$AF$205^A13,IF(A13='Données projet'!$A$62,'Données projet'!$B$62,AI12+AH13-AQ12)))</f>
        <v>3.7444709698144223</v>
      </c>
      <c r="AJ13" s="14">
        <f>AI13*VLOOKUP('Données projet'!$B$10,Paramètres!$A$1:$I$89,3,0)*VLOOKUP('Données projet'!$B$10,Paramètres!$A$1:$I$89,5,0)</f>
        <v>3.2127560921007747</v>
      </c>
      <c r="AK13" s="14">
        <f t="shared" si="35"/>
        <v>1.2924961254649692</v>
      </c>
      <c r="AL13" s="22">
        <f t="shared" si="4"/>
        <v>7.8466476122603366</v>
      </c>
      <c r="AM13" s="62">
        <f t="shared" si="5"/>
        <v>276.73553650114917</v>
      </c>
      <c r="AN13" s="62">
        <f ca="1">AVERAGE(OFFSET($AM$3,0,0,'Données projet'!$E$10+1,1))-AVERAGE(OFFSET($H$3,0,0,'Données projet'!$E$10+1,1))</f>
        <v>446.86777652265448</v>
      </c>
      <c r="AO13" s="62">
        <f t="shared" si="36"/>
        <v>230.82970731138215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11.1</v>
      </c>
      <c r="BB13" s="13">
        <f>VLOOKUP(A13,'Données projet'!$A$87:$I$107,9,0)</f>
        <v>1.1099999999999999</v>
      </c>
      <c r="BC13" s="13">
        <f t="array" ref="BC13">INDEX(BB:BB,MIN(IF(ISNUMBER(BB13:BB209),ROW(BB13:BB209),"")))</f>
        <v>1.1099999999999999</v>
      </c>
      <c r="BD13" s="13">
        <f>IF('Données projet'!$A$88&gt;35,BD12+BC13-BL12,IF(A13&lt;'Données projet'!$A$88,$BA$205^A13,IF(A13='Données projet'!$A$88,'Données projet'!$B$88,BD12+BC13-BL12)))</f>
        <v>11.1</v>
      </c>
      <c r="BE13" s="14">
        <f>BD13*VLOOKUP('Données projet'!$B$11,Paramètres!$A$1:$I$89,3,0)*VLOOKUP('Données projet'!$B$11,Paramètres!$A$1:$I$89,5,0)</f>
        <v>8.8311599999999988</v>
      </c>
      <c r="BF13" s="14">
        <f t="shared" si="37"/>
        <v>3.1582997914189717</v>
      </c>
      <c r="BG13" s="22">
        <f t="shared" si="7"/>
        <v>20.881642470054704</v>
      </c>
      <c r="BH13" s="62">
        <f t="shared" si="8"/>
        <v>289.77053135894357</v>
      </c>
      <c r="BI13" s="62">
        <f ca="1">AVERAGE(OFFSET($BH$3,0,0,'Données projet'!$E$11+1,1))-AVERAGE(OFFSET($H$3,0,0,'Données projet'!$E$11+1,1))</f>
        <v>370.59298168107364</v>
      </c>
      <c r="BJ13" s="62">
        <f t="shared" si="38"/>
        <v>404.61777090709171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11.1</v>
      </c>
      <c r="BW13" s="13">
        <f>VLOOKUP(A13,'Données projet'!$A$113:$I$133,9,0)</f>
        <v>1.1099999999999999</v>
      </c>
      <c r="BX13" s="13">
        <f t="array" ref="BX13">INDEX(BW:BW,MIN(IF(ISNUMBER(BW13:BW209),ROW(BW13:BW209),"")))</f>
        <v>1.1099999999999999</v>
      </c>
      <c r="BY13" s="13">
        <f>IF('Données projet'!$A$114&gt;35,BY12+BX13-CG12,IF(A13&lt;'Données projet'!$A$114,$BV$205^A13,IF(A13='Données projet'!$A$114,'Données projet'!$B$114,BY12+BX13-CG12)))</f>
        <v>11.1</v>
      </c>
      <c r="BZ13" s="14">
        <f>BY13*VLOOKUP('Données projet'!$B$12,Paramètres!$A$1:$I$89,3,0)*VLOOKUP('Données projet'!$B$12,Paramètres!$A$1:$I$89,5,0)</f>
        <v>8.1385199999999998</v>
      </c>
      <c r="CA13" s="14">
        <f t="shared" si="39"/>
        <v>2.9383938833896224</v>
      </c>
      <c r="CB13" s="22">
        <f t="shared" si="10"/>
        <v>19.292291680236925</v>
      </c>
      <c r="CC13" s="62">
        <f t="shared" si="11"/>
        <v>288.18118056912579</v>
      </c>
      <c r="CD13" s="62">
        <f ca="1">AVERAGE(OFFSET($CC$3,0,0,'Données projet'!$E$12+1,1))-AVERAGE(OFFSET($H$3,0,0,'Données projet'!$E$12+1,1))</f>
        <v>344.45199703750711</v>
      </c>
      <c r="CE13" s="62">
        <f t="shared" si="40"/>
        <v>376.41441893222185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14</v>
      </c>
      <c r="CR13" s="13">
        <f>VLOOKUP(A13,'Données projet'!$A$139:$I$159,9,0)</f>
        <v>1.4</v>
      </c>
      <c r="CS13" s="13">
        <f t="array" ref="CS13">INDEX(CR:CR,MIN(IF(ISNUMBER(CR13:CR209),ROW(CR13:CR209),"")))</f>
        <v>1.4</v>
      </c>
      <c r="CT13" s="13">
        <f>IF('Données projet'!$A$140&gt;35,CT12+CS13-DB12,IF(A13&lt;'Données projet'!$A$140,$CQ$205^A13,IF(A13='Données projet'!$A$140,'Données projet'!$B$140,CT12+CS13-DB12)))</f>
        <v>14</v>
      </c>
      <c r="CU13" s="18">
        <f>CT13*VLOOKUP('Données projet'!$B$13,Paramètres!$A$1:$I$89,3,0)*VLOOKUP('Données projet'!$B$13,Paramètres!$A$1:$I$89,5,0)</f>
        <v>9.1728000000000005</v>
      </c>
      <c r="CV13" s="14">
        <f t="shared" si="41"/>
        <v>3.2660194391020205</v>
      </c>
      <c r="CW13" s="22">
        <f t="shared" si="13"/>
        <v>21.664277189769351</v>
      </c>
      <c r="CX13" s="62">
        <f t="shared" si="14"/>
        <v>290.55316607865819</v>
      </c>
      <c r="CY13" s="62">
        <f ca="1">AVERAGE(OFFSET($CX$3,0,0,'Données projet'!$E$13+1,1))-AVERAGE(OFFSET($H$3,0,0,'Données projet'!$E$13+1,1))</f>
        <v>311.53750850588153</v>
      </c>
      <c r="CZ13" s="62">
        <f t="shared" si="42"/>
        <v>304.84379909635476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9</v>
      </c>
      <c r="DM13" s="13">
        <f>VLOOKUP(A13,'Données projet'!$A$165:$I$185,9,0)</f>
        <v>0.9</v>
      </c>
      <c r="DN13" s="13">
        <f t="array" ref="DN13">INDEX(DM:DM,MIN(IF(ISNUMBER(DM13:DM209),ROW(DM13:DM209),"")))</f>
        <v>0.9</v>
      </c>
      <c r="DO13" s="13">
        <f>IF('Données projet'!$A$166&gt;35,DO12+DN13-DW12,IF(A13&lt;'Données projet'!$A$166,$DL$205^A13,IF(A13='Données projet'!$A$166,'Données projet'!$B$166,DO12+DN13-DW12)))</f>
        <v>9</v>
      </c>
      <c r="DP13" s="18">
        <f>DO13*VLOOKUP('Données projet'!$B$14,Paramètres!$A$1:$I$89,3,0)*VLOOKUP('Données projet'!$B$14,Paramètres!$A$1:$I$89,5,0)</f>
        <v>7.3007999999999997</v>
      </c>
      <c r="DQ13" s="14">
        <f t="shared" si="43"/>
        <v>2.6694770761469542</v>
      </c>
      <c r="DR13" s="22">
        <f t="shared" si="16"/>
        <v>17.364899240955943</v>
      </c>
      <c r="DS13" s="62">
        <f t="shared" si="17"/>
        <v>286.25378812984479</v>
      </c>
      <c r="DT13" s="62">
        <f ca="1">AVERAGE(OFFSET($DS$3,0,0,'Données projet'!$E$14+1,1))-AVERAGE(OFFSET($H$3,0,0,'Données projet'!$E$14+1,1))</f>
        <v>256.19915261735281</v>
      </c>
      <c r="DU13" s="62">
        <f t="shared" si="44"/>
        <v>297.47246687305056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3.1623931623931623</v>
      </c>
      <c r="EJ13" s="13">
        <f>IF('Données projet'!$A$192&gt;35,EJ12+EI13-ER12,IF(A13&lt;'Données projet'!$A$192,$EG$205^A13,IF(A13='Données projet'!$A$192,'Données projet'!$B$192,EJ12+EI13-ER12)))</f>
        <v>13.104026044458736</v>
      </c>
      <c r="EK13" s="18">
        <f>EJ13*VLOOKUP('Données projet'!$B$15,Paramètres!$A$1:$I$89,3,0)*VLOOKUP('Données projet'!$B$15,Paramètres!$A$1:$I$89,5,0)</f>
        <v>12.469791183906933</v>
      </c>
      <c r="EL13" s="14">
        <f t="shared" si="45"/>
        <v>4.2840372377664062</v>
      </c>
      <c r="EM13" s="22">
        <f t="shared" si="19"/>
        <v>29.179584501081067</v>
      </c>
      <c r="EN13" s="62">
        <f t="shared" si="20"/>
        <v>298.06847338996994</v>
      </c>
      <c r="EO13" s="62">
        <f ca="1">AVERAGE(OFFSET($EN$3,0,0,'Données projet'!$E$15+1,1))-AVERAGE(OFFSET($H$3,0,0,'Données projet'!$E$15+1,1))</f>
        <v>406.24139966722936</v>
      </c>
      <c r="EP13" s="62">
        <f t="shared" si="46"/>
        <v>295.95724296920577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2.6666666666666665</v>
      </c>
      <c r="FE13" s="13">
        <f>IF('Données projet'!$A$218&gt;35,FE12+FD13-FM12,IF(A13&lt;'Données projet'!$A$218,$FB$205^A13,IF(A13='Données projet'!$A$218,'Données projet'!$B$218,FE12+FD13-FM12)))</f>
        <v>11.696070952851455</v>
      </c>
      <c r="FF13" s="18">
        <f>FE13*VLOOKUP('Données projet'!$B$16,Paramètres!$A$1:$I$89,3,0)*VLOOKUP('Données projet'!$B$16,Paramètres!$A$1:$I$89,5,0)</f>
        <v>9.1229353432241354</v>
      </c>
      <c r="FG13" s="14">
        <f t="shared" si="47"/>
        <v>3.2503265450485803</v>
      </c>
      <c r="FH13" s="22">
        <f t="shared" si="22"/>
        <v>21.550097788741649</v>
      </c>
      <c r="FI13" s="62">
        <f t="shared" si="23"/>
        <v>290.43898667763051</v>
      </c>
      <c r="FJ13" s="62">
        <f ca="1">AVERAGE(OFFSET($FI$3,0,0,'Données projet'!$E$16+1,1))-AVERAGE(OFFSET($H$3,0,0,'Données projet'!$E$16+1,1))</f>
        <v>292.57482726862594</v>
      </c>
      <c r="FK13" s="62">
        <f t="shared" si="48"/>
        <v>283.48738729114024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3.65</v>
      </c>
      <c r="FZ13" s="13">
        <f>IF('Données projet'!$A$244&gt;35,FZ12+FY13-GH12,IF(A13&lt;'Données projet'!$A$244,$FW$205^A13,IF(A13='Données projet'!$A$244,'Données projet'!$B$244,FZ12+FY13-GH12)))</f>
        <v>8.5440037453175322</v>
      </c>
      <c r="GA13" s="18">
        <f>FZ13*VLOOKUP('Données projet'!$B$17,Paramètres!$A$1:$I$89,3,0)*VLOOKUP('Données projet'!$B$17,Paramètres!$A$1:$I$89,5,0)</f>
        <v>8.2637604224711172</v>
      </c>
      <c r="GB13" s="14">
        <f t="shared" si="49"/>
        <v>2.9783127206856603</v>
      </c>
      <c r="GC13" s="22">
        <f t="shared" si="25"/>
        <v>19.579944057664719</v>
      </c>
      <c r="GD13" s="62">
        <f t="shared" si="26"/>
        <v>288.46883294655356</v>
      </c>
      <c r="GE13" s="62">
        <f ca="1">AVERAGE(OFFSET($GD$3,0,0,'Données projet'!$E$17+1,1))-AVERAGE(OFFSET($H$3,0,0,'Données projet'!$E$17+1,1))</f>
        <v>562.69380557620775</v>
      </c>
      <c r="GF13" s="62">
        <f t="shared" si="50"/>
        <v>294.45557293177131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529.25712986118265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0.76190476190476186</v>
      </c>
      <c r="AI14" s="14">
        <f>IF('Données projet'!$A$62&gt;35,AI13+AH14-AQ13,IF(A14&lt;'Données projet'!$A$62,$AF$205^A14,IF(A14='Données projet'!$A$62,'Données projet'!$B$62,AI13+AH14-AQ13)))</f>
        <v>4.272966763257612</v>
      </c>
      <c r="AJ14" s="14">
        <f>AI14*VLOOKUP('Données projet'!$B$10,Paramètres!$A$1:$I$89,3,0)*VLOOKUP('Données projet'!$B$10,Paramètres!$A$1:$I$89,5,0)</f>
        <v>3.6662054828750317</v>
      </c>
      <c r="AK14" s="14">
        <f t="shared" si="35"/>
        <v>1.4524260567559371</v>
      </c>
      <c r="AL14" s="22">
        <f t="shared" si="4"/>
        <v>8.9149499315239371</v>
      </c>
      <c r="AM14" s="62">
        <f t="shared" si="5"/>
        <v>279.02606104263509</v>
      </c>
      <c r="AN14" s="62">
        <f ca="1">AVERAGE(OFFSET($AM$3,0,0,'Données projet'!$E$10+1,1))-AVERAGE(OFFSET($H$3,0,0,'Données projet'!$E$10+1,1))</f>
        <v>446.86777652265448</v>
      </c>
      <c r="AO14" s="62">
        <f t="shared" si="36"/>
        <v>230.82970731138215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10.68</v>
      </c>
      <c r="BD14" s="13">
        <f>IF('Données projet'!$A$88&gt;35,BD13+BC14-BL13,IF(A14&lt;'Données projet'!$A$88,$BA$205^A14,IF(A14='Données projet'!$A$88,'Données projet'!$B$88,BD13+BC14-BL13)))</f>
        <v>21.78</v>
      </c>
      <c r="BE14" s="14">
        <f>BD14*VLOOKUP('Données projet'!$B$11,Paramètres!$A$1:$I$89,3,0)*VLOOKUP('Données projet'!$B$11,Paramètres!$A$1:$I$89,5,0)</f>
        <v>17.328168000000002</v>
      </c>
      <c r="BF14" s="14">
        <f t="shared" si="37"/>
        <v>5.7294628302508057</v>
      </c>
      <c r="BG14" s="22">
        <f t="shared" si="7"/>
        <v>40.158707029353486</v>
      </c>
      <c r="BH14" s="62">
        <f t="shared" si="8"/>
        <v>310.26981814046462</v>
      </c>
      <c r="BI14" s="62">
        <f ca="1">AVERAGE(OFFSET($BH$3,0,0,'Données projet'!$E$11+1,1))-AVERAGE(OFFSET($H$3,0,0,'Données projet'!$E$11+1,1))</f>
        <v>370.59298168107364</v>
      </c>
      <c r="BJ14" s="62">
        <f t="shared" si="38"/>
        <v>404.61777090709171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10.68</v>
      </c>
      <c r="BY14" s="13">
        <f>IF('Données projet'!$A$114&gt;35,BY13+BX14-CG13,IF(A14&lt;'Données projet'!$A$114,$BV$205^A14,IF(A14='Données projet'!$A$114,'Données projet'!$B$114,BY13+BX14-CG13)))</f>
        <v>21.78</v>
      </c>
      <c r="BZ14" s="14">
        <f>BY14*VLOOKUP('Données projet'!$B$12,Paramètres!$A$1:$I$89,3,0)*VLOOKUP('Données projet'!$B$12,Paramètres!$A$1:$I$89,5,0)</f>
        <v>15.969095999999999</v>
      </c>
      <c r="CA14" s="14">
        <f t="shared" si="39"/>
        <v>5.3305321367080518</v>
      </c>
      <c r="CB14" s="22">
        <f t="shared" si="10"/>
        <v>37.096852338099858</v>
      </c>
      <c r="CC14" s="62">
        <f t="shared" si="11"/>
        <v>307.20796344921098</v>
      </c>
      <c r="CD14" s="62">
        <f ca="1">AVERAGE(OFFSET($CC$3,0,0,'Données projet'!$E$12+1,1))-AVERAGE(OFFSET($H$3,0,0,'Données projet'!$E$12+1,1))</f>
        <v>344.45199703750711</v>
      </c>
      <c r="CE14" s="62">
        <f t="shared" si="40"/>
        <v>376.41441893222185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7.8</v>
      </c>
      <c r="CT14" s="13">
        <f>IF('Données projet'!$A$140&gt;35,CT13+CS14-DB13,IF(A14&lt;'Données projet'!$A$140,$CQ$205^A14,IF(A14='Données projet'!$A$140,'Données projet'!$B$140,CT13+CS14-DB13)))</f>
        <v>21.8</v>
      </c>
      <c r="CU14" s="18">
        <f>CT14*VLOOKUP('Données projet'!$B$13,Paramètres!$A$1:$I$89,3,0)*VLOOKUP('Données projet'!$B$13,Paramètres!$A$1:$I$89,5,0)</f>
        <v>14.283360000000002</v>
      </c>
      <c r="CV14" s="14">
        <f t="shared" si="41"/>
        <v>4.8301452484424656</v>
      </c>
      <c r="CW14" s="22">
        <f t="shared" si="13"/>
        <v>33.289354974370632</v>
      </c>
      <c r="CX14" s="62">
        <f t="shared" si="14"/>
        <v>303.40046608548175</v>
      </c>
      <c r="CY14" s="62">
        <f ca="1">AVERAGE(OFFSET($CX$3,0,0,'Données projet'!$E$13+1,1))-AVERAGE(OFFSET($H$3,0,0,'Données projet'!$E$13+1,1))</f>
        <v>311.53750850588153</v>
      </c>
      <c r="CZ14" s="62">
        <f t="shared" si="42"/>
        <v>304.84379909635476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8</v>
      </c>
      <c r="DO14" s="13">
        <f>IF('Données projet'!$A$166&gt;35,DO13+DN14-DW13,IF(A14&lt;'Données projet'!$A$166,$DL$205^A14,IF(A14='Données projet'!$A$166,'Données projet'!$B$166,DO13+DN14-DW13)))</f>
        <v>17</v>
      </c>
      <c r="DP14" s="18">
        <f>DO14*VLOOKUP('Données projet'!$B$14,Paramètres!$A$1:$I$89,3,0)*VLOOKUP('Données projet'!$B$14,Paramètres!$A$1:$I$89,5,0)</f>
        <v>13.7904</v>
      </c>
      <c r="DQ14" s="14">
        <f t="shared" si="43"/>
        <v>4.6825473896592289</v>
      </c>
      <c r="DR14" s="22">
        <f t="shared" si="16"/>
        <v>32.173716703656488</v>
      </c>
      <c r="DS14" s="62">
        <f t="shared" si="17"/>
        <v>302.28482781476765</v>
      </c>
      <c r="DT14" s="62">
        <f ca="1">AVERAGE(OFFSET($DS$3,0,0,'Données projet'!$E$14+1,1))-AVERAGE(OFFSET($H$3,0,0,'Données projet'!$E$14+1,1))</f>
        <v>256.19915261735281</v>
      </c>
      <c r="DU14" s="62">
        <f t="shared" si="44"/>
        <v>297.47246687305056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3.1623931623931623</v>
      </c>
      <c r="EJ14" s="13">
        <f>IF('Données projet'!$A$192&gt;35,EJ13+EI14-ER13,IF(A14&lt;'Données projet'!$A$192,$EG$205^A14,IF(A14='Données projet'!$A$192,'Données projet'!$B$192,EJ13+EI14-ER13)))</f>
        <v>16.949044593816883</v>
      </c>
      <c r="EK14" s="18">
        <f>EJ14*VLOOKUP('Données projet'!$B$15,Paramètres!$A$1:$I$89,3,0)*VLOOKUP('Données projet'!$B$15,Paramètres!$A$1:$I$89,5,0)</f>
        <v>16.128710835476145</v>
      </c>
      <c r="EL14" s="14">
        <f t="shared" si="45"/>
        <v>5.3775829807869533</v>
      </c>
      <c r="EM14" s="22">
        <f t="shared" si="19"/>
        <v>37.456795063324897</v>
      </c>
      <c r="EN14" s="62">
        <f t="shared" si="20"/>
        <v>307.56790617443602</v>
      </c>
      <c r="EO14" s="62">
        <f ca="1">AVERAGE(OFFSET($EN$3,0,0,'Données projet'!$E$15+1,1))-AVERAGE(OFFSET($H$3,0,0,'Données projet'!$E$15+1,1))</f>
        <v>406.24139966722936</v>
      </c>
      <c r="EP14" s="62">
        <f t="shared" si="46"/>
        <v>295.95724296920577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2.6666666666666665</v>
      </c>
      <c r="FE14" s="13">
        <f>IF('Données projet'!$A$218&gt;35,FE13+FD14-FM13,IF(A14&lt;'Données projet'!$A$218,$FB$205^A14,IF(A14='Données projet'!$A$218,'Données projet'!$B$218,FE13+FD14-FM13)))</f>
        <v>14.956982779612416</v>
      </c>
      <c r="FF14" s="18">
        <f>FE14*VLOOKUP('Données projet'!$B$16,Paramètres!$A$1:$I$89,3,0)*VLOOKUP('Données projet'!$B$16,Paramètres!$A$1:$I$89,5,0)</f>
        <v>11.666446568097685</v>
      </c>
      <c r="FG14" s="14">
        <f t="shared" si="47"/>
        <v>4.0392339557111736</v>
      </c>
      <c r="FH14" s="22">
        <f t="shared" si="22"/>
        <v>27.354060245633761</v>
      </c>
      <c r="FI14" s="62">
        <f t="shared" si="23"/>
        <v>297.46517135674492</v>
      </c>
      <c r="FJ14" s="62">
        <f ca="1">AVERAGE(OFFSET($FI$3,0,0,'Données projet'!$E$16+1,1))-AVERAGE(OFFSET($H$3,0,0,'Données projet'!$E$16+1,1))</f>
        <v>292.57482726862594</v>
      </c>
      <c r="FK14" s="62">
        <f t="shared" si="48"/>
        <v>283.48738729114024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3.65</v>
      </c>
      <c r="FZ14" s="13">
        <f>IF('Données projet'!$A$244&gt;35,FZ13+FY14-GH13,IF(A14&lt;'Données projet'!$A$244,$FW$205^A14,IF(A14='Données projet'!$A$244,'Données projet'!$B$244,FZ13+FY14-GH13)))</f>
        <v>10.588332555950936</v>
      </c>
      <c r="GA14" s="18">
        <f>FZ14*VLOOKUP('Données projet'!$B$17,Paramètres!$A$1:$I$89,3,0)*VLOOKUP('Données projet'!$B$17,Paramètres!$A$1:$I$89,5,0)</f>
        <v>10.241035248115747</v>
      </c>
      <c r="GB14" s="14">
        <f t="shared" si="49"/>
        <v>3.5999121311945652</v>
      </c>
      <c r="GC14" s="22">
        <f t="shared" si="25"/>
        <v>24.106316685632123</v>
      </c>
      <c r="GD14" s="62">
        <f t="shared" si="26"/>
        <v>294.21742779674327</v>
      </c>
      <c r="GE14" s="62">
        <f ca="1">AVERAGE(OFFSET($GD$3,0,0,'Données projet'!$E$17+1,1))-AVERAGE(OFFSET($H$3,0,0,'Données projet'!$E$17+1,1))</f>
        <v>562.69380557620775</v>
      </c>
      <c r="GF14" s="62">
        <f t="shared" si="50"/>
        <v>294.45557293177131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529.25712986118265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0.76190476190476186</v>
      </c>
      <c r="AI15" s="14">
        <f>IF('Données projet'!$A$62&gt;35,AI14+AH15-AQ14,IF(A15&lt;'Données projet'!$A$62,$AF$205^A15,IF(A15='Données projet'!$A$62,'Données projet'!$B$62,AI14+AH15-AQ14)))</f>
        <v>4.876054616817906</v>
      </c>
      <c r="AJ15" s="14">
        <f>AI15*VLOOKUP('Données projet'!$B$10,Paramètres!$A$1:$I$89,3,0)*VLOOKUP('Données projet'!$B$10,Paramètres!$A$1:$I$89,5,0)</f>
        <v>4.1836548612297637</v>
      </c>
      <c r="AK15" s="14">
        <f t="shared" si="35"/>
        <v>1.632145279804768</v>
      </c>
      <c r="AL15" s="22">
        <f t="shared" si="4"/>
        <v>10.129185245635144</v>
      </c>
      <c r="AM15" s="62">
        <f t="shared" si="5"/>
        <v>281.46251857896846</v>
      </c>
      <c r="AN15" s="62">
        <f ca="1">AVERAGE(OFFSET($AM$3,0,0,'Données projet'!$E$10+1,1))-AVERAGE(OFFSET($H$3,0,0,'Données projet'!$E$10+1,1))</f>
        <v>446.86777652265448</v>
      </c>
      <c r="AO15" s="62">
        <f t="shared" si="36"/>
        <v>230.82970731138215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10.68</v>
      </c>
      <c r="BD15" s="13">
        <f>IF('Données projet'!$A$88&gt;35,BD14+BC15-BL14,IF(A15&lt;'Données projet'!$A$88,$BA$205^A15,IF(A15='Données projet'!$A$88,'Données projet'!$B$88,BD14+BC15-BL14)))</f>
        <v>32.46</v>
      </c>
      <c r="BE15" s="14">
        <f>BD15*VLOOKUP('Données projet'!$B$11,Paramètres!$A$1:$I$89,3,0)*VLOOKUP('Données projet'!$B$11,Paramètres!$A$1:$I$89,5,0)</f>
        <v>25.825176000000003</v>
      </c>
      <c r="BF15" s="14">
        <f t="shared" si="37"/>
        <v>8.1514246027621944</v>
      </c>
      <c r="BG15" s="22">
        <f t="shared" si="7"/>
        <v>59.175912716477491</v>
      </c>
      <c r="BH15" s="62">
        <f t="shared" si="8"/>
        <v>330.50924604981083</v>
      </c>
      <c r="BI15" s="62">
        <f ca="1">AVERAGE(OFFSET($BH$3,0,0,'Données projet'!$E$11+1,1))-AVERAGE(OFFSET($H$3,0,0,'Données projet'!$E$11+1,1))</f>
        <v>370.59298168107364</v>
      </c>
      <c r="BJ15" s="62">
        <f t="shared" si="38"/>
        <v>404.61777090709171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10.68</v>
      </c>
      <c r="BY15" s="13">
        <f>IF('Données projet'!$A$114&gt;35,BY14+BX15-CG14,IF(A15&lt;'Données projet'!$A$114,$BV$205^A15,IF(A15='Données projet'!$A$114,'Données projet'!$B$114,BY14+BX15-CG14)))</f>
        <v>32.46</v>
      </c>
      <c r="BZ15" s="14">
        <f>BY15*VLOOKUP('Données projet'!$B$12,Paramètres!$A$1:$I$89,3,0)*VLOOKUP('Données projet'!$B$12,Paramètres!$A$1:$I$89,5,0)</f>
        <v>23.799672000000001</v>
      </c>
      <c r="CA15" s="14">
        <f t="shared" si="39"/>
        <v>7.5838577005088039</v>
      </c>
      <c r="CB15" s="22">
        <f t="shared" si="10"/>
        <v>54.659647561719503</v>
      </c>
      <c r="CC15" s="62">
        <f t="shared" si="11"/>
        <v>325.99298089505282</v>
      </c>
      <c r="CD15" s="62">
        <f ca="1">AVERAGE(OFFSET($CC$3,0,0,'Données projet'!$E$12+1,1))-AVERAGE(OFFSET($H$3,0,0,'Données projet'!$E$12+1,1))</f>
        <v>344.45199703750711</v>
      </c>
      <c r="CE15" s="62">
        <f t="shared" si="40"/>
        <v>376.41441893222185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7.8</v>
      </c>
      <c r="CT15" s="13">
        <f>IF('Données projet'!$A$140&gt;35,CT14+CS15-DB14,IF(A15&lt;'Données projet'!$A$140,$CQ$205^A15,IF(A15='Données projet'!$A$140,'Données projet'!$B$140,CT14+CS15-DB14)))</f>
        <v>29.6</v>
      </c>
      <c r="CU15" s="18">
        <f>CT15*VLOOKUP('Données projet'!$B$13,Paramètres!$A$1:$I$89,3,0)*VLOOKUP('Données projet'!$B$13,Paramètres!$A$1:$I$89,5,0)</f>
        <v>19.393920000000001</v>
      </c>
      <c r="CV15" s="14">
        <f t="shared" si="41"/>
        <v>6.3289751265773235</v>
      </c>
      <c r="CW15" s="22">
        <f t="shared" si="13"/>
        <v>44.800709012122176</v>
      </c>
      <c r="CX15" s="62">
        <f t="shared" si="14"/>
        <v>316.1340423454555</v>
      </c>
      <c r="CY15" s="62">
        <f ca="1">AVERAGE(OFFSET($CX$3,0,0,'Données projet'!$E$13+1,1))-AVERAGE(OFFSET($H$3,0,0,'Données projet'!$E$13+1,1))</f>
        <v>311.53750850588153</v>
      </c>
      <c r="CZ15" s="62">
        <f t="shared" si="42"/>
        <v>304.84379909635476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8</v>
      </c>
      <c r="DO15" s="13">
        <f>IF('Données projet'!$A$166&gt;35,DO14+DN15-DW14,IF(A15&lt;'Données projet'!$A$166,$DL$205^A15,IF(A15='Données projet'!$A$166,'Données projet'!$B$166,DO14+DN15-DW14)))</f>
        <v>25</v>
      </c>
      <c r="DP15" s="18">
        <f>DO15*VLOOKUP('Données projet'!$B$14,Paramètres!$A$1:$I$89,3,0)*VLOOKUP('Données projet'!$B$14,Paramètres!$A$1:$I$89,5,0)</f>
        <v>20.28</v>
      </c>
      <c r="DQ15" s="14">
        <f t="shared" si="43"/>
        <v>6.5838102554415308</v>
      </c>
      <c r="DR15" s="22">
        <f t="shared" si="16"/>
        <v>46.787802861560664</v>
      </c>
      <c r="DS15" s="62">
        <f t="shared" si="17"/>
        <v>318.12113619489401</v>
      </c>
      <c r="DT15" s="62">
        <f ca="1">AVERAGE(OFFSET($DS$3,0,0,'Données projet'!$E$14+1,1))-AVERAGE(OFFSET($H$3,0,0,'Données projet'!$E$14+1,1))</f>
        <v>256.19915261735281</v>
      </c>
      <c r="DU15" s="62">
        <f t="shared" si="44"/>
        <v>297.47246687305056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3.1623931623931623</v>
      </c>
      <c r="EJ15" s="13">
        <f>IF('Données projet'!$A$192&gt;35,EJ14+EI15-ER14,IF(A15&lt;'Données projet'!$A$192,$EG$205^A15,IF(A15='Données projet'!$A$192,'Données projet'!$B$192,EJ14+EI15-ER14)))</f>
        <v>21.922278822444071</v>
      </c>
      <c r="EK15" s="18">
        <f>EJ15*VLOOKUP('Données projet'!$B$15,Paramètres!$A$1:$I$89,3,0)*VLOOKUP('Données projet'!$B$15,Paramètres!$A$1:$I$89,5,0)</f>
        <v>20.861240527437776</v>
      </c>
      <c r="EL15" s="14">
        <f t="shared" si="45"/>
        <v>6.750267822211284</v>
      </c>
      <c r="EM15" s="22">
        <f t="shared" si="19"/>
        <v>48.090043708972111</v>
      </c>
      <c r="EN15" s="62">
        <f t="shared" si="20"/>
        <v>319.42337704230545</v>
      </c>
      <c r="EO15" s="62">
        <f ca="1">AVERAGE(OFFSET($EN$3,0,0,'Données projet'!$E$15+1,1))-AVERAGE(OFFSET($H$3,0,0,'Données projet'!$E$15+1,1))</f>
        <v>406.24139966722936</v>
      </c>
      <c r="EP15" s="62">
        <f t="shared" si="46"/>
        <v>295.95724296920577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2.6666666666666665</v>
      </c>
      <c r="FE15" s="13">
        <f>IF('Données projet'!$A$218&gt;35,FE14+FD15-FM14,IF(A15&lt;'Données projet'!$A$218,$FB$205^A15,IF(A15='Données projet'!$A$218,'Données projet'!$B$218,FE14+FD15-FM14)))</f>
        <v>19.127049995800721</v>
      </c>
      <c r="FF15" s="18">
        <f>FE15*VLOOKUP('Données projet'!$B$16,Paramètres!$A$1:$I$89,3,0)*VLOOKUP('Données projet'!$B$16,Paramètres!$A$1:$I$89,5,0)</f>
        <v>14.919098996724562</v>
      </c>
      <c r="FG15" s="14">
        <f t="shared" si="47"/>
        <v>5.019622097301081</v>
      </c>
      <c r="FH15" s="22">
        <f t="shared" si="22"/>
        <v>34.726605905427995</v>
      </c>
      <c r="FI15" s="62">
        <f t="shared" si="23"/>
        <v>306.05993923876133</v>
      </c>
      <c r="FJ15" s="62">
        <f ca="1">AVERAGE(OFFSET($FI$3,0,0,'Données projet'!$E$16+1,1))-AVERAGE(OFFSET($H$3,0,0,'Données projet'!$E$16+1,1))</f>
        <v>292.57482726862594</v>
      </c>
      <c r="FK15" s="62">
        <f t="shared" si="48"/>
        <v>283.48738729114024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3.65</v>
      </c>
      <c r="FZ15" s="13">
        <f>IF('Données projet'!$A$244&gt;35,FZ14+FY15-GH14,IF(A15&lt;'Données projet'!$A$244,$FW$205^A15,IF(A15='Données projet'!$A$244,'Données projet'!$B$244,FZ14+FY15-GH14)))</f>
        <v>13.121809125710287</v>
      </c>
      <c r="GA15" s="18">
        <f>FZ15*VLOOKUP('Données projet'!$B$17,Paramètres!$A$1:$I$89,3,0)*VLOOKUP('Données projet'!$B$17,Paramètres!$A$1:$I$89,5,0)</f>
        <v>12.69141378638699</v>
      </c>
      <c r="GB15" s="14">
        <f t="shared" si="49"/>
        <v>4.3512446702837533</v>
      </c>
      <c r="GC15" s="22">
        <f t="shared" si="25"/>
        <v>29.682630145368211</v>
      </c>
      <c r="GD15" s="62">
        <f t="shared" si="26"/>
        <v>301.01596347870151</v>
      </c>
      <c r="GE15" s="62">
        <f ca="1">AVERAGE(OFFSET($GD$3,0,0,'Données projet'!$E$17+1,1))-AVERAGE(OFFSET($H$3,0,0,'Données projet'!$E$17+1,1))</f>
        <v>562.69380557620775</v>
      </c>
      <c r="GF15" s="62">
        <f t="shared" si="50"/>
        <v>294.45557293177131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529.25712986118265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0.76190476190476186</v>
      </c>
      <c r="AI16" s="14">
        <f>IF('Données projet'!$A$62&gt;35,AI15+AH16-AQ15,IF(A16&lt;'Données projet'!$A$62,$AF$205^A16,IF(A16='Données projet'!$A$62,'Données projet'!$B$62,AI15+AH16-AQ15)))</f>
        <v>5.5642624769833233</v>
      </c>
      <c r="AJ16" s="14">
        <f>AI16*VLOOKUP('Données projet'!$B$10,Paramètres!$A$1:$I$89,3,0)*VLOOKUP('Données projet'!$B$10,Paramètres!$A$1:$I$89,5,0)</f>
        <v>4.7741372052516917</v>
      </c>
      <c r="AK16" s="14">
        <f t="shared" si="35"/>
        <v>1.8341024673840733</v>
      </c>
      <c r="AL16" s="22">
        <f t="shared" si="4"/>
        <v>11.509350763173957</v>
      </c>
      <c r="AM16" s="62">
        <f t="shared" si="5"/>
        <v>284.06490631872953</v>
      </c>
      <c r="AN16" s="62">
        <f ca="1">AVERAGE(OFFSET($AM$3,0,0,'Données projet'!$E$10+1,1))-AVERAGE(OFFSET($H$3,0,0,'Données projet'!$E$10+1,1))</f>
        <v>446.86777652265448</v>
      </c>
      <c r="AO16" s="62">
        <f t="shared" si="36"/>
        <v>230.82970731138215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10.68</v>
      </c>
      <c r="BD16" s="13">
        <f>IF('Données projet'!$A$88&gt;35,BD15+BC16-BL15,IF(A16&lt;'Données projet'!$A$88,$BA$205^A16,IF(A16='Données projet'!$A$88,'Données projet'!$B$88,BD15+BC16-BL15)))</f>
        <v>43.14</v>
      </c>
      <c r="BE16" s="14">
        <f>BD16*VLOOKUP('Données projet'!$B$11,Paramètres!$A$1:$I$89,3,0)*VLOOKUP('Données projet'!$B$11,Paramètres!$A$1:$I$89,5,0)</f>
        <v>34.322184</v>
      </c>
      <c r="BF16" s="14">
        <f t="shared" si="37"/>
        <v>10.480597920580347</v>
      </c>
      <c r="BG16" s="22">
        <f t="shared" si="7"/>
        <v>78.031511845010769</v>
      </c>
      <c r="BH16" s="62">
        <f t="shared" si="8"/>
        <v>350.5870674005663</v>
      </c>
      <c r="BI16" s="62">
        <f ca="1">AVERAGE(OFFSET($BH$3,0,0,'Données projet'!$E$11+1,1))-AVERAGE(OFFSET($H$3,0,0,'Données projet'!$E$11+1,1))</f>
        <v>370.59298168107364</v>
      </c>
      <c r="BJ16" s="62">
        <f t="shared" si="38"/>
        <v>404.61777090709171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10.68</v>
      </c>
      <c r="BY16" s="13">
        <f>IF('Données projet'!$A$114&gt;35,BY15+BX16-CG15,IF(A16&lt;'Données projet'!$A$114,$BV$205^A16,IF(A16='Données projet'!$A$114,'Données projet'!$B$114,BY15+BX16-CG15)))</f>
        <v>43.14</v>
      </c>
      <c r="BZ16" s="14">
        <f>BY16*VLOOKUP('Données projet'!$B$12,Paramètres!$A$1:$I$89,3,0)*VLOOKUP('Données projet'!$B$12,Paramètres!$A$1:$I$89,5,0)</f>
        <v>31.630248000000002</v>
      </c>
      <c r="CA16" s="14">
        <f t="shared" si="39"/>
        <v>9.7508554785621282</v>
      </c>
      <c r="CB16" s="22">
        <f t="shared" si="10"/>
        <v>72.072088558495707</v>
      </c>
      <c r="CC16" s="62">
        <f t="shared" si="11"/>
        <v>344.62764411405124</v>
      </c>
      <c r="CD16" s="62">
        <f ca="1">AVERAGE(OFFSET($CC$3,0,0,'Données projet'!$E$12+1,1))-AVERAGE(OFFSET($H$3,0,0,'Données projet'!$E$12+1,1))</f>
        <v>344.45199703750711</v>
      </c>
      <c r="CE16" s="62">
        <f t="shared" si="40"/>
        <v>376.41441893222185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7.8</v>
      </c>
      <c r="CT16" s="13">
        <f>IF('Données projet'!$A$140&gt;35,CT15+CS16-DB15,IF(A16&lt;'Données projet'!$A$140,$CQ$205^A16,IF(A16='Données projet'!$A$140,'Données projet'!$B$140,CT15+CS16-DB15)))</f>
        <v>37.4</v>
      </c>
      <c r="CU16" s="18">
        <f>CT16*VLOOKUP('Données projet'!$B$13,Paramètres!$A$1:$I$89,3,0)*VLOOKUP('Données projet'!$B$13,Paramètres!$A$1:$I$89,5,0)</f>
        <v>24.504479999999997</v>
      </c>
      <c r="CV16" s="14">
        <f t="shared" si="41"/>
        <v>7.7819669258411093</v>
      </c>
      <c r="CW16" s="22">
        <f t="shared" si="13"/>
        <v>56.232228395839918</v>
      </c>
      <c r="CX16" s="62">
        <f t="shared" si="14"/>
        <v>328.78778395139545</v>
      </c>
      <c r="CY16" s="62">
        <f ca="1">AVERAGE(OFFSET($CX$3,0,0,'Données projet'!$E$13+1,1))-AVERAGE(OFFSET($H$3,0,0,'Données projet'!$E$13+1,1))</f>
        <v>311.53750850588153</v>
      </c>
      <c r="CZ16" s="62">
        <f t="shared" si="42"/>
        <v>304.84379909635476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8</v>
      </c>
      <c r="DO16" s="13">
        <f>IF('Données projet'!$A$166&gt;35,DO15+DN16-DW15,IF(A16&lt;'Données projet'!$A$166,$DL$205^A16,IF(A16='Données projet'!$A$166,'Données projet'!$B$166,DO15+DN16-DW15)))</f>
        <v>33</v>
      </c>
      <c r="DP16" s="18">
        <f>DO16*VLOOKUP('Données projet'!$B$14,Paramètres!$A$1:$I$89,3,0)*VLOOKUP('Données projet'!$B$14,Paramètres!$A$1:$I$89,5,0)</f>
        <v>26.769600000000001</v>
      </c>
      <c r="DQ16" s="14">
        <f t="shared" si="43"/>
        <v>8.4142697673415618</v>
      </c>
      <c r="DR16" s="22">
        <f t="shared" si="16"/>
        <v>61.278573178119878</v>
      </c>
      <c r="DS16" s="62">
        <f t="shared" si="17"/>
        <v>333.83412873367541</v>
      </c>
      <c r="DT16" s="62">
        <f ca="1">AVERAGE(OFFSET($DS$3,0,0,'Données projet'!$E$14+1,1))-AVERAGE(OFFSET($H$3,0,0,'Données projet'!$E$14+1,1))</f>
        <v>256.19915261735281</v>
      </c>
      <c r="DU16" s="62">
        <f t="shared" si="44"/>
        <v>297.47246687305056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3.1623931623931623</v>
      </c>
      <c r="EJ16" s="13">
        <f>IF('Données projet'!$A$192&gt;35,EJ15+EI16-ER15,IF(A16&lt;'Données projet'!$A$192,$EG$205^A16,IF(A16='Données projet'!$A$192,'Données projet'!$B$192,EJ15+EI16-ER15)))</f>
        <v>28.35477280791984</v>
      </c>
      <c r="EK16" s="18">
        <f>EJ16*VLOOKUP('Données projet'!$B$15,Paramètres!$A$1:$I$89,3,0)*VLOOKUP('Données projet'!$B$15,Paramètres!$A$1:$I$89,5,0)</f>
        <v>26.982401804016519</v>
      </c>
      <c r="EL16" s="14">
        <f t="shared" si="45"/>
        <v>8.4733449645277137</v>
      </c>
      <c r="EM16" s="22">
        <f t="shared" si="19"/>
        <v>61.752092288547864</v>
      </c>
      <c r="EN16" s="62">
        <f t="shared" si="20"/>
        <v>334.30764784410343</v>
      </c>
      <c r="EO16" s="62">
        <f ca="1">AVERAGE(OFFSET($EN$3,0,0,'Données projet'!$E$15+1,1))-AVERAGE(OFFSET($H$3,0,0,'Données projet'!$E$15+1,1))</f>
        <v>406.24139966722936</v>
      </c>
      <c r="EP16" s="62">
        <f t="shared" si="46"/>
        <v>295.95724296920577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2.6666666666666665</v>
      </c>
      <c r="FE16" s="13">
        <f>IF('Données projet'!$A$218&gt;35,FE15+FD16-FM15,IF(A16&lt;'Données projet'!$A$218,$FB$205^A16,IF(A16='Données projet'!$A$218,'Données projet'!$B$218,FE15+FD16-FM15)))</f>
        <v>24.459748796430759</v>
      </c>
      <c r="FF16" s="18">
        <f>FE16*VLOOKUP('Données projet'!$B$16,Paramètres!$A$1:$I$89,3,0)*VLOOKUP('Données projet'!$B$16,Paramètres!$A$1:$I$89,5,0)</f>
        <v>19.078604061215994</v>
      </c>
      <c r="FG16" s="14">
        <f t="shared" si="47"/>
        <v>6.2379664748280286</v>
      </c>
      <c r="FH16" s="22">
        <f t="shared" si="22"/>
        <v>44.093027016943331</v>
      </c>
      <c r="FI16" s="62">
        <f t="shared" si="23"/>
        <v>316.64858257249887</v>
      </c>
      <c r="FJ16" s="62">
        <f ca="1">AVERAGE(OFFSET($FI$3,0,0,'Données projet'!$E$16+1,1))-AVERAGE(OFFSET($H$3,0,0,'Données projet'!$E$16+1,1))</f>
        <v>292.57482726862594</v>
      </c>
      <c r="FK16" s="62">
        <f t="shared" si="48"/>
        <v>283.48738729114024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3.65</v>
      </c>
      <c r="FZ16" s="13">
        <f>IF('Données projet'!$A$244&gt;35,FZ15+FY16-GH15,IF(A16&lt;'Données projet'!$A$244,$FW$205^A16,IF(A16='Données projet'!$A$244,'Données projet'!$B$244,FZ15+FY16-GH15)))</f>
        <v>16.261472127148366</v>
      </c>
      <c r="GA16" s="18">
        <f>FZ16*VLOOKUP('Données projet'!$B$17,Paramètres!$A$1:$I$89,3,0)*VLOOKUP('Données projet'!$B$17,Paramètres!$A$1:$I$89,5,0)</f>
        <v>15.728095841377899</v>
      </c>
      <c r="GB16" s="14">
        <f t="shared" si="49"/>
        <v>5.2593867546400634</v>
      </c>
      <c r="GC16" s="22">
        <f t="shared" si="25"/>
        <v>36.553198854731285</v>
      </c>
      <c r="GD16" s="62">
        <f t="shared" si="26"/>
        <v>309.10875441028685</v>
      </c>
      <c r="GE16" s="62">
        <f ca="1">AVERAGE(OFFSET($GD$3,0,0,'Données projet'!$E$17+1,1))-AVERAGE(OFFSET($H$3,0,0,'Données projet'!$E$17+1,1))</f>
        <v>562.69380557620775</v>
      </c>
      <c r="GF16" s="62">
        <f t="shared" si="50"/>
        <v>294.45557293177131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529.25712986118265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0.76190476190476186</v>
      </c>
      <c r="AI17" s="14">
        <f>IF('Données projet'!$A$62&gt;35,AI16+AH17-AQ16,IF(A17&lt;'Données projet'!$A$62,$AF$205^A17,IF(A17='Données projet'!$A$62,'Données projet'!$B$62,AI16+AH17-AQ16)))</f>
        <v>6.3496042078728046</v>
      </c>
      <c r="AJ17" s="14">
        <f>AI17*VLOOKUP('Données projet'!$B$10,Paramètres!$A$1:$I$89,3,0)*VLOOKUP('Données projet'!$B$10,Paramètres!$A$1:$I$89,5,0)</f>
        <v>5.4479604103548667</v>
      </c>
      <c r="AK17" s="14">
        <f t="shared" si="35"/>
        <v>2.0610492843300863</v>
      </c>
      <c r="AL17" s="22">
        <f t="shared" si="4"/>
        <v>13.078191884909627</v>
      </c>
      <c r="AM17" s="62">
        <f t="shared" si="5"/>
        <v>286.85596966268741</v>
      </c>
      <c r="AN17" s="62">
        <f ca="1">AVERAGE(OFFSET($AM$3,0,0,'Données projet'!$E$10+1,1))-AVERAGE(OFFSET($H$3,0,0,'Données projet'!$E$10+1,1))</f>
        <v>446.86777652265448</v>
      </c>
      <c r="AO17" s="62">
        <f t="shared" si="36"/>
        <v>230.82970731138215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10.68</v>
      </c>
      <c r="BD17" s="13">
        <f>IF('Données projet'!$A$88&gt;35,BD16+BC17-BL16,IF(A17&lt;'Données projet'!$A$88,$BA$205^A17,IF(A17='Données projet'!$A$88,'Données projet'!$B$88,BD16+BC17-BL16)))</f>
        <v>53.82</v>
      </c>
      <c r="BE17" s="14">
        <f>BD17*VLOOKUP('Données projet'!$B$11,Paramètres!$A$1:$I$89,3,0)*VLOOKUP('Données projet'!$B$11,Paramètres!$A$1:$I$89,5,0)</f>
        <v>42.819192000000001</v>
      </c>
      <c r="BF17" s="14">
        <f t="shared" si="37"/>
        <v>12.742886505722554</v>
      </c>
      <c r="BG17" s="22">
        <f t="shared" si="7"/>
        <v>96.770620064133439</v>
      </c>
      <c r="BH17" s="62">
        <f t="shared" si="8"/>
        <v>370.5483978419112</v>
      </c>
      <c r="BI17" s="62">
        <f ca="1">AVERAGE(OFFSET($BH$3,0,0,'Données projet'!$E$11+1,1))-AVERAGE(OFFSET($H$3,0,0,'Données projet'!$E$11+1,1))</f>
        <v>370.59298168107364</v>
      </c>
      <c r="BJ17" s="62">
        <f t="shared" si="38"/>
        <v>404.61777090709171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10.68</v>
      </c>
      <c r="BY17" s="13">
        <f>IF('Données projet'!$A$114&gt;35,BY16+BX17-CG16,IF(A17&lt;'Données projet'!$A$114,$BV$205^A17,IF(A17='Données projet'!$A$114,'Données projet'!$B$114,BY16+BX17-CG16)))</f>
        <v>53.82</v>
      </c>
      <c r="BZ17" s="14">
        <f>BY17*VLOOKUP('Données projet'!$B$12,Paramètres!$A$1:$I$89,3,0)*VLOOKUP('Données projet'!$B$12,Paramètres!$A$1:$I$89,5,0)</f>
        <v>39.460823999999995</v>
      </c>
      <c r="CA17" s="14">
        <f t="shared" si="39"/>
        <v>11.85562557008577</v>
      </c>
      <c r="CB17" s="22">
        <f t="shared" si="10"/>
        <v>89.376149667899369</v>
      </c>
      <c r="CC17" s="62">
        <f t="shared" si="11"/>
        <v>363.15392744567714</v>
      </c>
      <c r="CD17" s="62">
        <f ca="1">AVERAGE(OFFSET($CC$3,0,0,'Données projet'!$E$12+1,1))-AVERAGE(OFFSET($H$3,0,0,'Données projet'!$E$12+1,1))</f>
        <v>344.45199703750711</v>
      </c>
      <c r="CE17" s="62">
        <f t="shared" si="40"/>
        <v>376.41441893222185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7.8</v>
      </c>
      <c r="CT17" s="13">
        <f>IF('Données projet'!$A$140&gt;35,CT16+CS17-DB16,IF(A17&lt;'Données projet'!$A$140,$CQ$205^A17,IF(A17='Données projet'!$A$140,'Données projet'!$B$140,CT16+CS17-DB16)))</f>
        <v>45.199999999999996</v>
      </c>
      <c r="CU17" s="18">
        <f>CT17*VLOOKUP('Données projet'!$B$13,Paramètres!$A$1:$I$89,3,0)*VLOOKUP('Données projet'!$B$13,Paramètres!$A$1:$I$89,5,0)</f>
        <v>29.615039999999997</v>
      </c>
      <c r="CV17" s="14">
        <f t="shared" si="41"/>
        <v>9.1998416870072379</v>
      </c>
      <c r="CW17" s="22">
        <f t="shared" si="13"/>
        <v>67.602585604870924</v>
      </c>
      <c r="CX17" s="62">
        <f t="shared" si="14"/>
        <v>341.38036338264868</v>
      </c>
      <c r="CY17" s="62">
        <f ca="1">AVERAGE(OFFSET($CX$3,0,0,'Données projet'!$E$13+1,1))-AVERAGE(OFFSET($H$3,0,0,'Données projet'!$E$13+1,1))</f>
        <v>311.53750850588153</v>
      </c>
      <c r="CZ17" s="62">
        <f t="shared" si="42"/>
        <v>304.84379909635476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8</v>
      </c>
      <c r="DO17" s="13">
        <f>IF('Données projet'!$A$166&gt;35,DO16+DN17-DW16,IF(A17&lt;'Données projet'!$A$166,$DL$205^A17,IF(A17='Données projet'!$A$166,'Données projet'!$B$166,DO16+DN17-DW16)))</f>
        <v>41</v>
      </c>
      <c r="DP17" s="18">
        <f>DO17*VLOOKUP('Données projet'!$B$14,Paramètres!$A$1:$I$89,3,0)*VLOOKUP('Données projet'!$B$14,Paramètres!$A$1:$I$89,5,0)</f>
        <v>33.2592</v>
      </c>
      <c r="DQ17" s="14">
        <f t="shared" si="43"/>
        <v>10.193265358024187</v>
      </c>
      <c r="DR17" s="22">
        <f t="shared" si="16"/>
        <v>75.679710498558791</v>
      </c>
      <c r="DS17" s="62">
        <f t="shared" si="17"/>
        <v>349.45748827633656</v>
      </c>
      <c r="DT17" s="62">
        <f ca="1">AVERAGE(OFFSET($DS$3,0,0,'Données projet'!$E$14+1,1))-AVERAGE(OFFSET($H$3,0,0,'Données projet'!$E$14+1,1))</f>
        <v>256.19915261735281</v>
      </c>
      <c r="DU17" s="62">
        <f t="shared" si="44"/>
        <v>297.47246687305056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3.1623931623931623</v>
      </c>
      <c r="EJ17" s="13">
        <f>IF('Données projet'!$A$192&gt;35,EJ16+EI17-ER16,IF(A17&lt;'Données projet'!$A$192,$EG$205^A17,IF(A17='Données projet'!$A$192,'Données projet'!$B$192,EJ16+EI17-ER16)))</f>
        <v>36.674706471008875</v>
      </c>
      <c r="EK17" s="18">
        <f>EJ17*VLOOKUP('Données projet'!$B$15,Paramètres!$A$1:$I$89,3,0)*VLOOKUP('Données projet'!$B$15,Paramètres!$A$1:$I$89,5,0)</f>
        <v>34.899650677812041</v>
      </c>
      <c r="EL17" s="14">
        <f t="shared" si="45"/>
        <v>10.636255742571029</v>
      </c>
      <c r="EM17" s="22">
        <f t="shared" si="19"/>
        <v>79.308370348833833</v>
      </c>
      <c r="EN17" s="62">
        <f t="shared" si="20"/>
        <v>353.08614812661159</v>
      </c>
      <c r="EO17" s="62">
        <f ca="1">AVERAGE(OFFSET($EN$3,0,0,'Données projet'!$E$15+1,1))-AVERAGE(OFFSET($H$3,0,0,'Données projet'!$E$15+1,1))</f>
        <v>406.24139966722936</v>
      </c>
      <c r="EP17" s="62">
        <f t="shared" si="46"/>
        <v>295.95724296920577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2.6666666666666665</v>
      </c>
      <c r="FE17" s="13">
        <f>IF('Données projet'!$A$218&gt;35,FE16+FD17-FM16,IF(A17&lt;'Données projet'!$A$218,$FB$205^A17,IF(A17='Données projet'!$A$218,'Données projet'!$B$218,FE16+FD17-FM16)))</f>
        <v>31.279225563578599</v>
      </c>
      <c r="FF17" s="18">
        <f>FE17*VLOOKUP('Données projet'!$B$16,Paramètres!$A$1:$I$89,3,0)*VLOOKUP('Données projet'!$B$16,Paramètres!$A$1:$I$89,5,0)</f>
        <v>24.397795939591308</v>
      </c>
      <c r="FG17" s="14">
        <f t="shared" si="47"/>
        <v>7.75202295846145</v>
      </c>
      <c r="FH17" s="22">
        <f t="shared" si="22"/>
        <v>55.994267914108548</v>
      </c>
      <c r="FI17" s="62">
        <f t="shared" si="23"/>
        <v>329.77204569188632</v>
      </c>
      <c r="FJ17" s="62">
        <f ca="1">AVERAGE(OFFSET($FI$3,0,0,'Données projet'!$E$16+1,1))-AVERAGE(OFFSET($H$3,0,0,'Données projet'!$E$16+1,1))</f>
        <v>292.57482726862594</v>
      </c>
      <c r="FK17" s="62">
        <f t="shared" si="48"/>
        <v>283.48738729114024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3.65</v>
      </c>
      <c r="FZ17" s="13">
        <f>IF('Données projet'!$A$244&gt;35,FZ16+FY17-GH16,IF(A17&lt;'Données projet'!$A$244,$FW$205^A17,IF(A17='Données projet'!$A$244,'Données projet'!$B$244,FZ16+FY17-GH16)))</f>
        <v>20.152364144963837</v>
      </c>
      <c r="GA17" s="18">
        <f>FZ17*VLOOKUP('Données projet'!$B$17,Paramètres!$A$1:$I$89,3,0)*VLOOKUP('Données projet'!$B$17,Paramètres!$A$1:$I$89,5,0)</f>
        <v>19.491366601009023</v>
      </c>
      <c r="GB17" s="14">
        <f t="shared" si="49"/>
        <v>6.3570658813537859</v>
      </c>
      <c r="GC17" s="22">
        <f t="shared" si="25"/>
        <v>45.01935324011523</v>
      </c>
      <c r="GD17" s="62">
        <f t="shared" si="26"/>
        <v>318.79713101789298</v>
      </c>
      <c r="GE17" s="62">
        <f ca="1">AVERAGE(OFFSET($GD$3,0,0,'Données projet'!$E$17+1,1))-AVERAGE(OFFSET($H$3,0,0,'Données projet'!$E$17+1,1))</f>
        <v>562.69380557620775</v>
      </c>
      <c r="GF17" s="62">
        <f t="shared" si="50"/>
        <v>294.45557293177131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529.25712986118265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0.76190476190476186</v>
      </c>
      <c r="AI18" s="14">
        <f>IF('Données projet'!$A$62&gt;35,AI17+AH18-AQ17,IF(A18&lt;'Données projet'!$A$62,$AF$205^A18,IF(A18='Données projet'!$A$62,'Données projet'!$B$62,AI17+AH18-AQ17)))</f>
        <v>7.2457893141112617</v>
      </c>
      <c r="AJ18" s="14">
        <f>AI18*VLOOKUP('Données projet'!$B$10,Paramètres!$A$1:$I$89,3,0)*VLOOKUP('Données projet'!$B$10,Paramètres!$A$1:$I$89,5,0)</f>
        <v>6.2168872315074637</v>
      </c>
      <c r="AK18" s="14">
        <f t="shared" si="35"/>
        <v>2.3160778789509249</v>
      </c>
      <c r="AL18" s="22">
        <f t="shared" si="4"/>
        <v>14.861580900715024</v>
      </c>
      <c r="AM18" s="62">
        <f t="shared" si="5"/>
        <v>289.86158090071501</v>
      </c>
      <c r="AN18" s="62">
        <f ca="1">AVERAGE(OFFSET($AM$3,0,0,'Données projet'!$E$10+1,1))-AVERAGE(OFFSET($H$3,0,0,'Données projet'!$E$10+1,1))</f>
        <v>446.86777652265448</v>
      </c>
      <c r="AO18" s="62">
        <f t="shared" si="36"/>
        <v>230.82970731138215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64.5</v>
      </c>
      <c r="BB18" s="13">
        <f>VLOOKUP(A18,'Données projet'!$A$87:$I$107,9,0)</f>
        <v>10.68</v>
      </c>
      <c r="BC18" s="13">
        <f t="array" ref="BC18">INDEX(BB:BB,MIN(IF(ISNUMBER(BB18:BB214),ROW(BB18:BB214),"")))</f>
        <v>10.68</v>
      </c>
      <c r="BD18" s="13">
        <f>IF('Données projet'!$A$88&gt;35,BD17+BC18-BL17,IF(A18&lt;'Données projet'!$A$88,$BA$205^A18,IF(A18='Données projet'!$A$88,'Données projet'!$B$88,BD17+BC18-BL17)))</f>
        <v>64.5</v>
      </c>
      <c r="BE18" s="14">
        <f>BD18*VLOOKUP('Données projet'!$B$11,Paramètres!$A$1:$I$89,3,0)*VLOOKUP('Données projet'!$B$11,Paramètres!$A$1:$I$89,5,0)</f>
        <v>51.316200000000009</v>
      </c>
      <c r="BF18" s="14">
        <f t="shared" si="37"/>
        <v>14.953158316506878</v>
      </c>
      <c r="BG18" s="22">
        <f t="shared" si="7"/>
        <v>115.41913240124948</v>
      </c>
      <c r="BH18" s="62">
        <f t="shared" si="8"/>
        <v>390.4191324012495</v>
      </c>
      <c r="BI18" s="62">
        <f ca="1">AVERAGE(OFFSET($BH$3,0,0,'Données projet'!$E$11+1,1))-AVERAGE(OFFSET($H$3,0,0,'Données projet'!$E$11+1,1))</f>
        <v>370.59298168107364</v>
      </c>
      <c r="BJ18" s="62">
        <f t="shared" si="38"/>
        <v>404.61777090709171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64.5</v>
      </c>
      <c r="BW18" s="13">
        <f>VLOOKUP(A18,'Données projet'!$A$113:$I$133,9,0)</f>
        <v>10.68</v>
      </c>
      <c r="BX18" s="13">
        <f t="array" ref="BX18">INDEX(BW:BW,MIN(IF(ISNUMBER(BW18:BW214),ROW(BW18:BW214),"")))</f>
        <v>10.68</v>
      </c>
      <c r="BY18" s="13">
        <f>IF('Données projet'!$A$114&gt;35,BY17+BX18-CG17,IF(A18&lt;'Données projet'!$A$114,$BV$205^A18,IF(A18='Données projet'!$A$114,'Données projet'!$B$114,BY17+BX18-CG17)))</f>
        <v>64.5</v>
      </c>
      <c r="BZ18" s="14">
        <f>BY18*VLOOKUP('Données projet'!$B$12,Paramètres!$A$1:$I$89,3,0)*VLOOKUP('Données projet'!$B$12,Paramètres!$A$1:$I$89,5,0)</f>
        <v>47.291399999999996</v>
      </c>
      <c r="CA18" s="14">
        <f t="shared" si="39"/>
        <v>13.91200070808976</v>
      </c>
      <c r="CB18" s="22">
        <f t="shared" si="10"/>
        <v>106.595922899923</v>
      </c>
      <c r="CC18" s="62">
        <f t="shared" si="11"/>
        <v>381.59592289992298</v>
      </c>
      <c r="CD18" s="62">
        <f ca="1">AVERAGE(OFFSET($CC$3,0,0,'Données projet'!$E$12+1,1))-AVERAGE(OFFSET($H$3,0,0,'Données projet'!$E$12+1,1))</f>
        <v>344.45199703750711</v>
      </c>
      <c r="CE18" s="62">
        <f t="shared" si="40"/>
        <v>376.41441893222185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53</v>
      </c>
      <c r="CR18" s="13">
        <f>VLOOKUP(A18,'Données projet'!$A$139:$I$159,9,0)</f>
        <v>7.8</v>
      </c>
      <c r="CS18" s="13">
        <f t="array" ref="CS18">INDEX(CR:CR,MIN(IF(ISNUMBER(CR18:CR214),ROW(CR18:CR214),"")))</f>
        <v>7.8</v>
      </c>
      <c r="CT18" s="13">
        <f>IF('Données projet'!$A$140&gt;35,CT17+CS18-DB17,IF(A18&lt;'Données projet'!$A$140,$CQ$205^A18,IF(A18='Données projet'!$A$140,'Données projet'!$B$140,CT17+CS18-DB17)))</f>
        <v>52.999999999999993</v>
      </c>
      <c r="CU18" s="18">
        <f>CT18*VLOOKUP('Données projet'!$B$13,Paramètres!$A$1:$I$89,3,0)*VLOOKUP('Données projet'!$B$13,Paramètres!$A$1:$I$89,5,0)</f>
        <v>34.725599999999993</v>
      </c>
      <c r="CV18" s="14">
        <f t="shared" si="41"/>
        <v>10.58937166357587</v>
      </c>
      <c r="CW18" s="22">
        <f t="shared" si="13"/>
        <v>78.923575647394614</v>
      </c>
      <c r="CX18" s="62">
        <f t="shared" si="14"/>
        <v>353.92357564739461</v>
      </c>
      <c r="CY18" s="62">
        <f ca="1">AVERAGE(OFFSET($CX$3,0,0,'Données projet'!$E$13+1,1))-AVERAGE(OFFSET($H$3,0,0,'Données projet'!$E$13+1,1))</f>
        <v>311.53750850588153</v>
      </c>
      <c r="CZ18" s="62">
        <f t="shared" si="42"/>
        <v>304.84379909635476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49</v>
      </c>
      <c r="DM18" s="13">
        <f>VLOOKUP(A18,'Données projet'!$A$165:$I$185,9,0)</f>
        <v>8</v>
      </c>
      <c r="DN18" s="13">
        <f t="array" ref="DN18">INDEX(DM:DM,MIN(IF(ISNUMBER(DM18:DM214),ROW(DM18:DM214),"")))</f>
        <v>8</v>
      </c>
      <c r="DO18" s="13">
        <f>IF('Données projet'!$A$166&gt;35,DO17+DN18-DW17,IF(A18&lt;'Données projet'!$A$166,$DL$205^A18,IF(A18='Données projet'!$A$166,'Données projet'!$B$166,DO17+DN18-DW17)))</f>
        <v>49</v>
      </c>
      <c r="DP18" s="18">
        <f>DO18*VLOOKUP('Données projet'!$B$14,Paramètres!$A$1:$I$89,3,0)*VLOOKUP('Données projet'!$B$14,Paramètres!$A$1:$I$89,5,0)</f>
        <v>39.748800000000003</v>
      </c>
      <c r="DQ18" s="14">
        <f t="shared" si="43"/>
        <v>11.932041927023215</v>
      </c>
      <c r="DR18" s="22">
        <f t="shared" si="16"/>
        <v>90.010799689565431</v>
      </c>
      <c r="DS18" s="62">
        <f t="shared" si="17"/>
        <v>365.01079968956543</v>
      </c>
      <c r="DT18" s="62">
        <f ca="1">AVERAGE(OFFSET($DS$3,0,0,'Données projet'!$E$14+1,1))-AVERAGE(OFFSET($H$3,0,0,'Données projet'!$E$14+1,1))</f>
        <v>256.19915261735281</v>
      </c>
      <c r="DU18" s="62">
        <f t="shared" si="44"/>
        <v>297.47246687305056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47.435897435897431</v>
      </c>
      <c r="EH18" s="13">
        <f>VLOOKUP(A18,'Données projet'!$A$191:$I$211,9,0)</f>
        <v>3.1623931623931623</v>
      </c>
      <c r="EI18" s="13">
        <f t="array" ref="EI18">INDEX(EH:EH,MIN(IF(ISNUMBER(EH18:EH214),ROW(EH18:EH214),"")))</f>
        <v>3.1623931623931623</v>
      </c>
      <c r="EJ18" s="13">
        <f>IF('Données projet'!$A$192&gt;35,EJ17+EI18-ER17,IF(A18&lt;'Données projet'!$A$192,$EG$205^A18,IF(A18='Données projet'!$A$192,'Données projet'!$B$192,EJ17+EI18-ER17)))</f>
        <v>47.435897435897431</v>
      </c>
      <c r="EK18" s="18">
        <f>EJ18*VLOOKUP('Données projet'!$B$15,Paramètres!$A$1:$I$89,3,0)*VLOOKUP('Données projet'!$B$15,Paramètres!$A$1:$I$89,5,0)</f>
        <v>45.139999999999993</v>
      </c>
      <c r="EL18" s="14">
        <f t="shared" si="45"/>
        <v>13.351272336364824</v>
      </c>
      <c r="EM18" s="22">
        <f t="shared" si="19"/>
        <v>101.87229931916873</v>
      </c>
      <c r="EN18" s="62">
        <f t="shared" si="20"/>
        <v>376.87229931916875</v>
      </c>
      <c r="EO18" s="62">
        <f ca="1">AVERAGE(OFFSET($EN$3,0,0,'Données projet'!$E$15+1,1))-AVERAGE(OFFSET($H$3,0,0,'Données projet'!$E$15+1,1))</f>
        <v>406.24139966722936</v>
      </c>
      <c r="EP18" s="62">
        <f t="shared" si="46"/>
        <v>295.95724296920577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40</v>
      </c>
      <c r="FC18" s="13">
        <f>VLOOKUP(A18,'Données projet'!$A$217:$I$237,9,0)</f>
        <v>2.6666666666666665</v>
      </c>
      <c r="FD18" s="13">
        <f t="array" ref="FD18">INDEX(FC:FC,MIN(IF(ISNUMBER(FC18:FC214),ROW(FC18:FC214),"")))</f>
        <v>2.6666666666666665</v>
      </c>
      <c r="FE18" s="13">
        <f>IF('Données projet'!$A$218&gt;35,FE17+FD18-FM17,IF(A18&lt;'Données projet'!$A$218,$FB$205^A18,IF(A18='Données projet'!$A$218,'Données projet'!$B$218,FE17+FD18-FM17)))</f>
        <v>40</v>
      </c>
      <c r="FF18" s="18">
        <f>FE18*VLOOKUP('Données projet'!$B$16,Paramètres!$A$1:$I$89,3,0)*VLOOKUP('Données projet'!$B$16,Paramètres!$A$1:$I$89,5,0)</f>
        <v>31.200000000000003</v>
      </c>
      <c r="FG18" s="14">
        <f t="shared" si="47"/>
        <v>9.6335657126419925</v>
      </c>
      <c r="FH18" s="22">
        <f t="shared" si="22"/>
        <v>71.118460282851473</v>
      </c>
      <c r="FI18" s="62">
        <f t="shared" si="23"/>
        <v>346.11846028285146</v>
      </c>
      <c r="FJ18" s="62">
        <f ca="1">AVERAGE(OFFSET($FI$3,0,0,'Données projet'!$E$16+1,1))-AVERAGE(OFFSET($H$3,0,0,'Données projet'!$E$16+1,1))</f>
        <v>292.57482726862594</v>
      </c>
      <c r="FK18" s="62">
        <f t="shared" si="48"/>
        <v>283.48738729114024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3.65</v>
      </c>
      <c r="FZ18" s="13">
        <f>IF('Données projet'!$A$244&gt;35,FZ17+FY18-GH17,IF(A18&lt;'Données projet'!$A$244,$FW$205^A18,IF(A18='Données projet'!$A$244,'Données projet'!$B$244,FZ17+FY18-GH17)))</f>
        <v>24.974232188561476</v>
      </c>
      <c r="GA18" s="18">
        <f>FZ18*VLOOKUP('Données projet'!$B$17,Paramètres!$A$1:$I$89,3,0)*VLOOKUP('Données projet'!$B$17,Paramètres!$A$1:$I$89,5,0)</f>
        <v>24.155077372776663</v>
      </c>
      <c r="GB18" s="14">
        <f t="shared" si="49"/>
        <v>7.6838400568695304</v>
      </c>
      <c r="GC18" s="22">
        <f t="shared" si="25"/>
        <v>55.452781189967119</v>
      </c>
      <c r="GD18" s="62">
        <f t="shared" si="26"/>
        <v>330.45278118996714</v>
      </c>
      <c r="GE18" s="62">
        <f ca="1">AVERAGE(OFFSET($GD$3,0,0,'Données projet'!$E$17+1,1))-AVERAGE(OFFSET($H$3,0,0,'Données projet'!$E$17+1,1))</f>
        <v>562.69380557620775</v>
      </c>
      <c r="GF18" s="62">
        <f t="shared" si="50"/>
        <v>294.45557293177131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529.25712986118265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0.76190476190476186</v>
      </c>
      <c r="AI19" s="14">
        <f>IF('Données projet'!$A$62&gt;35,AI18+AH19-AQ18,IF(A19&lt;'Données projet'!$A$62,$AF$205^A19,IF(A19='Données projet'!$A$62,'Données projet'!$B$62,AI18+AH19-AQ18)))</f>
        <v>8.2684622640562306</v>
      </c>
      <c r="AJ19" s="14">
        <f>AI19*VLOOKUP('Données projet'!$B$10,Paramètres!$A$1:$I$89,3,0)*VLOOKUP('Données projet'!$B$10,Paramètres!$A$1:$I$89,5,0)</f>
        <v>7.0943406225602477</v>
      </c>
      <c r="AK19" s="14">
        <f t="shared" si="35"/>
        <v>2.6026630135190443</v>
      </c>
      <c r="AL19" s="22">
        <f t="shared" si="4"/>
        <v>16.888947999504762</v>
      </c>
      <c r="AM19" s="62">
        <f t="shared" si="5"/>
        <v>293.11117022172698</v>
      </c>
      <c r="AN19" s="62">
        <f ca="1">AVERAGE(OFFSET($AM$3,0,0,'Données projet'!$E$10+1,1))-AVERAGE(OFFSET($H$3,0,0,'Données projet'!$E$10+1,1))</f>
        <v>446.86777652265448</v>
      </c>
      <c r="AO19" s="62">
        <f t="shared" si="36"/>
        <v>230.82970731138215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13.760000000000002</v>
      </c>
      <c r="BD19" s="13">
        <f>IF('Données projet'!$A$88&gt;35,BD18+BC19-BL18,IF(A19&lt;'Données projet'!$A$88,$BA$205^A19,IF(A19='Données projet'!$A$88,'Données projet'!$B$88,BD18+BC19-BL18)))</f>
        <v>78.260000000000005</v>
      </c>
      <c r="BE19" s="14">
        <f>BD19*VLOOKUP('Données projet'!$B$11,Paramètres!$A$1:$I$89,3,0)*VLOOKUP('Données projet'!$B$11,Paramètres!$A$1:$I$89,5,0)</f>
        <v>62.263656000000012</v>
      </c>
      <c r="BF19" s="14">
        <f t="shared" si="37"/>
        <v>17.739352894036266</v>
      </c>
      <c r="BG19" s="22">
        <f t="shared" si="7"/>
        <v>139.33857382377983</v>
      </c>
      <c r="BH19" s="62">
        <f t="shared" si="8"/>
        <v>415.56079604600205</v>
      </c>
      <c r="BI19" s="62">
        <f ca="1">AVERAGE(OFFSET($BH$3,0,0,'Données projet'!$E$11+1,1))-AVERAGE(OFFSET($H$3,0,0,'Données projet'!$E$11+1,1))</f>
        <v>370.59298168107364</v>
      </c>
      <c r="BJ19" s="62">
        <f t="shared" si="38"/>
        <v>404.61777090709171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13.760000000000002</v>
      </c>
      <c r="BY19" s="13">
        <f>IF('Données projet'!$A$114&gt;35,BY18+BX19-CG18,IF(A19&lt;'Données projet'!$A$114,$BV$205^A19,IF(A19='Données projet'!$A$114,'Données projet'!$B$114,BY18+BX19-CG18)))</f>
        <v>78.260000000000005</v>
      </c>
      <c r="BZ19" s="14">
        <f>BY19*VLOOKUP('Données projet'!$B$12,Paramètres!$A$1:$I$89,3,0)*VLOOKUP('Données projet'!$B$12,Paramètres!$A$1:$I$89,5,0)</f>
        <v>57.380232000000007</v>
      </c>
      <c r="CA19" s="14">
        <f t="shared" si="39"/>
        <v>16.504198297054995</v>
      </c>
      <c r="CB19" s="22">
        <f t="shared" si="10"/>
        <v>128.68204943403745</v>
      </c>
      <c r="CC19" s="62">
        <f t="shared" si="11"/>
        <v>404.90427165625965</v>
      </c>
      <c r="CD19" s="62">
        <f ca="1">AVERAGE(OFFSET($CC$3,0,0,'Données projet'!$E$12+1,1))-AVERAGE(OFFSET($H$3,0,0,'Données projet'!$E$12+1,1))</f>
        <v>344.45199703750711</v>
      </c>
      <c r="CE19" s="62">
        <f t="shared" si="40"/>
        <v>376.41441893222185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14</v>
      </c>
      <c r="CT19" s="13">
        <f>IF('Données projet'!$A$140&gt;35,CT18+CS19-DB18,IF(A19&lt;'Données projet'!$A$140,$CQ$205^A19,IF(A19='Données projet'!$A$140,'Données projet'!$B$140,CT18+CS19-DB18)))</f>
        <v>67</v>
      </c>
      <c r="CU19" s="18">
        <f>CT19*VLOOKUP('Données projet'!$B$13,Paramètres!$A$1:$I$89,3,0)*VLOOKUP('Données projet'!$B$13,Paramètres!$A$1:$I$89,5,0)</f>
        <v>43.898400000000002</v>
      </c>
      <c r="CV19" s="14">
        <f t="shared" si="41"/>
        <v>13.026259590086106</v>
      </c>
      <c r="CW19" s="22">
        <f t="shared" si="13"/>
        <v>99.143782119399972</v>
      </c>
      <c r="CX19" s="62">
        <f t="shared" si="14"/>
        <v>375.36600434162222</v>
      </c>
      <c r="CY19" s="62">
        <f ca="1">AVERAGE(OFFSET($CX$3,0,0,'Données projet'!$E$13+1,1))-AVERAGE(OFFSET($H$3,0,0,'Données projet'!$E$13+1,1))</f>
        <v>311.53750850588153</v>
      </c>
      <c r="CZ19" s="62">
        <f t="shared" si="42"/>
        <v>304.84379909635476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10</v>
      </c>
      <c r="DO19" s="13">
        <f>IF('Données projet'!$A$166&gt;35,DO18+DN19-DW18,IF(A19&lt;'Données projet'!$A$166,$DL$205^A19,IF(A19='Données projet'!$A$166,'Données projet'!$B$166,DO18+DN19-DW18)))</f>
        <v>59</v>
      </c>
      <c r="DP19" s="18">
        <f>DO19*VLOOKUP('Données projet'!$B$14,Paramètres!$A$1:$I$89,3,0)*VLOOKUP('Données projet'!$B$14,Paramètres!$A$1:$I$89,5,0)</f>
        <v>47.860800000000005</v>
      </c>
      <c r="DQ19" s="14">
        <f t="shared" si="43"/>
        <v>14.059903887836867</v>
      </c>
      <c r="DR19" s="22">
        <f t="shared" si="16"/>
        <v>107.84522593798255</v>
      </c>
      <c r="DS19" s="62">
        <f t="shared" si="17"/>
        <v>384.06744816020478</v>
      </c>
      <c r="DT19" s="62">
        <f ca="1">AVERAGE(OFFSET($DS$3,0,0,'Données projet'!$E$14+1,1))-AVERAGE(OFFSET($H$3,0,0,'Données projet'!$E$14+1,1))</f>
        <v>256.19915261735281</v>
      </c>
      <c r="DU19" s="62">
        <f t="shared" si="44"/>
        <v>297.47246687305056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7.4358974358974361</v>
      </c>
      <c r="EJ19" s="13">
        <f>IF('Données projet'!$A$192&gt;35,EJ18+EI19-ER18,IF(A19&lt;'Données projet'!$A$192,$EG$205^A19,IF(A19='Données projet'!$A$192,'Données projet'!$B$192,EJ18+EI19-ER18)))</f>
        <v>54.871794871794869</v>
      </c>
      <c r="EK19" s="18">
        <f>EJ19*VLOOKUP('Données projet'!$B$15,Paramètres!$A$1:$I$89,3,0)*VLOOKUP('Données projet'!$B$15,Paramètres!$A$1:$I$89,5,0)</f>
        <v>52.216000000000001</v>
      </c>
      <c r="EL19" s="14">
        <f t="shared" si="45"/>
        <v>15.184598935068502</v>
      </c>
      <c r="EM19" s="22">
        <f t="shared" si="19"/>
        <v>117.38937647857762</v>
      </c>
      <c r="EN19" s="62">
        <f t="shared" si="20"/>
        <v>393.61159870079985</v>
      </c>
      <c r="EO19" s="62">
        <f ca="1">AVERAGE(OFFSET($EN$3,0,0,'Données projet'!$E$15+1,1))-AVERAGE(OFFSET($H$3,0,0,'Données projet'!$E$15+1,1))</f>
        <v>406.24139966722936</v>
      </c>
      <c r="EP19" s="62">
        <f t="shared" si="46"/>
        <v>295.95724296920577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9.6</v>
      </c>
      <c r="FE19" s="13">
        <f>IF('Données projet'!$A$218&gt;35,FE18+FD19-FM18,IF(A19&lt;'Données projet'!$A$218,$FB$205^A19,IF(A19='Données projet'!$A$218,'Données projet'!$B$218,FE18+FD19-FM18)))</f>
        <v>49.6</v>
      </c>
      <c r="FF19" s="18">
        <f>FE19*VLOOKUP('Données projet'!$B$16,Paramètres!$A$1:$I$89,3,0)*VLOOKUP('Données projet'!$B$16,Paramètres!$A$1:$I$89,5,0)</f>
        <v>38.688000000000002</v>
      </c>
      <c r="FG19" s="14">
        <f t="shared" si="47"/>
        <v>11.650229083154354</v>
      </c>
      <c r="FH19" s="22">
        <f t="shared" si="22"/>
        <v>87.672415653160499</v>
      </c>
      <c r="FI19" s="62">
        <f t="shared" si="23"/>
        <v>363.89463787538273</v>
      </c>
      <c r="FJ19" s="62">
        <f ca="1">AVERAGE(OFFSET($FI$3,0,0,'Données projet'!$E$16+1,1))-AVERAGE(OFFSET($H$3,0,0,'Données projet'!$E$16+1,1))</f>
        <v>292.57482726862594</v>
      </c>
      <c r="FK19" s="62">
        <f t="shared" si="48"/>
        <v>283.48738729114024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3.65</v>
      </c>
      <c r="FZ19" s="13">
        <f>IF('Données projet'!$A$244&gt;35,FZ18+FY19-GH18,IF(A19&lt;'Données projet'!$A$244,$FW$205^A19,IF(A19='Données projet'!$A$244,'Données projet'!$B$244,FZ18+FY19-GH18)))</f>
        <v>30.949831440200953</v>
      </c>
      <c r="GA19" s="18">
        <f>FZ19*VLOOKUP('Données projet'!$B$17,Paramètres!$A$1:$I$89,3,0)*VLOOKUP('Données projet'!$B$17,Paramètres!$A$1:$I$89,5,0)</f>
        <v>29.934676968962361</v>
      </c>
      <c r="GB19" s="14">
        <f t="shared" si="49"/>
        <v>9.2875233828754098</v>
      </c>
      <c r="GC19" s="22">
        <f t="shared" si="25"/>
        <v>68.311998946117441</v>
      </c>
      <c r="GD19" s="62">
        <f t="shared" si="26"/>
        <v>344.53422116833968</v>
      </c>
      <c r="GE19" s="62">
        <f ca="1">AVERAGE(OFFSET($GD$3,0,0,'Données projet'!$E$17+1,1))-AVERAGE(OFFSET($H$3,0,0,'Données projet'!$E$17+1,1))</f>
        <v>562.69380557620775</v>
      </c>
      <c r="GF19" s="62">
        <f t="shared" si="50"/>
        <v>294.45557293177131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529.25712986118265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0.76190476190476186</v>
      </c>
      <c r="AI20" s="14">
        <f>IF('Données projet'!$A$62&gt;35,AI19+AH20-AQ19,IF(A20&lt;'Données projet'!$A$62,$AF$205^A20,IF(A20='Données projet'!$A$62,'Données projet'!$B$62,AI19+AH20-AQ19)))</f>
        <v>9.4354755911789248</v>
      </c>
      <c r="AJ20" s="14">
        <f>AI20*VLOOKUP('Données projet'!$B$10,Paramètres!$A$1:$I$89,3,0)*VLOOKUP('Données projet'!$B$10,Paramètres!$A$1:$I$89,5,0)</f>
        <v>8.0956380572315183</v>
      </c>
      <c r="AK20" s="14">
        <f t="shared" si="35"/>
        <v>2.9247094078754694</v>
      </c>
      <c r="AL20" s="22">
        <f t="shared" si="4"/>
        <v>19.193771835061334</v>
      </c>
      <c r="AM20" s="62">
        <f t="shared" si="5"/>
        <v>296.6382162795058</v>
      </c>
      <c r="AN20" s="62">
        <f ca="1">AVERAGE(OFFSET($AM$3,0,0,'Données projet'!$E$10+1,1))-AVERAGE(OFFSET($H$3,0,0,'Données projet'!$E$10+1,1))</f>
        <v>446.86777652265448</v>
      </c>
      <c r="AO20" s="62">
        <f t="shared" si="36"/>
        <v>230.82970731138215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13.760000000000002</v>
      </c>
      <c r="BD20" s="13">
        <f>IF('Données projet'!$A$88&gt;35,BD19+BC20-BL19,IF(A20&lt;'Données projet'!$A$88,$BA$205^A20,IF(A20='Données projet'!$A$88,'Données projet'!$B$88,BD19+BC20-BL19)))</f>
        <v>92.02000000000001</v>
      </c>
      <c r="BE20" s="14">
        <f>BD20*VLOOKUP('Données projet'!$B$11,Paramètres!$A$1:$I$89,3,0)*VLOOKUP('Données projet'!$B$11,Paramètres!$A$1:$I$89,5,0)</f>
        <v>73.211112000000014</v>
      </c>
      <c r="BF20" s="14">
        <f t="shared" si="37"/>
        <v>20.468796348022103</v>
      </c>
      <c r="BG20" s="22">
        <f t="shared" si="7"/>
        <v>163.15917370613849</v>
      </c>
      <c r="BH20" s="62">
        <f t="shared" si="8"/>
        <v>440.60361815058297</v>
      </c>
      <c r="BI20" s="62">
        <f ca="1">AVERAGE(OFFSET($BH$3,0,0,'Données projet'!$E$11+1,1))-AVERAGE(OFFSET($H$3,0,0,'Données projet'!$E$11+1,1))</f>
        <v>370.59298168107364</v>
      </c>
      <c r="BJ20" s="62">
        <f t="shared" si="38"/>
        <v>404.61777090709171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13.760000000000002</v>
      </c>
      <c r="BY20" s="13">
        <f>IF('Données projet'!$A$114&gt;35,BY19+BX20-CG19,IF(A20&lt;'Données projet'!$A$114,$BV$205^A20,IF(A20='Données projet'!$A$114,'Données projet'!$B$114,BY19+BX20-CG19)))</f>
        <v>92.02000000000001</v>
      </c>
      <c r="BZ20" s="14">
        <f>BY20*VLOOKUP('Données projet'!$B$12,Paramètres!$A$1:$I$89,3,0)*VLOOKUP('Données projet'!$B$12,Paramètres!$A$1:$I$89,5,0)</f>
        <v>67.469064000000003</v>
      </c>
      <c r="CA20" s="14">
        <f t="shared" si="39"/>
        <v>19.043596226295445</v>
      </c>
      <c r="CB20" s="22">
        <f t="shared" si="10"/>
        <v>150.67621656079791</v>
      </c>
      <c r="CC20" s="62">
        <f t="shared" si="11"/>
        <v>428.12066100524237</v>
      </c>
      <c r="CD20" s="62">
        <f ca="1">AVERAGE(OFFSET($CC$3,0,0,'Données projet'!$E$12+1,1))-AVERAGE(OFFSET($H$3,0,0,'Données projet'!$E$12+1,1))</f>
        <v>344.45199703750711</v>
      </c>
      <c r="CE20" s="62">
        <f t="shared" si="40"/>
        <v>376.41441893222185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14</v>
      </c>
      <c r="CT20" s="13">
        <f>IF('Données projet'!$A$140&gt;35,CT19+CS20-DB19,IF(A20&lt;'Données projet'!$A$140,$CQ$205^A20,IF(A20='Données projet'!$A$140,'Données projet'!$B$140,CT19+CS20-DB19)))</f>
        <v>81</v>
      </c>
      <c r="CU20" s="18">
        <f>CT20*VLOOKUP('Données projet'!$B$13,Paramètres!$A$1:$I$89,3,0)*VLOOKUP('Données projet'!$B$13,Paramètres!$A$1:$I$89,5,0)</f>
        <v>53.071199999999997</v>
      </c>
      <c r="CV20" s="14">
        <f t="shared" si="41"/>
        <v>15.404137822648016</v>
      </c>
      <c r="CW20" s="22">
        <f t="shared" si="13"/>
        <v>119.26121337444529</v>
      </c>
      <c r="CX20" s="62">
        <f t="shared" si="14"/>
        <v>396.70565781888973</v>
      </c>
      <c r="CY20" s="62">
        <f ca="1">AVERAGE(OFFSET($CX$3,0,0,'Données projet'!$E$13+1,1))-AVERAGE(OFFSET($H$3,0,0,'Données projet'!$E$13+1,1))</f>
        <v>311.53750850588153</v>
      </c>
      <c r="CZ20" s="62">
        <f t="shared" si="42"/>
        <v>304.84379909635476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10</v>
      </c>
      <c r="DO20" s="13">
        <f>IF('Données projet'!$A$166&gt;35,DO19+DN20-DW19,IF(A20&lt;'Données projet'!$A$166,$DL$205^A20,IF(A20='Données projet'!$A$166,'Données projet'!$B$166,DO19+DN20-DW19)))</f>
        <v>69</v>
      </c>
      <c r="DP20" s="18">
        <f>DO20*VLOOKUP('Données projet'!$B$14,Paramètres!$A$1:$I$89,3,0)*VLOOKUP('Données projet'!$B$14,Paramètres!$A$1:$I$89,5,0)</f>
        <v>55.972800000000007</v>
      </c>
      <c r="DQ20" s="14">
        <f t="shared" si="43"/>
        <v>16.145985978099571</v>
      </c>
      <c r="DR20" s="22">
        <f t="shared" si="16"/>
        <v>125.60688557852342</v>
      </c>
      <c r="DS20" s="62">
        <f t="shared" si="17"/>
        <v>403.05133002296787</v>
      </c>
      <c r="DT20" s="62">
        <f ca="1">AVERAGE(OFFSET($DS$3,0,0,'Données projet'!$E$14+1,1))-AVERAGE(OFFSET($H$3,0,0,'Données projet'!$E$14+1,1))</f>
        <v>256.19915261735281</v>
      </c>
      <c r="DU20" s="62">
        <f t="shared" si="44"/>
        <v>297.47246687305056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7.4358974358974361</v>
      </c>
      <c r="EJ20" s="13">
        <f>IF('Données projet'!$A$192&gt;35,EJ19+EI20-ER19,IF(A20&lt;'Données projet'!$A$192,$EG$205^A20,IF(A20='Données projet'!$A$192,'Données projet'!$B$192,EJ19+EI20-ER19)))</f>
        <v>62.307692307692307</v>
      </c>
      <c r="EK20" s="18">
        <f>EJ20*VLOOKUP('Données projet'!$B$15,Paramètres!$A$1:$I$89,3,0)*VLOOKUP('Données projet'!$B$15,Paramètres!$A$1:$I$89,5,0)</f>
        <v>59.292000000000002</v>
      </c>
      <c r="EL20" s="14">
        <f t="shared" si="45"/>
        <v>16.98914092257921</v>
      </c>
      <c r="EM20" s="22">
        <f t="shared" si="19"/>
        <v>132.85632044015878</v>
      </c>
      <c r="EN20" s="62">
        <f t="shared" si="20"/>
        <v>410.30076488460327</v>
      </c>
      <c r="EO20" s="62">
        <f ca="1">AVERAGE(OFFSET($EN$3,0,0,'Données projet'!$E$15+1,1))-AVERAGE(OFFSET($H$3,0,0,'Données projet'!$E$15+1,1))</f>
        <v>406.24139966722936</v>
      </c>
      <c r="EP20" s="62">
        <f t="shared" si="46"/>
        <v>295.95724296920577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9.6</v>
      </c>
      <c r="FE20" s="13">
        <f>IF('Données projet'!$A$218&gt;35,FE19+FD20-FM19,IF(A20&lt;'Données projet'!$A$218,$FB$205^A20,IF(A20='Données projet'!$A$218,'Données projet'!$B$218,FE19+FD20-FM19)))</f>
        <v>59.2</v>
      </c>
      <c r="FF20" s="18">
        <f>FE20*VLOOKUP('Données projet'!$B$16,Paramètres!$A$1:$I$89,3,0)*VLOOKUP('Données projet'!$B$16,Paramètres!$A$1:$I$89,5,0)</f>
        <v>46.176000000000002</v>
      </c>
      <c r="FG20" s="14">
        <f t="shared" si="47"/>
        <v>13.621668778540489</v>
      </c>
      <c r="FH20" s="22">
        <f t="shared" si="22"/>
        <v>104.14760645595801</v>
      </c>
      <c r="FI20" s="62">
        <f t="shared" si="23"/>
        <v>381.59205090040246</v>
      </c>
      <c r="FJ20" s="62">
        <f ca="1">AVERAGE(OFFSET($FI$3,0,0,'Données projet'!$E$16+1,1))-AVERAGE(OFFSET($H$3,0,0,'Données projet'!$E$16+1,1))</f>
        <v>292.57482726862594</v>
      </c>
      <c r="FK20" s="62">
        <f t="shared" si="48"/>
        <v>283.48738729114024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3.65</v>
      </c>
      <c r="FZ20" s="13">
        <f>IF('Données projet'!$A$244&gt;35,FZ19+FY20-GH19,IF(A20&lt;'Données projet'!$A$244,$FW$205^A20,IF(A20='Données projet'!$A$244,'Données projet'!$B$244,FZ19+FY20-GH19)))</f>
        <v>38.355215845858055</v>
      </c>
      <c r="GA20" s="18">
        <f>FZ20*VLOOKUP('Données projet'!$B$17,Paramètres!$A$1:$I$89,3,0)*VLOOKUP('Données projet'!$B$17,Paramètres!$A$1:$I$89,5,0)</f>
        <v>37.097164766113913</v>
      </c>
      <c r="GB20" s="14">
        <f t="shared" si="49"/>
        <v>11.225909174194843</v>
      </c>
      <c r="GC20" s="22">
        <f t="shared" si="25"/>
        <v>84.162687112704418</v>
      </c>
      <c r="GD20" s="62">
        <f t="shared" si="26"/>
        <v>361.60713155714888</v>
      </c>
      <c r="GE20" s="62">
        <f ca="1">AVERAGE(OFFSET($GD$3,0,0,'Données projet'!$E$17+1,1))-AVERAGE(OFFSET($H$3,0,0,'Données projet'!$E$17+1,1))</f>
        <v>562.69380557620775</v>
      </c>
      <c r="GF20" s="62">
        <f t="shared" si="50"/>
        <v>294.45557293177131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529.25712986118265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0.76190476190476186</v>
      </c>
      <c r="AI21" s="14">
        <f>IF('Données projet'!$A$62&gt;35,AI20+AH21-AQ20,IF(A21&lt;'Données projet'!$A$62,$AF$205^A21,IF(A21='Données projet'!$A$62,'Données projet'!$B$62,AI20+AH21-AQ20)))</f>
        <v>10.767201541058862</v>
      </c>
      <c r="AJ21" s="14">
        <f>AI21*VLOOKUP('Données projet'!$B$10,Paramètres!$A$1:$I$89,3,0)*VLOOKUP('Données projet'!$B$10,Paramètres!$A$1:$I$89,5,0)</f>
        <v>9.2382589222285052</v>
      </c>
      <c r="AK21" s="14">
        <f t="shared" si="35"/>
        <v>3.286604941201964</v>
      </c>
      <c r="AL21" s="22">
        <f t="shared" si="4"/>
        <v>21.81413789547473</v>
      </c>
      <c r="AM21" s="62">
        <f t="shared" si="5"/>
        <v>300.48080456214143</v>
      </c>
      <c r="AN21" s="62">
        <f ca="1">AVERAGE(OFFSET($AM$3,0,0,'Données projet'!$E$10+1,1))-AVERAGE(OFFSET($H$3,0,0,'Données projet'!$E$10+1,1))</f>
        <v>446.86777652265448</v>
      </c>
      <c r="AO21" s="62">
        <f t="shared" si="36"/>
        <v>230.82970731138215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13.760000000000002</v>
      </c>
      <c r="BD21" s="13">
        <f>IF('Données projet'!$A$88&gt;35,BD20+BC21-BL20,IF(A21&lt;'Données projet'!$A$88,$BA$205^A21,IF(A21='Données projet'!$A$88,'Données projet'!$B$88,BD20+BC21-BL20)))</f>
        <v>105.78000000000002</v>
      </c>
      <c r="BE21" s="14">
        <f>BD21*VLOOKUP('Données projet'!$B$11,Paramètres!$A$1:$I$89,3,0)*VLOOKUP('Données projet'!$B$11,Paramètres!$A$1:$I$89,5,0)</f>
        <v>84.158568000000017</v>
      </c>
      <c r="BF21" s="14">
        <f t="shared" si="37"/>
        <v>23.15095738591862</v>
      </c>
      <c r="BG21" s="22">
        <f t="shared" si="7"/>
        <v>186.89742338047495</v>
      </c>
      <c r="BH21" s="62">
        <f t="shared" si="8"/>
        <v>465.56409004714163</v>
      </c>
      <c r="BI21" s="62">
        <f ca="1">AVERAGE(OFFSET($BH$3,0,0,'Données projet'!$E$11+1,1))-AVERAGE(OFFSET($H$3,0,0,'Données projet'!$E$11+1,1))</f>
        <v>370.59298168107364</v>
      </c>
      <c r="BJ21" s="62">
        <f t="shared" si="38"/>
        <v>404.61777090709171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13.760000000000002</v>
      </c>
      <c r="BY21" s="13">
        <f>IF('Données projet'!$A$114&gt;35,BY20+BX21-CG20,IF(A21&lt;'Données projet'!$A$114,$BV$205^A21,IF(A21='Données projet'!$A$114,'Données projet'!$B$114,BY20+BX21-CG20)))</f>
        <v>105.78000000000002</v>
      </c>
      <c r="BZ21" s="14">
        <f>BY21*VLOOKUP('Données projet'!$B$12,Paramètres!$A$1:$I$89,3,0)*VLOOKUP('Données projet'!$B$12,Paramètres!$A$1:$I$89,5,0)</f>
        <v>77.557896000000014</v>
      </c>
      <c r="CA21" s="14">
        <f t="shared" si="39"/>
        <v>21.539003916671845</v>
      </c>
      <c r="CB21" s="22">
        <f t="shared" si="10"/>
        <v>172.59376735487015</v>
      </c>
      <c r="CC21" s="62">
        <f t="shared" si="11"/>
        <v>451.26043402153687</v>
      </c>
      <c r="CD21" s="62">
        <f ca="1">AVERAGE(OFFSET($CC$3,0,0,'Données projet'!$E$12+1,1))-AVERAGE(OFFSET($H$3,0,0,'Données projet'!$E$12+1,1))</f>
        <v>344.45199703750711</v>
      </c>
      <c r="CE21" s="62">
        <f t="shared" si="40"/>
        <v>376.41441893222185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14</v>
      </c>
      <c r="CT21" s="13">
        <f>IF('Données projet'!$A$140&gt;35,CT20+CS21-DB20,IF(A21&lt;'Données projet'!$A$140,$CQ$205^A21,IF(A21='Données projet'!$A$140,'Données projet'!$B$140,CT20+CS21-DB20)))</f>
        <v>95</v>
      </c>
      <c r="CU21" s="18">
        <f>CT21*VLOOKUP('Données projet'!$B$13,Paramètres!$A$1:$I$89,3,0)*VLOOKUP('Données projet'!$B$13,Paramètres!$A$1:$I$89,5,0)</f>
        <v>62.244</v>
      </c>
      <c r="CV21" s="14">
        <f t="shared" si="41"/>
        <v>17.734404526076432</v>
      </c>
      <c r="CW21" s="22">
        <f t="shared" si="13"/>
        <v>139.29572121624977</v>
      </c>
      <c r="CX21" s="62">
        <f t="shared" si="14"/>
        <v>417.96238788291646</v>
      </c>
      <c r="CY21" s="62">
        <f ca="1">AVERAGE(OFFSET($CX$3,0,0,'Données projet'!$E$13+1,1))-AVERAGE(OFFSET($H$3,0,0,'Données projet'!$E$13+1,1))</f>
        <v>311.53750850588153</v>
      </c>
      <c r="CZ21" s="62">
        <f t="shared" si="42"/>
        <v>304.84379909635476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10</v>
      </c>
      <c r="DO21" s="13">
        <f>IF('Données projet'!$A$166&gt;35,DO20+DN21-DW20,IF(A21&lt;'Données projet'!$A$166,$DL$205^A21,IF(A21='Données projet'!$A$166,'Données projet'!$B$166,DO20+DN21-DW20)))</f>
        <v>79</v>
      </c>
      <c r="DP21" s="18">
        <f>DO21*VLOOKUP('Données projet'!$B$14,Paramètres!$A$1:$I$89,3,0)*VLOOKUP('Données projet'!$B$14,Paramètres!$A$1:$I$89,5,0)</f>
        <v>64.084800000000001</v>
      </c>
      <c r="DQ21" s="14">
        <f t="shared" si="43"/>
        <v>18.197042620605469</v>
      </c>
      <c r="DR21" s="22">
        <f t="shared" si="16"/>
        <v>143.30754256422119</v>
      </c>
      <c r="DS21" s="62">
        <f t="shared" si="17"/>
        <v>421.97420923088788</v>
      </c>
      <c r="DT21" s="62">
        <f ca="1">AVERAGE(OFFSET($DS$3,0,0,'Données projet'!$E$14+1,1))-AVERAGE(OFFSET($H$3,0,0,'Données projet'!$E$14+1,1))</f>
        <v>256.19915261735281</v>
      </c>
      <c r="DU21" s="62">
        <f t="shared" si="44"/>
        <v>297.47246687305056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7.4358974358974361</v>
      </c>
      <c r="EJ21" s="13">
        <f>IF('Données projet'!$A$192&gt;35,EJ20+EI21-ER20,IF(A21&lt;'Données projet'!$A$192,$EG$205^A21,IF(A21='Données projet'!$A$192,'Données projet'!$B$192,EJ20+EI21-ER20)))</f>
        <v>69.743589743589737</v>
      </c>
      <c r="EK21" s="18">
        <f>EJ21*VLOOKUP('Données projet'!$B$15,Paramètres!$A$1:$I$89,3,0)*VLOOKUP('Données projet'!$B$15,Paramètres!$A$1:$I$89,5,0)</f>
        <v>66.367999999999995</v>
      </c>
      <c r="EL21" s="14">
        <f t="shared" si="45"/>
        <v>18.768726208561709</v>
      </c>
      <c r="EM21" s="22">
        <f t="shared" si="19"/>
        <v>148.27979814657829</v>
      </c>
      <c r="EN21" s="62">
        <f t="shared" si="20"/>
        <v>426.94646481324497</v>
      </c>
      <c r="EO21" s="62">
        <f ca="1">AVERAGE(OFFSET($EN$3,0,0,'Données projet'!$E$15+1,1))-AVERAGE(OFFSET($H$3,0,0,'Données projet'!$E$15+1,1))</f>
        <v>406.24139966722936</v>
      </c>
      <c r="EP21" s="62">
        <f t="shared" si="46"/>
        <v>295.95724296920577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9.6</v>
      </c>
      <c r="FE21" s="13">
        <f>IF('Données projet'!$A$218&gt;35,FE20+FD21-FM20,IF(A21&lt;'Données projet'!$A$218,$FB$205^A21,IF(A21='Données projet'!$A$218,'Données projet'!$B$218,FE20+FD21-FM20)))</f>
        <v>68.8</v>
      </c>
      <c r="FF21" s="18">
        <f>FE21*VLOOKUP('Données projet'!$B$16,Paramètres!$A$1:$I$89,3,0)*VLOOKUP('Données projet'!$B$16,Paramètres!$A$1:$I$89,5,0)</f>
        <v>53.664000000000001</v>
      </c>
      <c r="FG21" s="14">
        <f t="shared" si="47"/>
        <v>15.556073979202782</v>
      </c>
      <c r="FH21" s="22">
        <f t="shared" si="22"/>
        <v>120.55829551377816</v>
      </c>
      <c r="FI21" s="62">
        <f t="shared" si="23"/>
        <v>399.22496218044483</v>
      </c>
      <c r="FJ21" s="62">
        <f ca="1">AVERAGE(OFFSET($FI$3,0,0,'Données projet'!$E$16+1,1))-AVERAGE(OFFSET($H$3,0,0,'Données projet'!$E$16+1,1))</f>
        <v>292.57482726862594</v>
      </c>
      <c r="FK21" s="62">
        <f t="shared" si="48"/>
        <v>283.48738729114024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3.65</v>
      </c>
      <c r="FZ21" s="13">
        <f>IF('Données projet'!$A$244&gt;35,FZ20+FY21-GH20,IF(A21&lt;'Données projet'!$A$244,$FW$205^A21,IF(A21='Données projet'!$A$244,'Données projet'!$B$244,FZ20+FY21-GH20)))</f>
        <v>47.532490941824946</v>
      </c>
      <c r="GA21" s="18">
        <f>FZ21*VLOOKUP('Données projet'!$B$17,Paramètres!$A$1:$I$89,3,0)*VLOOKUP('Données projet'!$B$17,Paramètres!$A$1:$I$89,5,0)</f>
        <v>45.973425238933089</v>
      </c>
      <c r="GB21" s="14">
        <f t="shared" si="49"/>
        <v>13.56885270616201</v>
      </c>
      <c r="GC21" s="22">
        <f t="shared" si="25"/>
        <v>103.70280075437397</v>
      </c>
      <c r="GD21" s="62">
        <f t="shared" si="26"/>
        <v>382.36946742104067</v>
      </c>
      <c r="GE21" s="62">
        <f ca="1">AVERAGE(OFFSET($GD$3,0,0,'Données projet'!$E$17+1,1))-AVERAGE(OFFSET($H$3,0,0,'Données projet'!$E$17+1,1))</f>
        <v>562.69380557620775</v>
      </c>
      <c r="GF21" s="62">
        <f t="shared" si="50"/>
        <v>294.45557293177131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529.25712986118265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0.76190476190476186</v>
      </c>
      <c r="AI22" s="14">
        <f>IF('Données projet'!$A$62&gt;35,AI21+AH22-AQ21,IF(A22&lt;'Données projet'!$A$62,$AF$205^A22,IF(A22='Données projet'!$A$62,'Données projet'!$B$62,AI21+AH22-AQ21)))</f>
        <v>12.286887704331923</v>
      </c>
      <c r="AJ22" s="14">
        <f>AI22*VLOOKUP('Données projet'!$B$10,Paramètres!$A$1:$I$89,3,0)*VLOOKUP('Données projet'!$B$10,Paramètres!$A$1:$I$89,5,0)</f>
        <v>10.542149650316791</v>
      </c>
      <c r="AK22" s="14">
        <f t="shared" si="35"/>
        <v>3.6932804368347987</v>
      </c>
      <c r="AL22" s="22">
        <f t="shared" si="4"/>
        <v>24.793374068455687</v>
      </c>
      <c r="AM22" s="62">
        <f t="shared" si="5"/>
        <v>304.68226295734456</v>
      </c>
      <c r="AN22" s="62">
        <f ca="1">AVERAGE(OFFSET($AM$3,0,0,'Données projet'!$E$10+1,1))-AVERAGE(OFFSET($H$3,0,0,'Données projet'!$E$10+1,1))</f>
        <v>446.86777652265448</v>
      </c>
      <c r="AO22" s="62">
        <f t="shared" si="36"/>
        <v>230.82970731138215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13.760000000000002</v>
      </c>
      <c r="BD22" s="13">
        <f>IF('Données projet'!$A$88&gt;35,BD21+BC22-BL21,IF(A22&lt;'Données projet'!$A$88,$BA$205^A22,IF(A22='Données projet'!$A$88,'Données projet'!$B$88,BD21+BC22-BL21)))</f>
        <v>119.54000000000002</v>
      </c>
      <c r="BE22" s="14">
        <f>BD22*VLOOKUP('Données projet'!$B$11,Paramètres!$A$1:$I$89,3,0)*VLOOKUP('Données projet'!$B$11,Paramètres!$A$1:$I$89,5,0)</f>
        <v>95.106024000000019</v>
      </c>
      <c r="BF22" s="14">
        <f t="shared" si="37"/>
        <v>25.792692267172022</v>
      </c>
      <c r="BG22" s="22">
        <f t="shared" si="7"/>
        <v>210.56526416532461</v>
      </c>
      <c r="BH22" s="62">
        <f t="shared" si="8"/>
        <v>490.45415305421346</v>
      </c>
      <c r="BI22" s="62">
        <f ca="1">AVERAGE(OFFSET($BH$3,0,0,'Données projet'!$E$11+1,1))-AVERAGE(OFFSET($H$3,0,0,'Données projet'!$E$11+1,1))</f>
        <v>370.59298168107364</v>
      </c>
      <c r="BJ22" s="62">
        <f t="shared" si="38"/>
        <v>404.61777090709171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13.760000000000002</v>
      </c>
      <c r="BY22" s="13">
        <f>IF('Données projet'!$A$114&gt;35,BY21+BX22-CG21,IF(A22&lt;'Données projet'!$A$114,$BV$205^A22,IF(A22='Données projet'!$A$114,'Données projet'!$B$114,BY21+BX22-CG21)))</f>
        <v>119.54000000000002</v>
      </c>
      <c r="BZ22" s="14">
        <f>BY22*VLOOKUP('Données projet'!$B$12,Paramètres!$A$1:$I$89,3,0)*VLOOKUP('Données projet'!$B$12,Paramètres!$A$1:$I$89,5,0)</f>
        <v>87.64672800000001</v>
      </c>
      <c r="CA22" s="14">
        <f t="shared" si="39"/>
        <v>23.996800240409819</v>
      </c>
      <c r="CB22" s="22">
        <f t="shared" si="10"/>
        <v>194.44581168538045</v>
      </c>
      <c r="CC22" s="62">
        <f t="shared" si="11"/>
        <v>474.33470057426928</v>
      </c>
      <c r="CD22" s="62">
        <f ca="1">AVERAGE(OFFSET($CC$3,0,0,'Données projet'!$E$12+1,1))-AVERAGE(OFFSET($H$3,0,0,'Données projet'!$E$12+1,1))</f>
        <v>344.45199703750711</v>
      </c>
      <c r="CE22" s="62">
        <f t="shared" si="40"/>
        <v>376.41441893222185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14</v>
      </c>
      <c r="CT22" s="13">
        <f>IF('Données projet'!$A$140&gt;35,CT21+CS22-DB21,IF(A22&lt;'Données projet'!$A$140,$CQ$205^A22,IF(A22='Données projet'!$A$140,'Données projet'!$B$140,CT21+CS22-DB21)))</f>
        <v>109</v>
      </c>
      <c r="CU22" s="18">
        <f>CT22*VLOOKUP('Données projet'!$B$13,Paramètres!$A$1:$I$89,3,0)*VLOOKUP('Données projet'!$B$13,Paramètres!$A$1:$I$89,5,0)</f>
        <v>71.416800000000009</v>
      </c>
      <c r="CV22" s="14">
        <f t="shared" si="41"/>
        <v>20.024887576480612</v>
      </c>
      <c r="CW22" s="22">
        <f t="shared" si="13"/>
        <v>159.26093919570374</v>
      </c>
      <c r="CX22" s="62">
        <f t="shared" si="14"/>
        <v>439.14982808459263</v>
      </c>
      <c r="CY22" s="62">
        <f ca="1">AVERAGE(OFFSET($CX$3,0,0,'Données projet'!$E$13+1,1))-AVERAGE(OFFSET($H$3,0,0,'Données projet'!$E$13+1,1))</f>
        <v>311.53750850588153</v>
      </c>
      <c r="CZ22" s="62">
        <f t="shared" si="42"/>
        <v>304.84379909635476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10</v>
      </c>
      <c r="DO22" s="13">
        <f>IF('Données projet'!$A$166&gt;35,DO21+DN22-DW21,IF(A22&lt;'Données projet'!$A$166,$DL$205^A22,IF(A22='Données projet'!$A$166,'Données projet'!$B$166,DO21+DN22-DW21)))</f>
        <v>89</v>
      </c>
      <c r="DP22" s="18">
        <f>DO22*VLOOKUP('Données projet'!$B$14,Paramètres!$A$1:$I$89,3,0)*VLOOKUP('Données projet'!$B$14,Paramètres!$A$1:$I$89,5,0)</f>
        <v>72.19680000000001</v>
      </c>
      <c r="DQ22" s="14">
        <f t="shared" si="43"/>
        <v>20.218015459285922</v>
      </c>
      <c r="DR22" s="22">
        <f t="shared" si="16"/>
        <v>160.95580359158967</v>
      </c>
      <c r="DS22" s="62">
        <f t="shared" si="17"/>
        <v>440.84469248047856</v>
      </c>
      <c r="DT22" s="62">
        <f ca="1">AVERAGE(OFFSET($DS$3,0,0,'Données projet'!$E$14+1,1))-AVERAGE(OFFSET($H$3,0,0,'Données projet'!$E$14+1,1))</f>
        <v>256.19915261735281</v>
      </c>
      <c r="DU22" s="62">
        <f t="shared" si="44"/>
        <v>297.47246687305056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7.4358974358974361</v>
      </c>
      <c r="EJ22" s="13">
        <f>IF('Données projet'!$A$192&gt;35,EJ21+EI22-ER21,IF(A22&lt;'Données projet'!$A$192,$EG$205^A22,IF(A22='Données projet'!$A$192,'Données projet'!$B$192,EJ21+EI22-ER21)))</f>
        <v>77.179487179487168</v>
      </c>
      <c r="EK22" s="18">
        <f>EJ22*VLOOKUP('Données projet'!$B$15,Paramètres!$A$1:$I$89,3,0)*VLOOKUP('Données projet'!$B$15,Paramètres!$A$1:$I$89,5,0)</f>
        <v>73.443999999999988</v>
      </c>
      <c r="EL22" s="14">
        <f t="shared" si="45"/>
        <v>20.526318854777685</v>
      </c>
      <c r="EM22" s="22">
        <f t="shared" si="19"/>
        <v>163.66497200540442</v>
      </c>
      <c r="EN22" s="62">
        <f t="shared" si="20"/>
        <v>443.55386089429328</v>
      </c>
      <c r="EO22" s="62">
        <f ca="1">AVERAGE(OFFSET($EN$3,0,0,'Données projet'!$E$15+1,1))-AVERAGE(OFFSET($H$3,0,0,'Données projet'!$E$15+1,1))</f>
        <v>406.24139966722936</v>
      </c>
      <c r="EP22" s="62">
        <f t="shared" si="46"/>
        <v>295.95724296920577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9.6</v>
      </c>
      <c r="FE22" s="13">
        <f>IF('Données projet'!$A$218&gt;35,FE21+FD22-FM21,IF(A22&lt;'Données projet'!$A$218,$FB$205^A22,IF(A22='Données projet'!$A$218,'Données projet'!$B$218,FE21+FD22-FM21)))</f>
        <v>78.399999999999991</v>
      </c>
      <c r="FF22" s="18">
        <f>FE22*VLOOKUP('Données projet'!$B$16,Paramètres!$A$1:$I$89,3,0)*VLOOKUP('Données projet'!$B$16,Paramètres!$A$1:$I$89,5,0)</f>
        <v>61.151999999999994</v>
      </c>
      <c r="FG22" s="14">
        <f t="shared" si="47"/>
        <v>17.459207591071255</v>
      </c>
      <c r="FH22" s="22">
        <f t="shared" si="22"/>
        <v>136.9145198877824</v>
      </c>
      <c r="FI22" s="62">
        <f t="shared" si="23"/>
        <v>416.80340877667129</v>
      </c>
      <c r="FJ22" s="62">
        <f ca="1">AVERAGE(OFFSET($FI$3,0,0,'Données projet'!$E$16+1,1))-AVERAGE(OFFSET($H$3,0,0,'Données projet'!$E$16+1,1))</f>
        <v>292.57482726862594</v>
      </c>
      <c r="FK22" s="62">
        <f t="shared" si="48"/>
        <v>283.48738729114024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3.65</v>
      </c>
      <c r="FZ22" s="13">
        <f>IF('Données projet'!$A$244&gt;35,FZ21+FY22-GH21,IF(A22&lt;'Données projet'!$A$244,$FW$205^A22,IF(A22='Données projet'!$A$244,'Données projet'!$B$244,FZ21+FY22-GH21)))</f>
        <v>58.90561805764559</v>
      </c>
      <c r="GA22" s="18">
        <f>FZ22*VLOOKUP('Données projet'!$B$17,Paramètres!$A$1:$I$89,3,0)*VLOOKUP('Données projet'!$B$17,Paramètres!$A$1:$I$89,5,0)</f>
        <v>56.973513785354818</v>
      </c>
      <c r="GB22" s="14">
        <f t="shared" si="49"/>
        <v>16.400788649238766</v>
      </c>
      <c r="GC22" s="22">
        <f t="shared" si="25"/>
        <v>127.7935767402505</v>
      </c>
      <c r="GD22" s="62">
        <f t="shared" si="26"/>
        <v>407.68246562913936</v>
      </c>
      <c r="GE22" s="62">
        <f ca="1">AVERAGE(OFFSET($GD$3,0,0,'Données projet'!$E$17+1,1))-AVERAGE(OFFSET($H$3,0,0,'Données projet'!$E$17+1,1))</f>
        <v>562.69380557620775</v>
      </c>
      <c r="GF22" s="62">
        <f t="shared" si="50"/>
        <v>294.45557293177131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529.25712986118265</v>
      </c>
      <c r="T23" s="62">
        <f t="shared" si="34"/>
        <v>278.21741231699929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0.76190476190476186</v>
      </c>
      <c r="AI23" s="14">
        <f>IF('Données projet'!$A$62&gt;35,AI22+AH23-AQ22,IF(A23&lt;'Données projet'!$A$62,$AF$205^A23,IF(A23='Données projet'!$A$62,'Données projet'!$B$62,AI22+AH23-AQ22)))</f>
        <v>14.021062843782959</v>
      </c>
      <c r="AJ23" s="14">
        <f>AI23*VLOOKUP('Données projet'!$B$10,Paramètres!$A$1:$I$89,3,0)*VLOOKUP('Données projet'!$B$10,Paramètres!$A$1:$I$89,5,0)</f>
        <v>12.03007191996578</v>
      </c>
      <c r="AK23" s="14">
        <f t="shared" si="35"/>
        <v>4.1502768446876859</v>
      </c>
      <c r="AL23" s="22">
        <f t="shared" si="4"/>
        <v>28.180774098438121</v>
      </c>
      <c r="AM23" s="62">
        <f t="shared" si="5"/>
        <v>309.29188520954926</v>
      </c>
      <c r="AN23" s="62">
        <f ca="1">AVERAGE(OFFSET($AM$3,0,0,'Données projet'!$E$10+1,1))-AVERAGE(OFFSET($H$3,0,0,'Données projet'!$E$10+1,1))</f>
        <v>446.86777652265448</v>
      </c>
      <c r="AO23" s="62">
        <f t="shared" si="36"/>
        <v>230.82970731138215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133.30000000000001</v>
      </c>
      <c r="BB23" s="13">
        <f>VLOOKUP(A23,'Données projet'!$A$87:$I$107,9,0)</f>
        <v>13.760000000000002</v>
      </c>
      <c r="BC23" s="13">
        <f t="array" ref="BC23">INDEX(BB:BB,MIN(IF(ISNUMBER(BB23:BB219),ROW(BB23:BB219),"")))</f>
        <v>13.760000000000002</v>
      </c>
      <c r="BD23" s="13">
        <f>IF('Données projet'!$A$88&gt;35,BD22+BC23-BL22,IF(A23&lt;'Données projet'!$A$88,$BA$205^A23,IF(A23='Données projet'!$A$88,'Données projet'!$B$88,BD22+BC23-BL22)))</f>
        <v>133.30000000000001</v>
      </c>
      <c r="BE23" s="14">
        <f>BD23*VLOOKUP('Données projet'!$B$11,Paramètres!$A$1:$I$89,3,0)*VLOOKUP('Données projet'!$B$11,Paramètres!$A$1:$I$89,5,0)</f>
        <v>106.05348000000001</v>
      </c>
      <c r="BF23" s="14">
        <f t="shared" si="37"/>
        <v>28.39918570347135</v>
      </c>
      <c r="BG23" s="22">
        <f t="shared" si="7"/>
        <v>234.1717261002126</v>
      </c>
      <c r="BH23" s="62">
        <f t="shared" si="8"/>
        <v>515.28283721132379</v>
      </c>
      <c r="BI23" s="62">
        <f ca="1">AVERAGE(OFFSET($BH$3,0,0,'Données projet'!$E$11+1,1))-AVERAGE(OFFSET($H$3,0,0,'Données projet'!$E$11+1,1))</f>
        <v>370.59298168107364</v>
      </c>
      <c r="BJ23" s="62">
        <f t="shared" si="38"/>
        <v>404.61777090709171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66.5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133.30000000000001</v>
      </c>
      <c r="BW23" s="13">
        <f>VLOOKUP(A23,'Données projet'!$A$113:$I$133,9,0)</f>
        <v>13.760000000000002</v>
      </c>
      <c r="BX23" s="13">
        <f t="array" ref="BX23">INDEX(BW:BW,MIN(IF(ISNUMBER(BW23:BW219),ROW(BW23:BW219),"")))</f>
        <v>13.760000000000002</v>
      </c>
      <c r="BY23" s="13">
        <f>IF('Données projet'!$A$114&gt;35,BY22+BX23-CG22,IF(A23&lt;'Données projet'!$A$114,$BV$205^A23,IF(A23='Données projet'!$A$114,'Données projet'!$B$114,BY22+BX23-CG22)))</f>
        <v>133.30000000000001</v>
      </c>
      <c r="BZ23" s="14">
        <f>BY23*VLOOKUP('Données projet'!$B$12,Paramètres!$A$1:$I$89,3,0)*VLOOKUP('Données projet'!$B$12,Paramètres!$A$1:$I$89,5,0)</f>
        <v>97.735560000000007</v>
      </c>
      <c r="CA23" s="14">
        <f t="shared" si="39"/>
        <v>26.421808908404628</v>
      </c>
      <c r="CB23" s="22">
        <f t="shared" si="10"/>
        <v>216.24075084880474</v>
      </c>
      <c r="CC23" s="62">
        <f t="shared" si="11"/>
        <v>497.35186195991588</v>
      </c>
      <c r="CD23" s="62">
        <f ca="1">AVERAGE(OFFSET($CC$3,0,0,'Données projet'!$E$12+1,1))-AVERAGE(OFFSET($H$3,0,0,'Données projet'!$E$12+1,1))</f>
        <v>344.45199703750711</v>
      </c>
      <c r="CE23" s="62">
        <f t="shared" si="40"/>
        <v>376.41441893222185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66.5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123</v>
      </c>
      <c r="CR23" s="13">
        <f>VLOOKUP(A23,'Données projet'!$A$139:$I$159,9,0)</f>
        <v>14</v>
      </c>
      <c r="CS23" s="13">
        <f t="array" ref="CS23">INDEX(CR:CR,MIN(IF(ISNUMBER(CR23:CR219),ROW(CR23:CR219),"")))</f>
        <v>14</v>
      </c>
      <c r="CT23" s="13">
        <f>IF('Données projet'!$A$140&gt;35,CT22+CS23-DB22,IF(A23&lt;'Données projet'!$A$140,$CQ$205^A23,IF(A23='Données projet'!$A$140,'Données projet'!$B$140,CT22+CS23-DB22)))</f>
        <v>123</v>
      </c>
      <c r="CU23" s="18">
        <f>CT23*VLOOKUP('Données projet'!$B$13,Paramètres!$A$1:$I$89,3,0)*VLOOKUP('Données projet'!$B$13,Paramètres!$A$1:$I$89,5,0)</f>
        <v>80.589600000000004</v>
      </c>
      <c r="CV23" s="14">
        <f t="shared" si="41"/>
        <v>22.281282727508763</v>
      </c>
      <c r="CW23" s="22">
        <f t="shared" si="13"/>
        <v>179.16678741707778</v>
      </c>
      <c r="CX23" s="62">
        <f t="shared" si="14"/>
        <v>460.27789852818893</v>
      </c>
      <c r="CY23" s="62">
        <f ca="1">AVERAGE(OFFSET($CX$3,0,0,'Données projet'!$E$13+1,1))-AVERAGE(OFFSET($H$3,0,0,'Données projet'!$E$13+1,1))</f>
        <v>311.53750850588153</v>
      </c>
      <c r="CZ23" s="62">
        <f t="shared" si="42"/>
        <v>304.84379909635476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99</v>
      </c>
      <c r="DM23" s="13">
        <f>VLOOKUP(A23,'Données projet'!$A$165:$I$185,9,0)</f>
        <v>10</v>
      </c>
      <c r="DN23" s="13">
        <f t="array" ref="DN23">INDEX(DM:DM,MIN(IF(ISNUMBER(DM23:DM219),ROW(DM23:DM219),"")))</f>
        <v>10</v>
      </c>
      <c r="DO23" s="13">
        <f>IF('Données projet'!$A$166&gt;35,DO22+DN23-DW22,IF(A23&lt;'Données projet'!$A$166,$DL$205^A23,IF(A23='Données projet'!$A$166,'Données projet'!$B$166,DO22+DN23-DW22)))</f>
        <v>99</v>
      </c>
      <c r="DP23" s="18">
        <f>DO23*VLOOKUP('Données projet'!$B$14,Paramètres!$A$1:$I$89,3,0)*VLOOKUP('Données projet'!$B$14,Paramètres!$A$1:$I$89,5,0)</f>
        <v>80.308800000000005</v>
      </c>
      <c r="DQ23" s="14">
        <f t="shared" si="43"/>
        <v>22.212670396389218</v>
      </c>
      <c r="DR23" s="22">
        <f t="shared" si="16"/>
        <v>178.55822760704453</v>
      </c>
      <c r="DS23" s="62">
        <f t="shared" si="17"/>
        <v>459.6693387181557</v>
      </c>
      <c r="DT23" s="62">
        <f ca="1">AVERAGE(OFFSET($DS$3,0,0,'Données projet'!$E$14+1,1))-AVERAGE(OFFSET($H$3,0,0,'Données projet'!$E$14+1,1))</f>
        <v>256.19915261735281</v>
      </c>
      <c r="DU23" s="62">
        <f t="shared" si="44"/>
        <v>297.47246687305056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40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84.615384615384613</v>
      </c>
      <c r="EH23" s="13">
        <f>VLOOKUP(A23,'Données projet'!$A$191:$I$211,9,0)</f>
        <v>7.4358974358974361</v>
      </c>
      <c r="EI23" s="13">
        <f t="array" ref="EI23">INDEX(EH:EH,MIN(IF(ISNUMBER(EH23:EH219),ROW(EH23:EH219),"")))</f>
        <v>7.4358974358974361</v>
      </c>
      <c r="EJ23" s="13">
        <f>IF('Données projet'!$A$192&gt;35,EJ22+EI23-ER22,IF(A23&lt;'Données projet'!$A$192,$EG$205^A23,IF(A23='Données projet'!$A$192,'Données projet'!$B$192,EJ22+EI23-ER22)))</f>
        <v>84.615384615384599</v>
      </c>
      <c r="EK23" s="18">
        <f>EJ23*VLOOKUP('Données projet'!$B$15,Paramètres!$A$1:$I$89,3,0)*VLOOKUP('Données projet'!$B$15,Paramètres!$A$1:$I$89,5,0)</f>
        <v>80.519999999999982</v>
      </c>
      <c r="EL23" s="14">
        <f t="shared" si="45"/>
        <v>22.264278849845564</v>
      </c>
      <c r="EM23" s="22">
        <f t="shared" si="19"/>
        <v>179.01595233014768</v>
      </c>
      <c r="EN23" s="62">
        <f t="shared" si="20"/>
        <v>460.12706344125883</v>
      </c>
      <c r="EO23" s="62">
        <f ca="1">AVERAGE(OFFSET($EN$3,0,0,'Données projet'!$E$15+1,1))-AVERAGE(OFFSET($H$3,0,0,'Données projet'!$E$15+1,1))</f>
        <v>406.24139966722936</v>
      </c>
      <c r="EP23" s="62">
        <f t="shared" si="46"/>
        <v>295.95724296920577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88</v>
      </c>
      <c r="FC23" s="13">
        <f>VLOOKUP(A23,'Données projet'!$A$217:$I$237,9,0)</f>
        <v>9.6</v>
      </c>
      <c r="FD23" s="13">
        <f t="array" ref="FD23">INDEX(FC:FC,MIN(IF(ISNUMBER(FC23:FC219),ROW(FC23:FC219),"")))</f>
        <v>9.6</v>
      </c>
      <c r="FE23" s="13">
        <f>IF('Données projet'!$A$218&gt;35,FE22+FD23-FM22,IF(A23&lt;'Données projet'!$A$218,$FB$205^A23,IF(A23='Données projet'!$A$218,'Données projet'!$B$218,FE22+FD23-FM22)))</f>
        <v>87.999999999999986</v>
      </c>
      <c r="FF23" s="18">
        <f>FE23*VLOOKUP('Données projet'!$B$16,Paramètres!$A$1:$I$89,3,0)*VLOOKUP('Données projet'!$B$16,Paramètres!$A$1:$I$89,5,0)</f>
        <v>68.639999999999986</v>
      </c>
      <c r="FG23" s="14">
        <f t="shared" si="47"/>
        <v>19.335336956640202</v>
      </c>
      <c r="FH23" s="22">
        <f t="shared" si="22"/>
        <v>153.22371186614834</v>
      </c>
      <c r="FI23" s="62">
        <f t="shared" si="23"/>
        <v>434.33482297725948</v>
      </c>
      <c r="FJ23" s="62">
        <f ca="1">AVERAGE(OFFSET($FI$3,0,0,'Données projet'!$E$16+1,1))-AVERAGE(OFFSET($H$3,0,0,'Données projet'!$E$16+1,1))</f>
        <v>292.57482726862594</v>
      </c>
      <c r="FK23" s="62">
        <f t="shared" si="48"/>
        <v>283.48738729114024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73</v>
      </c>
      <c r="FX23" s="13">
        <f>VLOOKUP(A23,'Données projet'!$A$243:$I$263,9,0)</f>
        <v>3.65</v>
      </c>
      <c r="FY23" s="13">
        <f t="array" ref="FY23">INDEX(FX:FX,MIN(IF(ISNUMBER(FX23:FX219),ROW(FX23:FX219),"")))</f>
        <v>3.65</v>
      </c>
      <c r="FZ23" s="13">
        <f>IF('Données projet'!$A$244&gt;35,FZ22+FY23-GH22,IF(A23&lt;'Données projet'!$A$244,$FW$205^A23,IF(A23='Données projet'!$A$244,'Données projet'!$B$244,FZ22+FY23-GH22)))</f>
        <v>73</v>
      </c>
      <c r="GA23" s="18">
        <f>FZ23*VLOOKUP('Données projet'!$B$17,Paramètres!$A$1:$I$89,3,0)*VLOOKUP('Données projet'!$B$17,Paramètres!$A$1:$I$89,5,0)</f>
        <v>70.605599999999995</v>
      </c>
      <c r="GB23" s="14">
        <f t="shared" si="49"/>
        <v>19.823773913828742</v>
      </c>
      <c r="GC23" s="22">
        <f t="shared" si="25"/>
        <v>157.49782623325171</v>
      </c>
      <c r="GD23" s="62">
        <f t="shared" si="26"/>
        <v>438.60893734436286</v>
      </c>
      <c r="GE23" s="62">
        <f ca="1">AVERAGE(OFFSET($GD$3,0,0,'Données projet'!$E$17+1,1))-AVERAGE(OFFSET($H$3,0,0,'Données projet'!$E$17+1,1))</f>
        <v>562.69380557620775</v>
      </c>
      <c r="GF23" s="62">
        <f t="shared" si="50"/>
        <v>294.45557293177131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80.2</v>
      </c>
      <c r="O24" s="14">
        <f>N24*VLOOKUP('Données projet'!$B$9,Paramètres!$A$1:$I$89,3,0)*VLOOKUP('Données projet'!$B$9,Paramètres!$A$1:$I$89,5,0)</f>
        <v>72.564959999999999</v>
      </c>
      <c r="P24" s="14">
        <f t="shared" si="33"/>
        <v>20.30908732150932</v>
      </c>
      <c r="Q24" s="22">
        <f t="shared" si="2"/>
        <v>161.75563241829539</v>
      </c>
      <c r="R24" s="62">
        <f t="shared" si="0"/>
        <v>444.08896575162873</v>
      </c>
      <c r="S24" s="62">
        <f ca="1">AVERAGE(OFFSET($R$3,0,0,'Données projet'!$E$9+1,1))-AVERAGE(OFFSET($H$3,0,0,'Données projet'!$E$9+1,1))</f>
        <v>529.25712986118265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16</v>
      </c>
      <c r="AG24" s="13">
        <f>VLOOKUP(A24,'Données projet'!$A$61:$I$81,9,0)</f>
        <v>0.76190476190476186</v>
      </c>
      <c r="AH24" s="13">
        <f t="array" ref="AH24">INDEX(AG:AG,MIN(IF(ISNUMBER(AG24:AG220),ROW(AG24:AG220),"")))</f>
        <v>0.76190476190476186</v>
      </c>
      <c r="AI24" s="14">
        <f>IF('Données projet'!$A$62&gt;35,AI23+AH24-AQ23,IF(A24&lt;'Données projet'!$A$62,$AF$205^A24,IF(A24='Données projet'!$A$62,'Données projet'!$B$62,AI23+AH24-AQ23)))</f>
        <v>16</v>
      </c>
      <c r="AJ24" s="14">
        <f>AI24*VLOOKUP('Données projet'!$B$10,Paramètres!$A$1:$I$89,3,0)*VLOOKUP('Données projet'!$B$10,Paramètres!$A$1:$I$89,5,0)</f>
        <v>13.728000000000002</v>
      </c>
      <c r="AK24" s="14">
        <f t="shared" si="35"/>
        <v>4.6638207366437312</v>
      </c>
      <c r="AL24" s="22">
        <f t="shared" si="4"/>
        <v>32.032421116321167</v>
      </c>
      <c r="AM24" s="62">
        <f t="shared" si="5"/>
        <v>314.3657544496545</v>
      </c>
      <c r="AN24" s="62">
        <f ca="1">AVERAGE(OFFSET($AM$3,0,0,'Données projet'!$E$10+1,1))-AVERAGE(OFFSET($H$3,0,0,'Données projet'!$E$10+1,1))</f>
        <v>446.86777652265448</v>
      </c>
      <c r="AO24" s="62">
        <f t="shared" si="36"/>
        <v>230.82970731138215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14.739999999999998</v>
      </c>
      <c r="BD24" s="13">
        <f>IF('Données projet'!$A$88&gt;35,BD23+BC24-BL23,IF(A24&lt;'Données projet'!$A$88,$BA$205^A24,IF(A24='Données projet'!$A$88,'Données projet'!$B$88,BD23+BC24-BL23)))</f>
        <v>81.54000000000002</v>
      </c>
      <c r="BE24" s="14">
        <f>BD24*VLOOKUP('Données projet'!$B$11,Paramètres!$A$1:$I$89,3,0)*VLOOKUP('Données projet'!$B$11,Paramètres!$A$1:$I$89,5,0)</f>
        <v>64.873224000000022</v>
      </c>
      <c r="BF24" s="14">
        <f t="shared" si="37"/>
        <v>18.39471758117234</v>
      </c>
      <c r="BG24" s="22">
        <f t="shared" si="7"/>
        <v>145.0249982538752</v>
      </c>
      <c r="BH24" s="62">
        <f t="shared" si="8"/>
        <v>427.35833158720851</v>
      </c>
      <c r="BI24" s="62">
        <f ca="1">AVERAGE(OFFSET($BH$3,0,0,'Données projet'!$E$11+1,1))-AVERAGE(OFFSET($H$3,0,0,'Données projet'!$E$11+1,1))</f>
        <v>370.59298168107364</v>
      </c>
      <c r="BJ24" s="62">
        <f t="shared" si="38"/>
        <v>404.61777090709171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14.739999999999998</v>
      </c>
      <c r="BY24" s="13">
        <f>IF('Données projet'!$A$114&gt;35,BY23+BX24-CG23,IF(A24&lt;'Données projet'!$A$114,$BV$205^A24,IF(A24='Données projet'!$A$114,'Données projet'!$B$114,BY23+BX24-CG23)))</f>
        <v>81.54000000000002</v>
      </c>
      <c r="BZ24" s="14">
        <f>BY24*VLOOKUP('Données projet'!$B$12,Paramètres!$A$1:$I$89,3,0)*VLOOKUP('Données projet'!$B$12,Paramètres!$A$1:$I$89,5,0)</f>
        <v>59.785128000000007</v>
      </c>
      <c r="CA24" s="14">
        <f t="shared" si="39"/>
        <v>17.113931291149598</v>
      </c>
      <c r="CB24" s="22">
        <f t="shared" si="10"/>
        <v>133.93252826541888</v>
      </c>
      <c r="CC24" s="62">
        <f t="shared" si="11"/>
        <v>416.26586159875217</v>
      </c>
      <c r="CD24" s="62">
        <f ca="1">AVERAGE(OFFSET($CC$3,0,0,'Données projet'!$E$12+1,1))-AVERAGE(OFFSET($H$3,0,0,'Données projet'!$E$12+1,1))</f>
        <v>344.45199703750711</v>
      </c>
      <c r="CE24" s="62">
        <f t="shared" si="40"/>
        <v>376.41441893222185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11</v>
      </c>
      <c r="CT24" s="13">
        <f>IF('Données projet'!$A$140&gt;35,CT23+CS24-DB23,IF(A24&lt;'Données projet'!$A$140,$CQ$205^A24,IF(A24='Données projet'!$A$140,'Données projet'!$B$140,CT23+CS24-DB23)))</f>
        <v>134</v>
      </c>
      <c r="CU24" s="18">
        <f>CT24*VLOOKUP('Données projet'!$B$13,Paramètres!$A$1:$I$89,3,0)*VLOOKUP('Données projet'!$B$13,Paramètres!$A$1:$I$89,5,0)</f>
        <v>87.796800000000005</v>
      </c>
      <c r="CV24" s="14">
        <f t="shared" si="41"/>
        <v>24.033102173590827</v>
      </c>
      <c r="CW24" s="22">
        <f t="shared" si="13"/>
        <v>194.77041295233732</v>
      </c>
      <c r="CX24" s="62">
        <f t="shared" si="14"/>
        <v>477.10374628567064</v>
      </c>
      <c r="CY24" s="62">
        <f ca="1">AVERAGE(OFFSET($CX$3,0,0,'Données projet'!$E$13+1,1))-AVERAGE(OFFSET($H$3,0,0,'Données projet'!$E$13+1,1))</f>
        <v>311.53750850588153</v>
      </c>
      <c r="CZ24" s="62">
        <f t="shared" si="42"/>
        <v>304.84379909635476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8.6</v>
      </c>
      <c r="DO24" s="13">
        <f>IF('Données projet'!$A$166&gt;35,DO23+DN24-DW23,IF(A24&lt;'Données projet'!$A$166,$DL$205^A24,IF(A24='Données projet'!$A$166,'Données projet'!$B$166,DO23+DN24-DW23)))</f>
        <v>67.599999999999994</v>
      </c>
      <c r="DP24" s="18">
        <f>DO24*VLOOKUP('Données projet'!$B$14,Paramètres!$A$1:$I$89,3,0)*VLOOKUP('Données projet'!$B$14,Paramètres!$A$1:$I$89,5,0)</f>
        <v>54.837120000000006</v>
      </c>
      <c r="DQ24" s="14">
        <f t="shared" si="43"/>
        <v>15.856174437579886</v>
      </c>
      <c r="DR24" s="22">
        <f t="shared" si="16"/>
        <v>123.12415447878497</v>
      </c>
      <c r="DS24" s="62">
        <f t="shared" si="17"/>
        <v>405.4574878121183</v>
      </c>
      <c r="DT24" s="62">
        <f ca="1">AVERAGE(OFFSET($DS$3,0,0,'Données projet'!$E$14+1,1))-AVERAGE(OFFSET($H$3,0,0,'Données projet'!$E$14+1,1))</f>
        <v>256.19915261735281</v>
      </c>
      <c r="DU24" s="62">
        <f t="shared" si="44"/>
        <v>297.47246687305056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7.5641025641025639</v>
      </c>
      <c r="EJ24" s="13">
        <f>IF('Données projet'!$A$192&gt;35,EJ23+EI24-ER23,IF(A24&lt;'Données projet'!$A$192,$EG$205^A24,IF(A24='Données projet'!$A$192,'Données projet'!$B$192,EJ23+EI24-ER23)))</f>
        <v>92.179487179487168</v>
      </c>
      <c r="EK24" s="18">
        <f>EJ24*VLOOKUP('Données projet'!$B$15,Paramètres!$A$1:$I$89,3,0)*VLOOKUP('Données projet'!$B$15,Paramètres!$A$1:$I$89,5,0)</f>
        <v>87.717999999999989</v>
      </c>
      <c r="EL24" s="14">
        <f t="shared" si="45"/>
        <v>24.014041608889237</v>
      </c>
      <c r="EM24" s="22">
        <f t="shared" si="19"/>
        <v>194.59997246881539</v>
      </c>
      <c r="EN24" s="62">
        <f t="shared" si="20"/>
        <v>476.93330580214871</v>
      </c>
      <c r="EO24" s="62">
        <f ca="1">AVERAGE(OFFSET($EN$3,0,0,'Données projet'!$E$15+1,1))-AVERAGE(OFFSET($H$3,0,0,'Données projet'!$E$15+1,1))</f>
        <v>406.24139966722936</v>
      </c>
      <c r="EP24" s="62">
        <f t="shared" si="46"/>
        <v>295.95724296920577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10.6</v>
      </c>
      <c r="FE24" s="13">
        <f>IF('Données projet'!$A$218&gt;35,FE23+FD24-FM23,IF(A24&lt;'Données projet'!$A$218,$FB$205^A24,IF(A24='Données projet'!$A$218,'Données projet'!$B$218,FE23+FD24-FM23)))</f>
        <v>98.59999999999998</v>
      </c>
      <c r="FF24" s="18">
        <f>FE24*VLOOKUP('Données projet'!$B$16,Paramètres!$A$1:$I$89,3,0)*VLOOKUP('Données projet'!$B$16,Paramètres!$A$1:$I$89,5,0)</f>
        <v>76.907999999999987</v>
      </c>
      <c r="FG24" s="14">
        <f t="shared" si="47"/>
        <v>21.379448490435635</v>
      </c>
      <c r="FH24" s="22">
        <f t="shared" si="22"/>
        <v>171.18397278750868</v>
      </c>
      <c r="FI24" s="62">
        <f t="shared" si="23"/>
        <v>453.51730612084202</v>
      </c>
      <c r="FJ24" s="62">
        <f ca="1">AVERAGE(OFFSET($FI$3,0,0,'Données projet'!$E$16+1,1))-AVERAGE(OFFSET($H$3,0,0,'Données projet'!$E$16+1,1))</f>
        <v>292.57482726862594</v>
      </c>
      <c r="FK24" s="62">
        <f t="shared" si="48"/>
        <v>283.48738729114024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7.2</v>
      </c>
      <c r="FZ24" s="13">
        <f>IF('Données projet'!$A$244&gt;35,FZ23+FY24-GH23,IF(A24&lt;'Données projet'!$A$244,$FW$205^A24,IF(A24='Données projet'!$A$244,'Données projet'!$B$244,FZ23+FY24-GH23)))</f>
        <v>80.2</v>
      </c>
      <c r="GA24" s="18">
        <f>FZ24*VLOOKUP('Données projet'!$B$17,Paramètres!$A$1:$I$89,3,0)*VLOOKUP('Données projet'!$B$17,Paramètres!$A$1:$I$89,5,0)</f>
        <v>77.569440000000014</v>
      </c>
      <c r="GB24" s="14">
        <f t="shared" si="49"/>
        <v>21.541836664136856</v>
      </c>
      <c r="GC24" s="22">
        <f t="shared" si="25"/>
        <v>172.61880685670505</v>
      </c>
      <c r="GD24" s="62">
        <f t="shared" si="26"/>
        <v>454.95214019003834</v>
      </c>
      <c r="GE24" s="62">
        <f ca="1">AVERAGE(OFFSET($GD$3,0,0,'Données projet'!$E$17+1,1))-AVERAGE(OFFSET($H$3,0,0,'Données projet'!$E$17+1,1))</f>
        <v>562.69380557620775</v>
      </c>
      <c r="GF24" s="62">
        <f t="shared" si="50"/>
        <v>294.45557293177131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87.4</v>
      </c>
      <c r="O25" s="14">
        <f>N25*VLOOKUP('Données projet'!$B$9,Paramètres!$A$1:$I$89,3,0)*VLOOKUP('Données projet'!$B$9,Paramètres!$A$1:$I$89,5,0)</f>
        <v>79.079520000000002</v>
      </c>
      <c r="P25" s="14">
        <f t="shared" si="33"/>
        <v>21.911970621402002</v>
      </c>
      <c r="Q25" s="22">
        <f t="shared" si="2"/>
        <v>175.89351283227515</v>
      </c>
      <c r="R25" s="62">
        <f t="shared" si="0"/>
        <v>459.44906838783072</v>
      </c>
      <c r="S25" s="62">
        <f ca="1">AVERAGE(OFFSET($R$3,0,0,'Données projet'!$E$9+1,1))-AVERAGE(OFFSET($H$3,0,0,'Données projet'!$E$9+1,1))</f>
        <v>529.25712986118265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10.166666666666666</v>
      </c>
      <c r="AI25" s="14">
        <f>IF('Données projet'!$A$62&gt;35,AI24+AH25-AQ24,IF(A25&lt;'Données projet'!$A$62,$AF$205^A25,IF(A25='Données projet'!$A$62,'Données projet'!$B$62,AI24+AH25-AQ24)))</f>
        <v>26.166666666666664</v>
      </c>
      <c r="AJ25" s="14">
        <f>AI25*VLOOKUP('Données projet'!$B$10,Paramètres!$A$1:$I$89,3,0)*VLOOKUP('Données projet'!$B$10,Paramètres!$A$1:$I$89,5,0)</f>
        <v>22.451000000000001</v>
      </c>
      <c r="AK25" s="14">
        <f t="shared" si="35"/>
        <v>7.2028425332472539</v>
      </c>
      <c r="AL25" s="22">
        <f t="shared" si="4"/>
        <v>51.647109078738964</v>
      </c>
      <c r="AM25" s="62">
        <f t="shared" si="5"/>
        <v>335.20266463429448</v>
      </c>
      <c r="AN25" s="62">
        <f ca="1">AVERAGE(OFFSET($AM$3,0,0,'Données projet'!$E$10+1,1))-AVERAGE(OFFSET($H$3,0,0,'Données projet'!$E$10+1,1))</f>
        <v>446.86777652265448</v>
      </c>
      <c r="AO25" s="62">
        <f t="shared" si="36"/>
        <v>230.82970731138215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14.739999999999998</v>
      </c>
      <c r="BD25" s="13">
        <f>IF('Données projet'!$A$88&gt;35,BD24+BC25-BL24,IF(A25&lt;'Données projet'!$A$88,$BA$205^A25,IF(A25='Données projet'!$A$88,'Données projet'!$B$88,BD24+BC25-BL24)))</f>
        <v>96.280000000000015</v>
      </c>
      <c r="BE25" s="14">
        <f>BD25*VLOOKUP('Données projet'!$B$11,Paramètres!$A$1:$I$89,3,0)*VLOOKUP('Données projet'!$B$11,Paramètres!$A$1:$I$89,5,0)</f>
        <v>76.600368000000017</v>
      </c>
      <c r="BF25" s="14">
        <f t="shared" si="37"/>
        <v>21.30386735026233</v>
      </c>
      <c r="BG25" s="22">
        <f t="shared" si="7"/>
        <v>170.51654323504027</v>
      </c>
      <c r="BH25" s="62">
        <f t="shared" si="8"/>
        <v>454.07209879059582</v>
      </c>
      <c r="BI25" s="62">
        <f ca="1">AVERAGE(OFFSET($BH$3,0,0,'Données projet'!$E$11+1,1))-AVERAGE(OFFSET($H$3,0,0,'Données projet'!$E$11+1,1))</f>
        <v>370.59298168107364</v>
      </c>
      <c r="BJ25" s="62">
        <f t="shared" si="38"/>
        <v>404.61777090709171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14.739999999999998</v>
      </c>
      <c r="BY25" s="13">
        <f>IF('Données projet'!$A$114&gt;35,BY24+BX25-CG24,IF(A25&lt;'Données projet'!$A$114,$BV$205^A25,IF(A25='Données projet'!$A$114,'Données projet'!$B$114,BY24+BX25-CG24)))</f>
        <v>96.280000000000015</v>
      </c>
      <c r="BZ25" s="14">
        <f>BY25*VLOOKUP('Données projet'!$B$12,Paramètres!$A$1:$I$89,3,0)*VLOOKUP('Données projet'!$B$12,Paramètres!$A$1:$I$89,5,0)</f>
        <v>70.592496000000011</v>
      </c>
      <c r="CA25" s="14">
        <f t="shared" si="39"/>
        <v>19.82052295498838</v>
      </c>
      <c r="CB25" s="22">
        <f t="shared" si="10"/>
        <v>157.46934134660478</v>
      </c>
      <c r="CC25" s="62">
        <f t="shared" si="11"/>
        <v>441.02489690216032</v>
      </c>
      <c r="CD25" s="62">
        <f ca="1">AVERAGE(OFFSET($CC$3,0,0,'Données projet'!$E$12+1,1))-AVERAGE(OFFSET($H$3,0,0,'Données projet'!$E$12+1,1))</f>
        <v>344.45199703750711</v>
      </c>
      <c r="CE25" s="62">
        <f t="shared" si="40"/>
        <v>376.41441893222185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11</v>
      </c>
      <c r="CT25" s="13">
        <f>IF('Données projet'!$A$140&gt;35,CT24+CS25-DB24,IF(A25&lt;'Données projet'!$A$140,$CQ$205^A25,IF(A25='Données projet'!$A$140,'Données projet'!$B$140,CT24+CS25-DB24)))</f>
        <v>145</v>
      </c>
      <c r="CU25" s="18">
        <f>CT25*VLOOKUP('Données projet'!$B$13,Paramètres!$A$1:$I$89,3,0)*VLOOKUP('Données projet'!$B$13,Paramètres!$A$1:$I$89,5,0)</f>
        <v>95.004000000000005</v>
      </c>
      <c r="CV25" s="14">
        <f t="shared" si="41"/>
        <v>25.768242550600785</v>
      </c>
      <c r="CW25" s="22">
        <f t="shared" si="13"/>
        <v>210.34498910896306</v>
      </c>
      <c r="CX25" s="62">
        <f t="shared" si="14"/>
        <v>493.90054466451863</v>
      </c>
      <c r="CY25" s="62">
        <f ca="1">AVERAGE(OFFSET($CX$3,0,0,'Données projet'!$E$13+1,1))-AVERAGE(OFFSET($H$3,0,0,'Données projet'!$E$13+1,1))</f>
        <v>311.53750850588153</v>
      </c>
      <c r="CZ25" s="62">
        <f t="shared" si="42"/>
        <v>304.84379909635476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8.6</v>
      </c>
      <c r="DO25" s="13">
        <f>IF('Données projet'!$A$166&gt;35,DO24+DN25-DW24,IF(A25&lt;'Données projet'!$A$166,$DL$205^A25,IF(A25='Données projet'!$A$166,'Données projet'!$B$166,DO24+DN25-DW24)))</f>
        <v>76.199999999999989</v>
      </c>
      <c r="DP25" s="18">
        <f>DO25*VLOOKUP('Données projet'!$B$14,Paramètres!$A$1:$I$89,3,0)*VLOOKUP('Données projet'!$B$14,Paramètres!$A$1:$I$89,5,0)</f>
        <v>61.813439999999993</v>
      </c>
      <c r="DQ25" s="14">
        <f t="shared" si="43"/>
        <v>17.625965961121132</v>
      </c>
      <c r="DR25" s="22">
        <f t="shared" si="16"/>
        <v>138.35696538228595</v>
      </c>
      <c r="DS25" s="62">
        <f t="shared" si="17"/>
        <v>421.91252093784146</v>
      </c>
      <c r="DT25" s="62">
        <f ca="1">AVERAGE(OFFSET($DS$3,0,0,'Données projet'!$E$14+1,1))-AVERAGE(OFFSET($H$3,0,0,'Données projet'!$E$14+1,1))</f>
        <v>256.19915261735281</v>
      </c>
      <c r="DU25" s="62">
        <f t="shared" si="44"/>
        <v>297.47246687305056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7.5641025641025639</v>
      </c>
      <c r="EJ25" s="13">
        <f>IF('Données projet'!$A$192&gt;35,EJ24+EI25-ER24,IF(A25&lt;'Données projet'!$A$192,$EG$205^A25,IF(A25='Données projet'!$A$192,'Données projet'!$B$192,EJ24+EI25-ER24)))</f>
        <v>99.743589743589737</v>
      </c>
      <c r="EK25" s="18">
        <f>EJ25*VLOOKUP('Données projet'!$B$15,Paramètres!$A$1:$I$89,3,0)*VLOOKUP('Données projet'!$B$15,Paramètres!$A$1:$I$89,5,0)</f>
        <v>94.915999999999997</v>
      </c>
      <c r="EL25" s="14">
        <f t="shared" si="45"/>
        <v>25.747151184602235</v>
      </c>
      <c r="EM25" s="22">
        <f t="shared" si="19"/>
        <v>210.1549883131822</v>
      </c>
      <c r="EN25" s="62">
        <f t="shared" si="20"/>
        <v>493.71054386873777</v>
      </c>
      <c r="EO25" s="62">
        <f ca="1">AVERAGE(OFFSET($EN$3,0,0,'Données projet'!$E$15+1,1))-AVERAGE(OFFSET($H$3,0,0,'Données projet'!$E$15+1,1))</f>
        <v>406.24139966722936</v>
      </c>
      <c r="EP25" s="62">
        <f t="shared" si="46"/>
        <v>295.95724296920577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10.6</v>
      </c>
      <c r="FE25" s="13">
        <f>IF('Données projet'!$A$218&gt;35,FE24+FD25-FM24,IF(A25&lt;'Données projet'!$A$218,$FB$205^A25,IF(A25='Données projet'!$A$218,'Données projet'!$B$218,FE24+FD25-FM24)))</f>
        <v>109.19999999999997</v>
      </c>
      <c r="FF25" s="18">
        <f>FE25*VLOOKUP('Données projet'!$B$16,Paramètres!$A$1:$I$89,3,0)*VLOOKUP('Données projet'!$B$16,Paramètres!$A$1:$I$89,5,0)</f>
        <v>85.175999999999988</v>
      </c>
      <c r="FG25" s="14">
        <f t="shared" si="47"/>
        <v>23.398088487656434</v>
      </c>
      <c r="FH25" s="22">
        <f t="shared" si="22"/>
        <v>189.09987078266826</v>
      </c>
      <c r="FI25" s="62">
        <f t="shared" si="23"/>
        <v>472.65542633822383</v>
      </c>
      <c r="FJ25" s="62">
        <f ca="1">AVERAGE(OFFSET($FI$3,0,0,'Données projet'!$E$16+1,1))-AVERAGE(OFFSET($H$3,0,0,'Données projet'!$E$16+1,1))</f>
        <v>292.57482726862594</v>
      </c>
      <c r="FK25" s="62">
        <f t="shared" si="48"/>
        <v>283.48738729114024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7.2</v>
      </c>
      <c r="FZ25" s="13">
        <f>IF('Données projet'!$A$244&gt;35,FZ24+FY25-GH24,IF(A25&lt;'Données projet'!$A$244,$FW$205^A25,IF(A25='Données projet'!$A$244,'Données projet'!$B$244,FZ24+FY25-GH24)))</f>
        <v>87.4</v>
      </c>
      <c r="GA25" s="18">
        <f>FZ25*VLOOKUP('Données projet'!$B$17,Paramètres!$A$1:$I$89,3,0)*VLOOKUP('Données projet'!$B$17,Paramètres!$A$1:$I$89,5,0)</f>
        <v>84.533280000000005</v>
      </c>
      <c r="GB25" s="14">
        <f t="shared" si="49"/>
        <v>23.242014012893971</v>
      </c>
      <c r="GC25" s="22">
        <f t="shared" si="25"/>
        <v>187.70863707245701</v>
      </c>
      <c r="GD25" s="62">
        <f t="shared" si="26"/>
        <v>471.26419262801255</v>
      </c>
      <c r="GE25" s="62">
        <f ca="1">AVERAGE(OFFSET($GD$3,0,0,'Données projet'!$E$17+1,1))-AVERAGE(OFFSET($H$3,0,0,'Données projet'!$E$17+1,1))</f>
        <v>562.69380557620775</v>
      </c>
      <c r="GF25" s="62">
        <f t="shared" si="50"/>
        <v>294.45557293177131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94.600000000000009</v>
      </c>
      <c r="O26" s="14">
        <f>N26*VLOOKUP('Données projet'!$B$9,Paramètres!$A$1:$I$89,3,0)*VLOOKUP('Données projet'!$B$9,Paramètres!$A$1:$I$89,5,0)</f>
        <v>85.594080000000005</v>
      </c>
      <c r="P26" s="14">
        <f t="shared" si="33"/>
        <v>23.499539031833248</v>
      </c>
      <c r="Q26" s="22">
        <f t="shared" si="2"/>
        <v>190.00471981377623</v>
      </c>
      <c r="R26" s="62">
        <f t="shared" si="0"/>
        <v>474.78249759155403</v>
      </c>
      <c r="S26" s="62">
        <f ca="1">AVERAGE(OFFSET($R$3,0,0,'Données projet'!$E$9+1,1))-AVERAGE(OFFSET($H$3,0,0,'Données projet'!$E$9+1,1))</f>
        <v>529.25712986118265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10.166666666666666</v>
      </c>
      <c r="AI26" s="14">
        <f>IF('Données projet'!$A$62&gt;35,AI25+AH26-AQ25,IF(A26&lt;'Données projet'!$A$62,$AF$205^A26,IF(A26='Données projet'!$A$62,'Données projet'!$B$62,AI25+AH26-AQ25)))</f>
        <v>36.333333333333329</v>
      </c>
      <c r="AJ26" s="14">
        <f>AI26*VLOOKUP('Données projet'!$B$10,Paramètres!$A$1:$I$89,3,0)*VLOOKUP('Données projet'!$B$10,Paramètres!$A$1:$I$89,5,0)</f>
        <v>31.173999999999996</v>
      </c>
      <c r="AK26" s="14">
        <f t="shared" si="35"/>
        <v>9.6264718529466755</v>
      </c>
      <c r="AL26" s="22">
        <f t="shared" si="4"/>
        <v>71.060821810548774</v>
      </c>
      <c r="AM26" s="62">
        <f t="shared" si="5"/>
        <v>355.83859958832653</v>
      </c>
      <c r="AN26" s="62">
        <f ca="1">AVERAGE(OFFSET($AM$3,0,0,'Données projet'!$E$10+1,1))-AVERAGE(OFFSET($H$3,0,0,'Données projet'!$E$10+1,1))</f>
        <v>446.86777652265448</v>
      </c>
      <c r="AO26" s="62">
        <f t="shared" si="36"/>
        <v>230.82970731138215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14.739999999999998</v>
      </c>
      <c r="BD26" s="13">
        <f>IF('Données projet'!$A$88&gt;35,BD25+BC26-BL25,IF(A26&lt;'Données projet'!$A$88,$BA$205^A26,IF(A26='Données projet'!$A$88,'Données projet'!$B$88,BD25+BC26-BL25)))</f>
        <v>111.02000000000001</v>
      </c>
      <c r="BE26" s="14">
        <f>BD26*VLOOKUP('Données projet'!$B$11,Paramètres!$A$1:$I$89,3,0)*VLOOKUP('Données projet'!$B$11,Paramètres!$A$1:$I$89,5,0)</f>
        <v>88.327512000000013</v>
      </c>
      <c r="BF26" s="14">
        <f t="shared" si="37"/>
        <v>24.161421859810599</v>
      </c>
      <c r="BG26" s="22">
        <f t="shared" si="7"/>
        <v>195.91822647250351</v>
      </c>
      <c r="BH26" s="62">
        <f t="shared" si="8"/>
        <v>480.69600425028125</v>
      </c>
      <c r="BI26" s="62">
        <f ca="1">AVERAGE(OFFSET($BH$3,0,0,'Données projet'!$E$11+1,1))-AVERAGE(OFFSET($H$3,0,0,'Données projet'!$E$11+1,1))</f>
        <v>370.59298168107364</v>
      </c>
      <c r="BJ26" s="62">
        <f t="shared" si="38"/>
        <v>404.61777090709171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14.739999999999998</v>
      </c>
      <c r="BY26" s="13">
        <f>IF('Données projet'!$A$114&gt;35,BY25+BX26-CG25,IF(A26&lt;'Données projet'!$A$114,$BV$205^A26,IF(A26='Données projet'!$A$114,'Données projet'!$B$114,BY25+BX26-CG25)))</f>
        <v>111.02000000000001</v>
      </c>
      <c r="BZ26" s="14">
        <f>BY26*VLOOKUP('Données projet'!$B$12,Paramètres!$A$1:$I$89,3,0)*VLOOKUP('Données projet'!$B$12,Paramètres!$A$1:$I$89,5,0)</f>
        <v>81.399864000000008</v>
      </c>
      <c r="CA26" s="14">
        <f t="shared" si="39"/>
        <v>22.479111830915393</v>
      </c>
      <c r="CB26" s="22">
        <f t="shared" si="10"/>
        <v>180.92254957217764</v>
      </c>
      <c r="CC26" s="62">
        <f t="shared" si="11"/>
        <v>465.70032734995539</v>
      </c>
      <c r="CD26" s="62">
        <f ca="1">AVERAGE(OFFSET($CC$3,0,0,'Données projet'!$E$12+1,1))-AVERAGE(OFFSET($H$3,0,0,'Données projet'!$E$12+1,1))</f>
        <v>344.45199703750711</v>
      </c>
      <c r="CE26" s="62">
        <f t="shared" si="40"/>
        <v>376.41441893222185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11</v>
      </c>
      <c r="CT26" s="13">
        <f>IF('Données projet'!$A$140&gt;35,CT25+CS26-DB25,IF(A26&lt;'Données projet'!$A$140,$CQ$205^A26,IF(A26='Données projet'!$A$140,'Données projet'!$B$140,CT25+CS26-DB25)))</f>
        <v>156</v>
      </c>
      <c r="CU26" s="18">
        <f>CT26*VLOOKUP('Données projet'!$B$13,Paramètres!$A$1:$I$89,3,0)*VLOOKUP('Données projet'!$B$13,Paramètres!$A$1:$I$89,5,0)</f>
        <v>102.21119999999999</v>
      </c>
      <c r="CV26" s="14">
        <f t="shared" si="41"/>
        <v>27.488113037666018</v>
      </c>
      <c r="CW26" s="22">
        <f t="shared" si="13"/>
        <v>225.89297020726829</v>
      </c>
      <c r="CX26" s="62">
        <f t="shared" si="14"/>
        <v>510.67074798504609</v>
      </c>
      <c r="CY26" s="62">
        <f ca="1">AVERAGE(OFFSET($CX$3,0,0,'Données projet'!$E$13+1,1))-AVERAGE(OFFSET($H$3,0,0,'Données projet'!$E$13+1,1))</f>
        <v>311.53750850588153</v>
      </c>
      <c r="CZ26" s="62">
        <f t="shared" si="42"/>
        <v>304.84379909635476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8.6</v>
      </c>
      <c r="DO26" s="13">
        <f>IF('Données projet'!$A$166&gt;35,DO25+DN26-DW25,IF(A26&lt;'Données projet'!$A$166,$DL$205^A26,IF(A26='Données projet'!$A$166,'Données projet'!$B$166,DO25+DN26-DW25)))</f>
        <v>84.799999999999983</v>
      </c>
      <c r="DP26" s="18">
        <f>DO26*VLOOKUP('Données projet'!$B$14,Paramètres!$A$1:$I$89,3,0)*VLOOKUP('Données projet'!$B$14,Paramètres!$A$1:$I$89,5,0)</f>
        <v>68.789759999999987</v>
      </c>
      <c r="DQ26" s="14">
        <f t="shared" si="43"/>
        <v>19.372607944380292</v>
      </c>
      <c r="DR26" s="22">
        <f t="shared" si="16"/>
        <v>153.54945750312899</v>
      </c>
      <c r="DS26" s="62">
        <f t="shared" si="17"/>
        <v>438.32723528090673</v>
      </c>
      <c r="DT26" s="62">
        <f ca="1">AVERAGE(OFFSET($DS$3,0,0,'Données projet'!$E$14+1,1))-AVERAGE(OFFSET($H$3,0,0,'Données projet'!$E$14+1,1))</f>
        <v>256.19915261735281</v>
      </c>
      <c r="DU26" s="62">
        <f t="shared" si="44"/>
        <v>297.47246687305056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7.5641025641025639</v>
      </c>
      <c r="EJ26" s="13">
        <f>IF('Données projet'!$A$192&gt;35,EJ25+EI26-ER25,IF(A26&lt;'Données projet'!$A$192,$EG$205^A26,IF(A26='Données projet'!$A$192,'Données projet'!$B$192,EJ25+EI26-ER25)))</f>
        <v>107.30769230769231</v>
      </c>
      <c r="EK26" s="18">
        <f>EJ26*VLOOKUP('Données projet'!$B$15,Paramètres!$A$1:$I$89,3,0)*VLOOKUP('Données projet'!$B$15,Paramètres!$A$1:$I$89,5,0)</f>
        <v>102.114</v>
      </c>
      <c r="EL26" s="14">
        <f t="shared" si="45"/>
        <v>27.465014076024996</v>
      </c>
      <c r="EM26" s="22">
        <f t="shared" si="19"/>
        <v>225.68344951574352</v>
      </c>
      <c r="EN26" s="62">
        <f t="shared" si="20"/>
        <v>510.46122729352129</v>
      </c>
      <c r="EO26" s="62">
        <f ca="1">AVERAGE(OFFSET($EN$3,0,0,'Données projet'!$E$15+1,1))-AVERAGE(OFFSET($H$3,0,0,'Données projet'!$E$15+1,1))</f>
        <v>406.24139966722936</v>
      </c>
      <c r="EP26" s="62">
        <f t="shared" si="46"/>
        <v>295.95724296920577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10.6</v>
      </c>
      <c r="FE26" s="13">
        <f>IF('Données projet'!$A$218&gt;35,FE25+FD26-FM25,IF(A26&lt;'Données projet'!$A$218,$FB$205^A26,IF(A26='Données projet'!$A$218,'Données projet'!$B$218,FE25+FD26-FM25)))</f>
        <v>119.79999999999997</v>
      </c>
      <c r="FF26" s="18">
        <f>FE26*VLOOKUP('Données projet'!$B$16,Paramètres!$A$1:$I$89,3,0)*VLOOKUP('Données projet'!$B$16,Paramètres!$A$1:$I$89,5,0)</f>
        <v>93.443999999999974</v>
      </c>
      <c r="FG26" s="14">
        <f t="shared" si="47"/>
        <v>25.394010816431489</v>
      </c>
      <c r="FH26" s="22">
        <f t="shared" si="22"/>
        <v>206.97620217195148</v>
      </c>
      <c r="FI26" s="62">
        <f t="shared" si="23"/>
        <v>491.75397994972923</v>
      </c>
      <c r="FJ26" s="62">
        <f ca="1">AVERAGE(OFFSET($FI$3,0,0,'Données projet'!$E$16+1,1))-AVERAGE(OFFSET($H$3,0,0,'Données projet'!$E$16+1,1))</f>
        <v>292.57482726862594</v>
      </c>
      <c r="FK26" s="62">
        <f t="shared" si="48"/>
        <v>283.48738729114024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7.2</v>
      </c>
      <c r="FZ26" s="13">
        <f>IF('Données projet'!$A$244&gt;35,FZ25+FY26-GH25,IF(A26&lt;'Données projet'!$A$244,$FW$205^A26,IF(A26='Données projet'!$A$244,'Données projet'!$B$244,FZ25+FY26-GH25)))</f>
        <v>94.600000000000009</v>
      </c>
      <c r="GA26" s="18">
        <f>FZ26*VLOOKUP('Données projet'!$B$17,Paramètres!$A$1:$I$89,3,0)*VLOOKUP('Données projet'!$B$17,Paramètres!$A$1:$I$89,5,0)</f>
        <v>91.49712000000001</v>
      </c>
      <c r="GB26" s="14">
        <f t="shared" si="49"/>
        <v>24.925946867642839</v>
      </c>
      <c r="GC26" s="22">
        <f t="shared" si="25"/>
        <v>202.77017479447795</v>
      </c>
      <c r="GD26" s="62">
        <f t="shared" si="26"/>
        <v>487.54795257225572</v>
      </c>
      <c r="GE26" s="62">
        <f ca="1">AVERAGE(OFFSET($GD$3,0,0,'Données projet'!$E$17+1,1))-AVERAGE(OFFSET($H$3,0,0,'Données projet'!$E$17+1,1))</f>
        <v>562.69380557620775</v>
      </c>
      <c r="GF26" s="62">
        <f t="shared" si="50"/>
        <v>294.45557293177131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101.80000000000001</v>
      </c>
      <c r="O27" s="14">
        <f>N27*VLOOKUP('Données projet'!$B$9,Paramètres!$A$1:$I$89,3,0)*VLOOKUP('Données projet'!$B$9,Paramètres!$A$1:$I$89,5,0)</f>
        <v>92.108640000000008</v>
      </c>
      <c r="P27" s="14">
        <f t="shared" si="33"/>
        <v>25.073090701604293</v>
      </c>
      <c r="Q27" s="22">
        <f t="shared" si="2"/>
        <v>204.09151430529414</v>
      </c>
      <c r="R27" s="62">
        <f t="shared" si="0"/>
        <v>490.09151430529414</v>
      </c>
      <c r="S27" s="62">
        <f ca="1">AVERAGE(OFFSET($R$3,0,0,'Données projet'!$E$9+1,1))-AVERAGE(OFFSET($H$3,0,0,'Données projet'!$E$9+1,1))</f>
        <v>529.25712986118265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10.166666666666666</v>
      </c>
      <c r="AI27" s="14">
        <f>IF('Données projet'!$A$62&gt;35,AI26+AH27-AQ26,IF(A27&lt;'Données projet'!$A$62,$AF$205^A27,IF(A27='Données projet'!$A$62,'Données projet'!$B$62,AI26+AH27-AQ26)))</f>
        <v>46.499999999999993</v>
      </c>
      <c r="AJ27" s="14">
        <f>AI27*VLOOKUP('Données projet'!$B$10,Paramètres!$A$1:$I$89,3,0)*VLOOKUP('Données projet'!$B$10,Paramètres!$A$1:$I$89,5,0)</f>
        <v>39.896999999999998</v>
      </c>
      <c r="AK27" s="14">
        <f t="shared" si="35"/>
        <v>11.971342650084589</v>
      </c>
      <c r="AL27" s="22">
        <f t="shared" si="4"/>
        <v>90.337363448897307</v>
      </c>
      <c r="AM27" s="62">
        <f t="shared" si="5"/>
        <v>376.33736344889729</v>
      </c>
      <c r="AN27" s="62">
        <f ca="1">AVERAGE(OFFSET($AM$3,0,0,'Données projet'!$E$10+1,1))-AVERAGE(OFFSET($H$3,0,0,'Données projet'!$E$10+1,1))</f>
        <v>446.86777652265448</v>
      </c>
      <c r="AO27" s="62">
        <f t="shared" si="36"/>
        <v>230.82970731138215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14.739999999999998</v>
      </c>
      <c r="BD27" s="13">
        <f>IF('Données projet'!$A$88&gt;35,BD26+BC27-BL26,IF(A27&lt;'Données projet'!$A$88,$BA$205^A27,IF(A27='Données projet'!$A$88,'Données projet'!$B$88,BD26+BC27-BL26)))</f>
        <v>125.76</v>
      </c>
      <c r="BE27" s="14">
        <f>BD27*VLOOKUP('Données projet'!$B$11,Paramètres!$A$1:$I$89,3,0)*VLOOKUP('Données projet'!$B$11,Paramètres!$A$1:$I$89,5,0)</f>
        <v>100.05465600000001</v>
      </c>
      <c r="BF27" s="14">
        <f t="shared" si="37"/>
        <v>26.97501817255089</v>
      </c>
      <c r="BG27" s="22">
        <f t="shared" si="7"/>
        <v>221.24334918385946</v>
      </c>
      <c r="BH27" s="62">
        <f t="shared" si="8"/>
        <v>507.24334918385944</v>
      </c>
      <c r="BI27" s="62">
        <f ca="1">AVERAGE(OFFSET($BH$3,0,0,'Données projet'!$E$11+1,1))-AVERAGE(OFFSET($H$3,0,0,'Données projet'!$E$11+1,1))</f>
        <v>370.59298168107364</v>
      </c>
      <c r="BJ27" s="62">
        <f t="shared" si="38"/>
        <v>404.61777090709171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14.739999999999998</v>
      </c>
      <c r="BY27" s="13">
        <f>IF('Données projet'!$A$114&gt;35,BY26+BX27-CG26,IF(A27&lt;'Données projet'!$A$114,$BV$205^A27,IF(A27='Données projet'!$A$114,'Données projet'!$B$114,BY26+BX27-CG26)))</f>
        <v>125.76</v>
      </c>
      <c r="BZ27" s="14">
        <f>BY27*VLOOKUP('Données projet'!$B$12,Paramètres!$A$1:$I$89,3,0)*VLOOKUP('Données projet'!$B$12,Paramètres!$A$1:$I$89,5,0)</f>
        <v>92.207232000000005</v>
      </c>
      <c r="CA27" s="14">
        <f t="shared" si="39"/>
        <v>25.096803228719384</v>
      </c>
      <c r="CB27" s="22">
        <f t="shared" si="10"/>
        <v>204.3045280233529</v>
      </c>
      <c r="CC27" s="62">
        <f t="shared" si="11"/>
        <v>490.30452802335287</v>
      </c>
      <c r="CD27" s="62">
        <f ca="1">AVERAGE(OFFSET($CC$3,0,0,'Données projet'!$E$12+1,1))-AVERAGE(OFFSET($H$3,0,0,'Données projet'!$E$12+1,1))</f>
        <v>344.45199703750711</v>
      </c>
      <c r="CE27" s="62">
        <f t="shared" si="40"/>
        <v>376.41441893222185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11</v>
      </c>
      <c r="CT27" s="13">
        <f>IF('Données projet'!$A$140&gt;35,CT26+CS27-DB26,IF(A27&lt;'Données projet'!$A$140,$CQ$205^A27,IF(A27='Données projet'!$A$140,'Données projet'!$B$140,CT26+CS27-DB26)))</f>
        <v>167</v>
      </c>
      <c r="CU27" s="18">
        <f>CT27*VLOOKUP('Données projet'!$B$13,Paramètres!$A$1:$I$89,3,0)*VLOOKUP('Données projet'!$B$13,Paramètres!$A$1:$I$89,5,0)</f>
        <v>109.41840000000001</v>
      </c>
      <c r="CV27" s="14">
        <f t="shared" si="41"/>
        <v>29.193912826430967</v>
      </c>
      <c r="CW27" s="22">
        <f t="shared" si="13"/>
        <v>241.41644483936727</v>
      </c>
      <c r="CX27" s="62">
        <f t="shared" si="14"/>
        <v>527.41644483936727</v>
      </c>
      <c r="CY27" s="62">
        <f ca="1">AVERAGE(OFFSET($CX$3,0,0,'Données projet'!$E$13+1,1))-AVERAGE(OFFSET($H$3,0,0,'Données projet'!$E$13+1,1))</f>
        <v>311.53750850588153</v>
      </c>
      <c r="CZ27" s="62">
        <f t="shared" si="42"/>
        <v>304.84379909635476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8.6</v>
      </c>
      <c r="DO27" s="13">
        <f>IF('Données projet'!$A$166&gt;35,DO26+DN27-DW26,IF(A27&lt;'Données projet'!$A$166,$DL$205^A27,IF(A27='Données projet'!$A$166,'Données projet'!$B$166,DO26+DN27-DW26)))</f>
        <v>93.399999999999977</v>
      </c>
      <c r="DP27" s="18">
        <f>DO27*VLOOKUP('Données projet'!$B$14,Paramètres!$A$1:$I$89,3,0)*VLOOKUP('Données projet'!$B$14,Paramètres!$A$1:$I$89,5,0)</f>
        <v>75.766079999999988</v>
      </c>
      <c r="DQ27" s="14">
        <f t="shared" si="43"/>
        <v>21.09871541273251</v>
      </c>
      <c r="DR27" s="22">
        <f t="shared" si="16"/>
        <v>168.70618534384241</v>
      </c>
      <c r="DS27" s="62">
        <f t="shared" si="17"/>
        <v>454.70618534384244</v>
      </c>
      <c r="DT27" s="62">
        <f ca="1">AVERAGE(OFFSET($DS$3,0,0,'Données projet'!$E$14+1,1))-AVERAGE(OFFSET($H$3,0,0,'Données projet'!$E$14+1,1))</f>
        <v>256.19915261735281</v>
      </c>
      <c r="DU27" s="62">
        <f t="shared" si="44"/>
        <v>297.47246687305056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7.5641025641025639</v>
      </c>
      <c r="EJ27" s="13">
        <f>IF('Données projet'!$A$192&gt;35,EJ26+EI27-ER26,IF(A27&lt;'Données projet'!$A$192,$EG$205^A27,IF(A27='Données projet'!$A$192,'Données projet'!$B$192,EJ26+EI27-ER26)))</f>
        <v>114.87179487179488</v>
      </c>
      <c r="EK27" s="18">
        <f>EJ27*VLOOKUP('Données projet'!$B$15,Paramètres!$A$1:$I$89,3,0)*VLOOKUP('Données projet'!$B$15,Paramètres!$A$1:$I$89,5,0)</f>
        <v>109.31200000000001</v>
      </c>
      <c r="EL27" s="14">
        <f t="shared" si="45"/>
        <v>29.168827262472544</v>
      </c>
      <c r="EM27" s="22">
        <f t="shared" si="19"/>
        <v>241.18744081547302</v>
      </c>
      <c r="EN27" s="62">
        <f t="shared" si="20"/>
        <v>527.187440815473</v>
      </c>
      <c r="EO27" s="62">
        <f ca="1">AVERAGE(OFFSET($EN$3,0,0,'Données projet'!$E$15+1,1))-AVERAGE(OFFSET($H$3,0,0,'Données projet'!$E$15+1,1))</f>
        <v>406.24139966722936</v>
      </c>
      <c r="EP27" s="62">
        <f t="shared" si="46"/>
        <v>295.95724296920577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10.6</v>
      </c>
      <c r="FE27" s="13">
        <f>IF('Données projet'!$A$218&gt;35,FE26+FD27-FM26,IF(A27&lt;'Données projet'!$A$218,$FB$205^A27,IF(A27='Données projet'!$A$218,'Données projet'!$B$218,FE26+FD27-FM26)))</f>
        <v>130.39999999999998</v>
      </c>
      <c r="FF27" s="18">
        <f>FE27*VLOOKUP('Données projet'!$B$16,Paramètres!$A$1:$I$89,3,0)*VLOOKUP('Données projet'!$B$16,Paramètres!$A$1:$I$89,5,0)</f>
        <v>101.71199999999999</v>
      </c>
      <c r="FG27" s="14">
        <f t="shared" si="47"/>
        <v>27.369454120725656</v>
      </c>
      <c r="FH27" s="22">
        <f t="shared" si="22"/>
        <v>224.81686592693052</v>
      </c>
      <c r="FI27" s="62">
        <f t="shared" si="23"/>
        <v>510.81686592693052</v>
      </c>
      <c r="FJ27" s="62">
        <f ca="1">AVERAGE(OFFSET($FI$3,0,0,'Données projet'!$E$16+1,1))-AVERAGE(OFFSET($H$3,0,0,'Données projet'!$E$16+1,1))</f>
        <v>292.57482726862594</v>
      </c>
      <c r="FK27" s="62">
        <f t="shared" si="48"/>
        <v>283.48738729114024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7.2</v>
      </c>
      <c r="FZ27" s="13">
        <f>IF('Données projet'!$A$244&gt;35,FZ26+FY27-GH26,IF(A27&lt;'Données projet'!$A$244,$FW$205^A27,IF(A27='Données projet'!$A$244,'Données projet'!$B$244,FZ26+FY27-GH26)))</f>
        <v>101.80000000000001</v>
      </c>
      <c r="GA27" s="18">
        <f>FZ27*VLOOKUP('Données projet'!$B$17,Paramètres!$A$1:$I$89,3,0)*VLOOKUP('Données projet'!$B$17,Paramètres!$A$1:$I$89,5,0)</f>
        <v>98.460960000000014</v>
      </c>
      <c r="GB27" s="14">
        <f t="shared" si="49"/>
        <v>26.595012174033403</v>
      </c>
      <c r="GC27" s="22">
        <f t="shared" si="25"/>
        <v>217.80581820310817</v>
      </c>
      <c r="GD27" s="62">
        <f t="shared" si="26"/>
        <v>503.80581820310817</v>
      </c>
      <c r="GE27" s="62">
        <f ca="1">AVERAGE(OFFSET($GD$3,0,0,'Données projet'!$E$17+1,1))-AVERAGE(OFFSET($H$3,0,0,'Données projet'!$E$17+1,1))</f>
        <v>562.69380557620775</v>
      </c>
      <c r="GF27" s="62">
        <f t="shared" si="50"/>
        <v>294.45557293177131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109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109.00000000000001</v>
      </c>
      <c r="O28" s="14">
        <f>N28*VLOOKUP('Données projet'!$B$9,Paramètres!$A$1:$I$89,3,0)*VLOOKUP('Données projet'!$B$9,Paramètres!$A$1:$I$89,5,0)</f>
        <v>98.623200000000011</v>
      </c>
      <c r="P28" s="14">
        <f t="shared" si="33"/>
        <v>26.633729748944933</v>
      </c>
      <c r="Q28" s="22">
        <f t="shared" si="2"/>
        <v>218.15581931274576</v>
      </c>
      <c r="R28" s="62">
        <f t="shared" si="0"/>
        <v>505.37804153496802</v>
      </c>
      <c r="S28" s="62">
        <f ca="1">AVERAGE(OFFSET($R$3,0,0,'Données projet'!$E$9+1,1))-AVERAGE(OFFSET($H$3,0,0,'Données projet'!$E$9+1,1))</f>
        <v>529.25712986118265</v>
      </c>
      <c r="T28" s="62">
        <f t="shared" si="34"/>
        <v>278.21741231699929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34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10.166666666666666</v>
      </c>
      <c r="AI28" s="14">
        <f>IF('Données projet'!$A$62&gt;35,AI27+AH28-AQ27,IF(A28&lt;'Données projet'!$A$62,$AF$205^A28,IF(A28='Données projet'!$A$62,'Données projet'!$B$62,AI27+AH28-AQ27)))</f>
        <v>56.666666666666657</v>
      </c>
      <c r="AJ28" s="14">
        <f>AI28*VLOOKUP('Données projet'!$B$10,Paramètres!$A$1:$I$89,3,0)*VLOOKUP('Données projet'!$B$10,Paramètres!$A$1:$I$89,5,0)</f>
        <v>48.62</v>
      </c>
      <c r="AK28" s="14">
        <f t="shared" si="35"/>
        <v>14.256790200344732</v>
      </c>
      <c r="AL28" s="22">
        <f t="shared" si="4"/>
        <v>109.51040959893373</v>
      </c>
      <c r="AM28" s="62">
        <f t="shared" si="5"/>
        <v>396.73263182115596</v>
      </c>
      <c r="AN28" s="62">
        <f ca="1">AVERAGE(OFFSET($AM$3,0,0,'Données projet'!$E$10+1,1))-AVERAGE(OFFSET($H$3,0,0,'Données projet'!$E$10+1,1))</f>
        <v>446.86777652265448</v>
      </c>
      <c r="AO28" s="62">
        <f t="shared" si="36"/>
        <v>230.82970731138215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140.5</v>
      </c>
      <c r="BB28" s="13">
        <f>VLOOKUP(A28,'Données projet'!$A$87:$I$107,9,0)</f>
        <v>14.739999999999998</v>
      </c>
      <c r="BC28" s="13">
        <f t="array" ref="BC28">INDEX(BB:BB,MIN(IF(ISNUMBER(BB28:BB224),ROW(BB28:BB224),"")))</f>
        <v>14.739999999999998</v>
      </c>
      <c r="BD28" s="13">
        <f>IF('Données projet'!$A$88&gt;35,BD27+BC28-BL27,IF(A28&lt;'Données projet'!$A$88,$BA$205^A28,IF(A28='Données projet'!$A$88,'Données projet'!$B$88,BD27+BC28-BL27)))</f>
        <v>140.5</v>
      </c>
      <c r="BE28" s="14">
        <f>BD28*VLOOKUP('Données projet'!$B$11,Paramètres!$A$1:$I$89,3,0)*VLOOKUP('Données projet'!$B$11,Paramètres!$A$1:$I$89,5,0)</f>
        <v>111.7818</v>
      </c>
      <c r="BF28" s="14">
        <f t="shared" si="37"/>
        <v>29.750397150027219</v>
      </c>
      <c r="BG28" s="22">
        <f t="shared" si="7"/>
        <v>246.5019100362974</v>
      </c>
      <c r="BH28" s="62">
        <f t="shared" si="8"/>
        <v>533.7241322585196</v>
      </c>
      <c r="BI28" s="62">
        <f ca="1">AVERAGE(OFFSET($BH$3,0,0,'Données projet'!$E$11+1,1))-AVERAGE(OFFSET($H$3,0,0,'Données projet'!$E$11+1,1))</f>
        <v>370.59298168107364</v>
      </c>
      <c r="BJ28" s="62">
        <f t="shared" si="38"/>
        <v>404.61777090709171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140.5</v>
      </c>
      <c r="BW28" s="13">
        <f>VLOOKUP(A28,'Données projet'!$A$113:$I$133,9,0)</f>
        <v>14.739999999999998</v>
      </c>
      <c r="BX28" s="13">
        <f t="array" ref="BX28">INDEX(BW:BW,MIN(IF(ISNUMBER(BW28:BW224),ROW(BW28:BW224),"")))</f>
        <v>14.739999999999998</v>
      </c>
      <c r="BY28" s="13">
        <f>IF('Données projet'!$A$114&gt;35,BY27+BX28-CG27,IF(A28&lt;'Données projet'!$A$114,$BV$205^A28,IF(A28='Données projet'!$A$114,'Données projet'!$B$114,BY27+BX28-CG27)))</f>
        <v>140.5</v>
      </c>
      <c r="BZ28" s="14">
        <f>BY28*VLOOKUP('Données projet'!$B$12,Paramètres!$A$1:$I$89,3,0)*VLOOKUP('Données projet'!$B$12,Paramètres!$A$1:$I$89,5,0)</f>
        <v>103.0146</v>
      </c>
      <c r="CA28" s="14">
        <f t="shared" si="39"/>
        <v>27.678938285581953</v>
      </c>
      <c r="CB28" s="22">
        <f t="shared" si="10"/>
        <v>227.62457918072189</v>
      </c>
      <c r="CC28" s="62">
        <f t="shared" si="11"/>
        <v>514.84680140294415</v>
      </c>
      <c r="CD28" s="62">
        <f ca="1">AVERAGE(OFFSET($CC$3,0,0,'Données projet'!$E$12+1,1))-AVERAGE(OFFSET($H$3,0,0,'Données projet'!$E$12+1,1))</f>
        <v>344.45199703750711</v>
      </c>
      <c r="CE28" s="62">
        <f t="shared" si="40"/>
        <v>376.41441893222185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178</v>
      </c>
      <c r="CR28" s="13">
        <f>VLOOKUP(A28,'Données projet'!$A$139:$I$159,9,0)</f>
        <v>11</v>
      </c>
      <c r="CS28" s="13">
        <f t="array" ref="CS28">INDEX(CR:CR,MIN(IF(ISNUMBER(CR28:CR224),ROW(CR28:CR224),"")))</f>
        <v>11</v>
      </c>
      <c r="CT28" s="13">
        <f>IF('Données projet'!$A$140&gt;35,CT27+CS28-DB27,IF(A28&lt;'Données projet'!$A$140,$CQ$205^A28,IF(A28='Données projet'!$A$140,'Données projet'!$B$140,CT27+CS28-DB27)))</f>
        <v>178</v>
      </c>
      <c r="CU28" s="18">
        <f>CT28*VLOOKUP('Données projet'!$B$13,Paramètres!$A$1:$I$89,3,0)*VLOOKUP('Données projet'!$B$13,Paramètres!$A$1:$I$89,5,0)</f>
        <v>116.62559999999999</v>
      </c>
      <c r="CV28" s="14">
        <f t="shared" si="41"/>
        <v>30.886674195614219</v>
      </c>
      <c r="CW28" s="22">
        <f t="shared" si="13"/>
        <v>256.91721089069478</v>
      </c>
      <c r="CX28" s="62">
        <f t="shared" si="14"/>
        <v>544.139433112917</v>
      </c>
      <c r="CY28" s="62">
        <f ca="1">AVERAGE(OFFSET($CX$3,0,0,'Données projet'!$E$13+1,1))-AVERAGE(OFFSET($H$3,0,0,'Données projet'!$E$13+1,1))</f>
        <v>311.53750850588153</v>
      </c>
      <c r="CZ28" s="62">
        <f t="shared" si="42"/>
        <v>304.84379909635476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42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102</v>
      </c>
      <c r="DM28" s="13">
        <f>VLOOKUP(A28,'Données projet'!$A$165:$I$185,9,0)</f>
        <v>8.6</v>
      </c>
      <c r="DN28" s="13">
        <f t="array" ref="DN28">INDEX(DM:DM,MIN(IF(ISNUMBER(DM28:DM224),ROW(DM28:DM224),"")))</f>
        <v>8.6</v>
      </c>
      <c r="DO28" s="13">
        <f>IF('Données projet'!$A$166&gt;35,DO27+DN28-DW27,IF(A28&lt;'Données projet'!$A$166,$DL$205^A28,IF(A28='Données projet'!$A$166,'Données projet'!$B$166,DO27+DN28-DW27)))</f>
        <v>101.99999999999997</v>
      </c>
      <c r="DP28" s="18">
        <f>DO28*VLOOKUP('Données projet'!$B$14,Paramètres!$A$1:$I$89,3,0)*VLOOKUP('Données projet'!$B$14,Paramètres!$A$1:$I$89,5,0)</f>
        <v>82.742399999999975</v>
      </c>
      <c r="DQ28" s="14">
        <f t="shared" si="43"/>
        <v>22.806394174303183</v>
      </c>
      <c r="DR28" s="22">
        <f t="shared" si="16"/>
        <v>183.83081652024464</v>
      </c>
      <c r="DS28" s="62">
        <f t="shared" si="17"/>
        <v>471.05303874246687</v>
      </c>
      <c r="DT28" s="62">
        <f ca="1">AVERAGE(OFFSET($DS$3,0,0,'Données projet'!$E$14+1,1))-AVERAGE(OFFSET($H$3,0,0,'Données projet'!$E$14+1,1))</f>
        <v>256.19915261735281</v>
      </c>
      <c r="DU28" s="62">
        <f t="shared" si="44"/>
        <v>297.47246687305056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122.43589743589743</v>
      </c>
      <c r="EH28" s="13">
        <f>VLOOKUP(A28,'Données projet'!$A$191:$I$211,9,0)</f>
        <v>7.5641025641025639</v>
      </c>
      <c r="EI28" s="13">
        <f t="array" ref="EI28">INDEX(EH:EH,MIN(IF(ISNUMBER(EH28:EH224),ROW(EH28:EH224),"")))</f>
        <v>7.5641025641025639</v>
      </c>
      <c r="EJ28" s="13">
        <f>IF('Données projet'!$A$192&gt;35,EJ27+EI28-ER27,IF(A28&lt;'Données projet'!$A$192,$EG$205^A28,IF(A28='Données projet'!$A$192,'Données projet'!$B$192,EJ27+EI28-ER27)))</f>
        <v>122.43589743589745</v>
      </c>
      <c r="EK28" s="18">
        <f>EJ28*VLOOKUP('Données projet'!$B$15,Paramètres!$A$1:$I$89,3,0)*VLOOKUP('Données projet'!$B$15,Paramètres!$A$1:$I$89,5,0)</f>
        <v>116.51000000000002</v>
      </c>
      <c r="EL28" s="14">
        <f t="shared" si="45"/>
        <v>30.859621169021747</v>
      </c>
      <c r="EM28" s="22">
        <f t="shared" si="19"/>
        <v>256.66875686937959</v>
      </c>
      <c r="EN28" s="62">
        <f t="shared" si="20"/>
        <v>543.89097909160182</v>
      </c>
      <c r="EO28" s="62">
        <f ca="1">AVERAGE(OFFSET($EN$3,0,0,'Données projet'!$E$15+1,1))-AVERAGE(OFFSET($H$3,0,0,'Données projet'!$E$15+1,1))</f>
        <v>406.24139966722936</v>
      </c>
      <c r="EP28" s="62">
        <f t="shared" si="46"/>
        <v>295.95724296920577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35.897435897435898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141</v>
      </c>
      <c r="FC28" s="13">
        <f>VLOOKUP(A28,'Données projet'!$A$217:$I$237,9,0)</f>
        <v>10.6</v>
      </c>
      <c r="FD28" s="13">
        <f t="array" ref="FD28">INDEX(FC:FC,MIN(IF(ISNUMBER(FC28:FC224),ROW(FC28:FC224),"")))</f>
        <v>10.6</v>
      </c>
      <c r="FE28" s="13">
        <f>IF('Données projet'!$A$218&gt;35,FE27+FD28-FM27,IF(A28&lt;'Données projet'!$A$218,$FB$205^A28,IF(A28='Données projet'!$A$218,'Données projet'!$B$218,FE27+FD28-FM27)))</f>
        <v>140.99999999999997</v>
      </c>
      <c r="FF28" s="18">
        <f>FE28*VLOOKUP('Données projet'!$B$16,Paramètres!$A$1:$I$89,3,0)*VLOOKUP('Données projet'!$B$16,Paramètres!$A$1:$I$89,5,0)</f>
        <v>109.97999999999998</v>
      </c>
      <c r="FG28" s="14">
        <f t="shared" si="47"/>
        <v>29.326272366698234</v>
      </c>
      <c r="FH28" s="22">
        <f t="shared" si="22"/>
        <v>242.62509103866606</v>
      </c>
      <c r="FI28" s="62">
        <f t="shared" si="23"/>
        <v>529.84731326088831</v>
      </c>
      <c r="FJ28" s="62">
        <f ca="1">AVERAGE(OFFSET($FI$3,0,0,'Données projet'!$E$16+1,1))-AVERAGE(OFFSET($H$3,0,0,'Données projet'!$E$16+1,1))</f>
        <v>292.57482726862594</v>
      </c>
      <c r="FK28" s="62">
        <f t="shared" si="48"/>
        <v>283.48738729114024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55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109</v>
      </c>
      <c r="FX28" s="13">
        <f>VLOOKUP(A28,'Données projet'!$A$243:$I$263,9,0)</f>
        <v>7.2</v>
      </c>
      <c r="FY28" s="13">
        <f t="array" ref="FY28">INDEX(FX:FX,MIN(IF(ISNUMBER(FX28:FX224),ROW(FX28:FX224),"")))</f>
        <v>7.2</v>
      </c>
      <c r="FZ28" s="13">
        <f>IF('Données projet'!$A$244&gt;35,FZ27+FY28-GH27,IF(A28&lt;'Données projet'!$A$244,$FW$205^A28,IF(A28='Données projet'!$A$244,'Données projet'!$B$244,FZ27+FY28-GH27)))</f>
        <v>109.00000000000001</v>
      </c>
      <c r="GA28" s="18">
        <f>FZ28*VLOOKUP('Données projet'!$B$17,Paramètres!$A$1:$I$89,3,0)*VLOOKUP('Données projet'!$B$17,Paramètres!$A$1:$I$89,5,0)</f>
        <v>105.42480000000002</v>
      </c>
      <c r="GB28" s="14">
        <f t="shared" si="49"/>
        <v>28.250381069605584</v>
      </c>
      <c r="GC28" s="22">
        <f t="shared" si="25"/>
        <v>232.81760702956308</v>
      </c>
      <c r="GD28" s="62">
        <f t="shared" si="26"/>
        <v>520.03982925178525</v>
      </c>
      <c r="GE28" s="62">
        <f ca="1">AVERAGE(OFFSET($GD$3,0,0,'Données projet'!$E$17+1,1))-AVERAGE(OFFSET($H$3,0,0,'Données projet'!$E$17+1,1))</f>
        <v>562.69380557620775</v>
      </c>
      <c r="GF28" s="62">
        <f t="shared" si="50"/>
        <v>294.45557293177131</v>
      </c>
      <c r="GG28" s="16">
        <f>IF(ISNA(VLOOKUP(A28,'Données projet'!$A$243:$I$263,3,0)),0,VLOOKUP(A28,'Données projet'!$A$243:$I$263,3,0))</f>
        <v>1</v>
      </c>
      <c r="GH28" s="16">
        <f>IF(ISNA(VLOOKUP(A28,'Données projet'!$A$243:$I$263,4,0)),0,VLOOKUP(A28,'Données projet'!$A$243:$I$263,4,0))</f>
        <v>34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529.25712986118265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10.166666666666666</v>
      </c>
      <c r="AI29" s="14">
        <f>IF('Données projet'!$A$62&gt;35,AI28+AH29-AQ28,IF(A29&lt;'Données projet'!$A$62,$AF$205^A29,IF(A29='Données projet'!$A$62,'Données projet'!$B$62,AI28+AH29-AQ28)))</f>
        <v>66.833333333333329</v>
      </c>
      <c r="AJ29" s="14">
        <f>AI29*VLOOKUP('Données projet'!$B$10,Paramètres!$A$1:$I$89,3,0)*VLOOKUP('Données projet'!$B$10,Paramètres!$A$1:$I$89,5,0)</f>
        <v>57.343000000000004</v>
      </c>
      <c r="AK29" s="14">
        <f t="shared" si="35"/>
        <v>16.494735476368202</v>
      </c>
      <c r="AL29" s="22">
        <f t="shared" si="4"/>
        <v>128.6007226213413</v>
      </c>
      <c r="AM29" s="62">
        <f t="shared" si="5"/>
        <v>417.04516706578579</v>
      </c>
      <c r="AN29" s="62">
        <f ca="1">AVERAGE(OFFSET($AM$3,0,0,'Données projet'!$E$10+1,1))-AVERAGE(OFFSET($H$3,0,0,'Données projet'!$E$10+1,1))</f>
        <v>446.86777652265448</v>
      </c>
      <c r="AO29" s="62">
        <f t="shared" si="36"/>
        <v>230.82970731138215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14.260000000000002</v>
      </c>
      <c r="BD29" s="13">
        <f>IF('Données projet'!$A$88&gt;35,BD28+BC29-BL28,IF(A29&lt;'Données projet'!$A$88,$BA$205^A29,IF(A29='Données projet'!$A$88,'Données projet'!$B$88,BD28+BC29-BL28)))</f>
        <v>154.76</v>
      </c>
      <c r="BE29" s="14">
        <f>BD29*VLOOKUP('Données projet'!$B$11,Paramètres!$A$1:$I$89,3,0)*VLOOKUP('Données projet'!$B$11,Paramètres!$A$1:$I$89,5,0)</f>
        <v>123.127056</v>
      </c>
      <c r="BF29" s="14">
        <f t="shared" si="37"/>
        <v>32.403238210173519</v>
      </c>
      <c r="BG29" s="22">
        <f t="shared" si="7"/>
        <v>270.88192908271884</v>
      </c>
      <c r="BH29" s="62">
        <f t="shared" si="8"/>
        <v>559.32637352716324</v>
      </c>
      <c r="BI29" s="62">
        <f ca="1">AVERAGE(OFFSET($BH$3,0,0,'Données projet'!$E$11+1,1))-AVERAGE(OFFSET($H$3,0,0,'Données projet'!$E$11+1,1))</f>
        <v>370.59298168107364</v>
      </c>
      <c r="BJ29" s="62">
        <f t="shared" si="38"/>
        <v>404.61777090709171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14.260000000000002</v>
      </c>
      <c r="BY29" s="13">
        <f>IF('Données projet'!$A$114&gt;35,BY28+BX29-CG28,IF(A29&lt;'Données projet'!$A$114,$BV$205^A29,IF(A29='Données projet'!$A$114,'Données projet'!$B$114,BY28+BX29-CG28)))</f>
        <v>154.76</v>
      </c>
      <c r="BZ29" s="14">
        <f>BY29*VLOOKUP('Données projet'!$B$12,Paramètres!$A$1:$I$89,3,0)*VLOOKUP('Données projet'!$B$12,Paramètres!$A$1:$I$89,5,0)</f>
        <v>113.47003199999999</v>
      </c>
      <c r="CA29" s="14">
        <f t="shared" si="39"/>
        <v>30.147067487856493</v>
      </c>
      <c r="CB29" s="22">
        <f t="shared" si="10"/>
        <v>250.13311494134999</v>
      </c>
      <c r="CC29" s="62">
        <f t="shared" si="11"/>
        <v>538.57755938579442</v>
      </c>
      <c r="CD29" s="62">
        <f ca="1">AVERAGE(OFFSET($CC$3,0,0,'Données projet'!$E$12+1,1))-AVERAGE(OFFSET($H$3,0,0,'Données projet'!$E$12+1,1))</f>
        <v>344.45199703750711</v>
      </c>
      <c r="CE29" s="62">
        <f t="shared" si="40"/>
        <v>376.41441893222185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10</v>
      </c>
      <c r="CT29" s="13">
        <f>IF('Données projet'!$A$140&gt;35,CT28+CS29-DB28,IF(A29&lt;'Données projet'!$A$140,$CQ$205^A29,IF(A29='Données projet'!$A$140,'Données projet'!$B$140,CT28+CS29-DB28)))</f>
        <v>146</v>
      </c>
      <c r="CU29" s="18">
        <f>CT29*VLOOKUP('Données projet'!$B$13,Paramètres!$A$1:$I$89,3,0)*VLOOKUP('Données projet'!$B$13,Paramètres!$A$1:$I$89,5,0)</f>
        <v>95.659199999999998</v>
      </c>
      <c r="CV29" s="14">
        <f t="shared" si="41"/>
        <v>25.92520602338745</v>
      </c>
      <c r="CW29" s="22">
        <f t="shared" si="13"/>
        <v>211.75950715739978</v>
      </c>
      <c r="CX29" s="62">
        <f t="shared" si="14"/>
        <v>500.20395160184421</v>
      </c>
      <c r="CY29" s="62">
        <f ca="1">AVERAGE(OFFSET($CX$3,0,0,'Données projet'!$E$13+1,1))-AVERAGE(OFFSET($H$3,0,0,'Données projet'!$E$13+1,1))</f>
        <v>311.53750850588153</v>
      </c>
      <c r="CZ29" s="62">
        <f t="shared" si="42"/>
        <v>304.84379909635476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8.8000000000000007</v>
      </c>
      <c r="DO29" s="13">
        <f>IF('Données projet'!$A$166&gt;35,DO28+DN29-DW28,IF(A29&lt;'Données projet'!$A$166,$DL$205^A29,IF(A29='Données projet'!$A$166,'Données projet'!$B$166,DO28+DN29-DW28)))</f>
        <v>110.79999999999997</v>
      </c>
      <c r="DP29" s="18">
        <f>DO29*VLOOKUP('Données projet'!$B$14,Paramètres!$A$1:$I$89,3,0)*VLOOKUP('Données projet'!$B$14,Paramètres!$A$1:$I$89,5,0)</f>
        <v>89.880959999999973</v>
      </c>
      <c r="DQ29" s="14">
        <f t="shared" si="43"/>
        <v>24.536513201257339</v>
      </c>
      <c r="DR29" s="22">
        <f t="shared" si="16"/>
        <v>199.27709915885649</v>
      </c>
      <c r="DS29" s="62">
        <f t="shared" si="17"/>
        <v>487.72154360330092</v>
      </c>
      <c r="DT29" s="62">
        <f ca="1">AVERAGE(OFFSET($DS$3,0,0,'Données projet'!$E$14+1,1))-AVERAGE(OFFSET($H$3,0,0,'Données projet'!$E$14+1,1))</f>
        <v>256.19915261735281</v>
      </c>
      <c r="DU29" s="62">
        <f t="shared" si="44"/>
        <v>297.47246687305056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7.4358974358974361</v>
      </c>
      <c r="EJ29" s="13">
        <f>IF('Données projet'!$A$192&gt;35,EJ28+EI29-ER28,IF(A29&lt;'Données projet'!$A$192,$EG$205^A29,IF(A29='Données projet'!$A$192,'Données projet'!$B$192,EJ28+EI29-ER28)))</f>
        <v>93.974358974358992</v>
      </c>
      <c r="EK29" s="18">
        <f>EJ29*VLOOKUP('Données projet'!$B$15,Paramètres!$A$1:$I$89,3,0)*VLOOKUP('Données projet'!$B$15,Paramètres!$A$1:$I$89,5,0)</f>
        <v>89.426000000000016</v>
      </c>
      <c r="EL29" s="14">
        <f t="shared" si="45"/>
        <v>24.426738508211891</v>
      </c>
      <c r="EM29" s="22">
        <f t="shared" si="19"/>
        <v>198.29351956846904</v>
      </c>
      <c r="EN29" s="62">
        <f t="shared" si="20"/>
        <v>486.73796401291349</v>
      </c>
      <c r="EO29" s="62">
        <f ca="1">AVERAGE(OFFSET($EN$3,0,0,'Données projet'!$E$15+1,1))-AVERAGE(OFFSET($H$3,0,0,'Données projet'!$E$15+1,1))</f>
        <v>406.24139966722936</v>
      </c>
      <c r="EP29" s="62">
        <f t="shared" si="46"/>
        <v>295.95724296920577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11.5</v>
      </c>
      <c r="FE29" s="13">
        <f>IF('Données projet'!$A$218&gt;35,FE28+FD29-FM28,IF(A29&lt;'Données projet'!$A$218,$FB$205^A29,IF(A29='Données projet'!$A$218,'Données projet'!$B$218,FE28+FD29-FM28)))</f>
        <v>97.499999999999972</v>
      </c>
      <c r="FF29" s="18">
        <f>FE29*VLOOKUP('Données projet'!$B$16,Paramètres!$A$1:$I$89,3,0)*VLOOKUP('Données projet'!$B$16,Paramètres!$A$1:$I$89,5,0)</f>
        <v>76.049999999999983</v>
      </c>
      <c r="FG29" s="14">
        <f t="shared" si="47"/>
        <v>21.168560890749262</v>
      </c>
      <c r="FH29" s="22">
        <f t="shared" si="22"/>
        <v>169.32232688472158</v>
      </c>
      <c r="FI29" s="62">
        <f t="shared" si="23"/>
        <v>457.76677132916603</v>
      </c>
      <c r="FJ29" s="62">
        <f ca="1">AVERAGE(OFFSET($FI$3,0,0,'Données projet'!$E$16+1,1))-AVERAGE(OFFSET($H$3,0,0,'Données projet'!$E$16+1,1))</f>
        <v>292.57482726862594</v>
      </c>
      <c r="FK29" s="62">
        <f t="shared" si="48"/>
        <v>283.48738729114024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9.1999999999999993</v>
      </c>
      <c r="FZ29" s="13">
        <f>IF('Données projet'!$A$244&gt;35,FZ28+FY29-GH28,IF(A29&lt;'Données projet'!$A$244,$FW$205^A29,IF(A29='Données projet'!$A$244,'Données projet'!$B$244,FZ28+FY29-GH28)))</f>
        <v>84.200000000000017</v>
      </c>
      <c r="GA29" s="18">
        <f>FZ29*VLOOKUP('Données projet'!$B$17,Paramètres!$A$1:$I$89,3,0)*VLOOKUP('Données projet'!$B$17,Paramètres!$A$1:$I$89,5,0)</f>
        <v>81.438240000000022</v>
      </c>
      <c r="GB29" s="14">
        <f t="shared" si="49"/>
        <v>22.488475778344696</v>
      </c>
      <c r="GC29" s="22">
        <f t="shared" si="25"/>
        <v>181.00569664728371</v>
      </c>
      <c r="GD29" s="62">
        <f t="shared" si="26"/>
        <v>469.45014109172814</v>
      </c>
      <c r="GE29" s="62">
        <f ca="1">AVERAGE(OFFSET($GD$3,0,0,'Données projet'!$E$17+1,1))-AVERAGE(OFFSET($H$3,0,0,'Données projet'!$E$17+1,1))</f>
        <v>562.69380557620775</v>
      </c>
      <c r="GF29" s="62">
        <f t="shared" si="50"/>
        <v>294.45557293177131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529.25712986118265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77</v>
      </c>
      <c r="AG30" s="13">
        <f>VLOOKUP(A30,'Données projet'!$A$61:$I$81,9,0)</f>
        <v>10.166666666666666</v>
      </c>
      <c r="AH30" s="13">
        <f t="array" ref="AH30">INDEX(AG:AG,MIN(IF(ISNUMBER(AG30:AG226),ROW(AG30:AG226),"")))</f>
        <v>10.166666666666666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66.066000000000003</v>
      </c>
      <c r="AK30" s="14">
        <f t="shared" si="35"/>
        <v>18.69324238096624</v>
      </c>
      <c r="AL30" s="22">
        <f t="shared" si="4"/>
        <v>147.62234714684953</v>
      </c>
      <c r="AM30" s="62">
        <f t="shared" si="5"/>
        <v>437.28901381351625</v>
      </c>
      <c r="AN30" s="62">
        <f ca="1">AVERAGE(OFFSET($AM$3,0,0,'Données projet'!$E$10+1,1))-AVERAGE(OFFSET($H$3,0,0,'Données projet'!$E$10+1,1))</f>
        <v>446.86777652265448</v>
      </c>
      <c r="AO30" s="62">
        <f t="shared" si="36"/>
        <v>230.82970731138215</v>
      </c>
      <c r="AP30" s="16">
        <f>IF(ISNA(VLOOKUP(A30,'Données projet'!$A$61:$I$81,3,0)),0,VLOOKUP(A30,'Données projet'!$A$61:$I$81,3,0))</f>
        <v>1</v>
      </c>
      <c r="AQ30" s="16">
        <f>IF(ISNA(VLOOKUP(A30,'Données projet'!$A$61:$I$81,4,0)),0,VLOOKUP(A30,'Données projet'!$A$61:$I$81,4,0))</f>
        <v>12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14.260000000000002</v>
      </c>
      <c r="BD30" s="13">
        <f>IF('Données projet'!$A$88&gt;35,BD29+BC30-BL29,IF(A30&lt;'Données projet'!$A$88,$BA$205^A30,IF(A30='Données projet'!$A$88,'Données projet'!$B$88,BD29+BC30-BL29)))</f>
        <v>169.01999999999998</v>
      </c>
      <c r="BE30" s="14">
        <f>BD30*VLOOKUP('Données projet'!$B$11,Paramètres!$A$1:$I$89,3,0)*VLOOKUP('Données projet'!$B$11,Paramètres!$A$1:$I$89,5,0)</f>
        <v>134.47231199999999</v>
      </c>
      <c r="BF30" s="14">
        <f t="shared" si="37"/>
        <v>35.027736208949172</v>
      </c>
      <c r="BG30" s="22">
        <f t="shared" si="7"/>
        <v>295.21258396391971</v>
      </c>
      <c r="BH30" s="62">
        <f t="shared" si="8"/>
        <v>584.8792506305864</v>
      </c>
      <c r="BI30" s="62">
        <f ca="1">AVERAGE(OFFSET($BH$3,0,0,'Données projet'!$E$11+1,1))-AVERAGE(OFFSET($H$3,0,0,'Données projet'!$E$11+1,1))</f>
        <v>370.59298168107364</v>
      </c>
      <c r="BJ30" s="62">
        <f t="shared" si="38"/>
        <v>404.61777090709171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14.260000000000002</v>
      </c>
      <c r="BY30" s="13">
        <f>IF('Données projet'!$A$114&gt;35,BY29+BX30-CG29,IF(A30&lt;'Données projet'!$A$114,$BV$205^A30,IF(A30='Données projet'!$A$114,'Données projet'!$B$114,BY29+BX30-CG29)))</f>
        <v>169.01999999999998</v>
      </c>
      <c r="BZ30" s="14">
        <f>BY30*VLOOKUP('Données projet'!$B$12,Paramètres!$A$1:$I$89,3,0)*VLOOKUP('Données projet'!$B$12,Paramètres!$A$1:$I$89,5,0)</f>
        <v>123.92546399999999</v>
      </c>
      <c r="CA30" s="14">
        <f t="shared" si="39"/>
        <v>32.58882709773377</v>
      </c>
      <c r="CB30" s="22">
        <f t="shared" si="10"/>
        <v>272.59572366188627</v>
      </c>
      <c r="CC30" s="62">
        <f t="shared" si="11"/>
        <v>562.26239032855301</v>
      </c>
      <c r="CD30" s="62">
        <f ca="1">AVERAGE(OFFSET($CC$3,0,0,'Données projet'!$E$12+1,1))-AVERAGE(OFFSET($H$3,0,0,'Données projet'!$E$12+1,1))</f>
        <v>344.45199703750711</v>
      </c>
      <c r="CE30" s="62">
        <f t="shared" si="40"/>
        <v>376.41441893222185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10</v>
      </c>
      <c r="CT30" s="13">
        <f>IF('Données projet'!$A$140&gt;35,CT29+CS30-DB29,IF(A30&lt;'Données projet'!$A$140,$CQ$205^A30,IF(A30='Données projet'!$A$140,'Données projet'!$B$140,CT29+CS30-DB29)))</f>
        <v>156</v>
      </c>
      <c r="CU30" s="18">
        <f>CT30*VLOOKUP('Données projet'!$B$13,Paramètres!$A$1:$I$89,3,0)*VLOOKUP('Données projet'!$B$13,Paramètres!$A$1:$I$89,5,0)</f>
        <v>102.21119999999999</v>
      </c>
      <c r="CV30" s="14">
        <f t="shared" si="41"/>
        <v>27.488113037666018</v>
      </c>
      <c r="CW30" s="22">
        <f t="shared" si="13"/>
        <v>225.89297020726829</v>
      </c>
      <c r="CX30" s="62">
        <f t="shared" si="14"/>
        <v>515.55963687393501</v>
      </c>
      <c r="CY30" s="62">
        <f ca="1">AVERAGE(OFFSET($CX$3,0,0,'Données projet'!$E$13+1,1))-AVERAGE(OFFSET($H$3,0,0,'Données projet'!$E$13+1,1))</f>
        <v>311.53750850588153</v>
      </c>
      <c r="CZ30" s="62">
        <f t="shared" si="42"/>
        <v>304.84379909635476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8.8000000000000007</v>
      </c>
      <c r="DO30" s="13">
        <f>IF('Données projet'!$A$166&gt;35,DO29+DN30-DW29,IF(A30&lt;'Données projet'!$A$166,$DL$205^A30,IF(A30='Données projet'!$A$166,'Données projet'!$B$166,DO29+DN30-DW29)))</f>
        <v>119.59999999999997</v>
      </c>
      <c r="DP30" s="18">
        <f>DO30*VLOOKUP('Données projet'!$B$14,Paramètres!$A$1:$I$89,3,0)*VLOOKUP('Données projet'!$B$14,Paramètres!$A$1:$I$89,5,0)</f>
        <v>97.019519999999986</v>
      </c>
      <c r="DQ30" s="14">
        <f t="shared" si="43"/>
        <v>26.250693712468323</v>
      </c>
      <c r="DR30" s="22">
        <f t="shared" si="16"/>
        <v>214.69562221588228</v>
      </c>
      <c r="DS30" s="62">
        <f t="shared" si="17"/>
        <v>504.36228888254897</v>
      </c>
      <c r="DT30" s="62">
        <f ca="1">AVERAGE(OFFSET($DS$3,0,0,'Données projet'!$E$14+1,1))-AVERAGE(OFFSET($H$3,0,0,'Données projet'!$E$14+1,1))</f>
        <v>256.19915261735281</v>
      </c>
      <c r="DU30" s="62">
        <f t="shared" si="44"/>
        <v>297.47246687305056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7.4358974358974361</v>
      </c>
      <c r="EJ30" s="13">
        <f>IF('Données projet'!$A$192&gt;35,EJ29+EI30-ER29,IF(A30&lt;'Données projet'!$A$192,$EG$205^A30,IF(A30='Données projet'!$A$192,'Données projet'!$B$192,EJ29+EI30-ER29)))</f>
        <v>101.41025641025642</v>
      </c>
      <c r="EK30" s="18">
        <f>EJ30*VLOOKUP('Données projet'!$B$15,Paramètres!$A$1:$I$89,3,0)*VLOOKUP('Données projet'!$B$15,Paramètres!$A$1:$I$89,5,0)</f>
        <v>96.50200000000001</v>
      </c>
      <c r="EL30" s="14">
        <f t="shared" si="45"/>
        <v>26.126928217693919</v>
      </c>
      <c r="EM30" s="22">
        <f t="shared" si="19"/>
        <v>213.57871664581691</v>
      </c>
      <c r="EN30" s="62">
        <f t="shared" si="20"/>
        <v>503.24538331248357</v>
      </c>
      <c r="EO30" s="62">
        <f ca="1">AVERAGE(OFFSET($EN$3,0,0,'Données projet'!$E$15+1,1))-AVERAGE(OFFSET($H$3,0,0,'Données projet'!$E$15+1,1))</f>
        <v>406.24139966722936</v>
      </c>
      <c r="EP30" s="62">
        <f t="shared" si="46"/>
        <v>295.95724296920577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11.5</v>
      </c>
      <c r="FE30" s="13">
        <f>IF('Données projet'!$A$218&gt;35,FE29+FD30-FM29,IF(A30&lt;'Données projet'!$A$218,$FB$205^A30,IF(A30='Données projet'!$A$218,'Données projet'!$B$218,FE29+FD30-FM29)))</f>
        <v>108.99999999999997</v>
      </c>
      <c r="FF30" s="18">
        <f>FE30*VLOOKUP('Données projet'!$B$16,Paramètres!$A$1:$I$89,3,0)*VLOOKUP('Données projet'!$B$16,Paramètres!$A$1:$I$89,5,0)</f>
        <v>85.019999999999982</v>
      </c>
      <c r="FG30" s="14">
        <f t="shared" si="47"/>
        <v>23.360218970693108</v>
      </c>
      <c r="FH30" s="22">
        <f t="shared" si="22"/>
        <v>188.76221470729047</v>
      </c>
      <c r="FI30" s="62">
        <f t="shared" si="23"/>
        <v>478.42888137395715</v>
      </c>
      <c r="FJ30" s="62">
        <f ca="1">AVERAGE(OFFSET($FI$3,0,0,'Données projet'!$E$16+1,1))-AVERAGE(OFFSET($H$3,0,0,'Données projet'!$E$16+1,1))</f>
        <v>292.57482726862594</v>
      </c>
      <c r="FK30" s="62">
        <f t="shared" si="48"/>
        <v>283.48738729114024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9.1999999999999993</v>
      </c>
      <c r="FZ30" s="13">
        <f>IF('Données projet'!$A$244&gt;35,FZ29+FY30-GH29,IF(A30&lt;'Données projet'!$A$244,$FW$205^A30,IF(A30='Données projet'!$A$244,'Données projet'!$B$244,FZ29+FY30-GH29)))</f>
        <v>93.40000000000002</v>
      </c>
      <c r="GA30" s="18">
        <f>FZ30*VLOOKUP('Données projet'!$B$17,Paramètres!$A$1:$I$89,3,0)*VLOOKUP('Données projet'!$B$17,Paramètres!$A$1:$I$89,5,0)</f>
        <v>90.336480000000023</v>
      </c>
      <c r="GB30" s="14">
        <f t="shared" si="49"/>
        <v>24.646358234355564</v>
      </c>
      <c r="GC30" s="22">
        <f t="shared" si="25"/>
        <v>200.26177659150264</v>
      </c>
      <c r="GD30" s="62">
        <f t="shared" si="26"/>
        <v>489.9284432581693</v>
      </c>
      <c r="GE30" s="62">
        <f ca="1">AVERAGE(OFFSET($GD$3,0,0,'Données projet'!$E$17+1,1))-AVERAGE(OFFSET($H$3,0,0,'Données projet'!$E$17+1,1))</f>
        <v>562.69380557620775</v>
      </c>
      <c r="GF30" s="62">
        <f t="shared" si="50"/>
        <v>294.45557293177131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529.25712986118265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12.333333333333334</v>
      </c>
      <c r="AI31" s="14">
        <f>IF('Données projet'!$A$62&gt;35,AI30+AH31-AQ30,IF(A31&lt;'Données projet'!$A$62,$AF$205^A31,IF(A31='Données projet'!$A$62,'Données projet'!$B$62,AI30+AH31-AQ30)))</f>
        <v>77.333333333333329</v>
      </c>
      <c r="AJ31" s="14">
        <f>AI31*VLOOKUP('Données projet'!$B$10,Paramètres!$A$1:$I$89,3,0)*VLOOKUP('Données projet'!$B$10,Paramètres!$A$1:$I$89,5,0)</f>
        <v>66.352000000000004</v>
      </c>
      <c r="AK31" s="14">
        <f t="shared" si="35"/>
        <v>18.764728069895565</v>
      </c>
      <c r="AL31" s="22">
        <f t="shared" si="4"/>
        <v>148.24496805506811</v>
      </c>
      <c r="AM31" s="62">
        <f t="shared" si="5"/>
        <v>439.13385694395697</v>
      </c>
      <c r="AN31" s="62">
        <f ca="1">AVERAGE(OFFSET($AM$3,0,0,'Données projet'!$E$10+1,1))-AVERAGE(OFFSET($H$3,0,0,'Données projet'!$E$10+1,1))</f>
        <v>446.86777652265448</v>
      </c>
      <c r="AO31" s="62">
        <f t="shared" si="36"/>
        <v>230.82970731138215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14.260000000000002</v>
      </c>
      <c r="BD31" s="13">
        <f>IF('Données projet'!$A$88&gt;35,BD30+BC31-BL30,IF(A31&lt;'Données projet'!$A$88,$BA$205^A31,IF(A31='Données projet'!$A$88,'Données projet'!$B$88,BD30+BC31-BL30)))</f>
        <v>183.27999999999997</v>
      </c>
      <c r="BE31" s="14">
        <f>BD31*VLOOKUP('Données projet'!$B$11,Paramètres!$A$1:$I$89,3,0)*VLOOKUP('Données projet'!$B$11,Paramètres!$A$1:$I$89,5,0)</f>
        <v>145.81756799999999</v>
      </c>
      <c r="BF31" s="14">
        <f t="shared" si="37"/>
        <v>37.626554284689291</v>
      </c>
      <c r="BG31" s="22">
        <f t="shared" si="7"/>
        <v>319.49851297916712</v>
      </c>
      <c r="BH31" s="62">
        <f t="shared" si="8"/>
        <v>610.38740186805603</v>
      </c>
      <c r="BI31" s="62">
        <f ca="1">AVERAGE(OFFSET($BH$3,0,0,'Données projet'!$E$11+1,1))-AVERAGE(OFFSET($H$3,0,0,'Données projet'!$E$11+1,1))</f>
        <v>370.59298168107364</v>
      </c>
      <c r="BJ31" s="62">
        <f t="shared" si="38"/>
        <v>404.61777090709171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14.260000000000002</v>
      </c>
      <c r="BY31" s="13">
        <f>IF('Données projet'!$A$114&gt;35,BY30+BX31-CG30,IF(A31&lt;'Données projet'!$A$114,$BV$205^A31,IF(A31='Données projet'!$A$114,'Données projet'!$B$114,BY30+BX31-CG30)))</f>
        <v>183.27999999999997</v>
      </c>
      <c r="BZ31" s="14">
        <f>BY31*VLOOKUP('Données projet'!$B$12,Paramètres!$A$1:$I$89,3,0)*VLOOKUP('Données projet'!$B$12,Paramètres!$A$1:$I$89,5,0)</f>
        <v>134.38089599999998</v>
      </c>
      <c r="CA31" s="14">
        <f t="shared" si="39"/>
        <v>35.006694824713001</v>
      </c>
      <c r="CB31" s="22">
        <f t="shared" si="10"/>
        <v>295.01672068637509</v>
      </c>
      <c r="CC31" s="62">
        <f t="shared" si="11"/>
        <v>585.90560957526395</v>
      </c>
      <c r="CD31" s="62">
        <f ca="1">AVERAGE(OFFSET($CC$3,0,0,'Données projet'!$E$12+1,1))-AVERAGE(OFFSET($H$3,0,0,'Données projet'!$E$12+1,1))</f>
        <v>344.45199703750711</v>
      </c>
      <c r="CE31" s="62">
        <f t="shared" si="40"/>
        <v>376.41441893222185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10</v>
      </c>
      <c r="CT31" s="13">
        <f>IF('Données projet'!$A$140&gt;35,CT30+CS31-DB30,IF(A31&lt;'Données projet'!$A$140,$CQ$205^A31,IF(A31='Données projet'!$A$140,'Données projet'!$B$140,CT30+CS31-DB30)))</f>
        <v>166</v>
      </c>
      <c r="CU31" s="18">
        <f>CT31*VLOOKUP('Données projet'!$B$13,Paramètres!$A$1:$I$89,3,0)*VLOOKUP('Données projet'!$B$13,Paramètres!$A$1:$I$89,5,0)</f>
        <v>108.7632</v>
      </c>
      <c r="CV31" s="14">
        <f t="shared" si="41"/>
        <v>29.039393357192587</v>
      </c>
      <c r="CW31" s="22">
        <f t="shared" si="13"/>
        <v>240.00618343044377</v>
      </c>
      <c r="CX31" s="62">
        <f t="shared" si="14"/>
        <v>530.8950723193326</v>
      </c>
      <c r="CY31" s="62">
        <f ca="1">AVERAGE(OFFSET($CX$3,0,0,'Données projet'!$E$13+1,1))-AVERAGE(OFFSET($H$3,0,0,'Données projet'!$E$13+1,1))</f>
        <v>311.53750850588153</v>
      </c>
      <c r="CZ31" s="62">
        <f t="shared" si="42"/>
        <v>304.84379909635476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8.8000000000000007</v>
      </c>
      <c r="DO31" s="13">
        <f>IF('Données projet'!$A$166&gt;35,DO30+DN31-DW30,IF(A31&lt;'Données projet'!$A$166,$DL$205^A31,IF(A31='Données projet'!$A$166,'Données projet'!$B$166,DO30+DN31-DW30)))</f>
        <v>128.39999999999998</v>
      </c>
      <c r="DP31" s="18">
        <f>DO31*VLOOKUP('Données projet'!$B$14,Paramètres!$A$1:$I$89,3,0)*VLOOKUP('Données projet'!$B$14,Paramètres!$A$1:$I$89,5,0)</f>
        <v>104.15807999999998</v>
      </c>
      <c r="DQ31" s="14">
        <f t="shared" si="43"/>
        <v>27.950241801489337</v>
      </c>
      <c r="DR31" s="22">
        <f t="shared" si="16"/>
        <v>230.08866047092724</v>
      </c>
      <c r="DS31" s="62">
        <f t="shared" si="17"/>
        <v>520.97754935981607</v>
      </c>
      <c r="DT31" s="62">
        <f ca="1">AVERAGE(OFFSET($DS$3,0,0,'Données projet'!$E$14+1,1))-AVERAGE(OFFSET($H$3,0,0,'Données projet'!$E$14+1,1))</f>
        <v>256.19915261735281</v>
      </c>
      <c r="DU31" s="62">
        <f t="shared" si="44"/>
        <v>297.47246687305056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7.4358974358974361</v>
      </c>
      <c r="EJ31" s="13">
        <f>IF('Données projet'!$A$192&gt;35,EJ30+EI31-ER30,IF(A31&lt;'Données projet'!$A$192,$EG$205^A31,IF(A31='Données projet'!$A$192,'Données projet'!$B$192,EJ30+EI31-ER30)))</f>
        <v>108.84615384615385</v>
      </c>
      <c r="EK31" s="18">
        <f>EJ31*VLOOKUP('Données projet'!$B$15,Paramètres!$A$1:$I$89,3,0)*VLOOKUP('Données projet'!$B$15,Paramètres!$A$1:$I$89,5,0)</f>
        <v>103.57800000000002</v>
      </c>
      <c r="EL31" s="14">
        <f t="shared" si="45"/>
        <v>27.812654852530578</v>
      </c>
      <c r="EM31" s="22">
        <f t="shared" si="19"/>
        <v>228.83872386815744</v>
      </c>
      <c r="EN31" s="62">
        <f t="shared" si="20"/>
        <v>519.72761275704624</v>
      </c>
      <c r="EO31" s="62">
        <f ca="1">AVERAGE(OFFSET($EN$3,0,0,'Données projet'!$E$15+1,1))-AVERAGE(OFFSET($H$3,0,0,'Données projet'!$E$15+1,1))</f>
        <v>406.24139966722936</v>
      </c>
      <c r="EP31" s="62">
        <f t="shared" si="46"/>
        <v>295.95724296920577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11.5</v>
      </c>
      <c r="FE31" s="13">
        <f>IF('Données projet'!$A$218&gt;35,FE30+FD31-FM30,IF(A31&lt;'Données projet'!$A$218,$FB$205^A31,IF(A31='Données projet'!$A$218,'Données projet'!$B$218,FE30+FD31-FM30)))</f>
        <v>120.49999999999997</v>
      </c>
      <c r="FF31" s="18">
        <f>FE31*VLOOKUP('Données projet'!$B$16,Paramètres!$A$1:$I$89,3,0)*VLOOKUP('Données projet'!$B$16,Paramètres!$A$1:$I$89,5,0)</f>
        <v>93.989999999999981</v>
      </c>
      <c r="FG31" s="14">
        <f t="shared" si="47"/>
        <v>25.525074036970079</v>
      </c>
      <c r="FH31" s="22">
        <f t="shared" si="22"/>
        <v>208.15542061438953</v>
      </c>
      <c r="FI31" s="62">
        <f t="shared" si="23"/>
        <v>499.04430950327838</v>
      </c>
      <c r="FJ31" s="62">
        <f ca="1">AVERAGE(OFFSET($FI$3,0,0,'Données projet'!$E$16+1,1))-AVERAGE(OFFSET($H$3,0,0,'Données projet'!$E$16+1,1))</f>
        <v>292.57482726862594</v>
      </c>
      <c r="FK31" s="62">
        <f t="shared" si="48"/>
        <v>283.48738729114024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9.1999999999999993</v>
      </c>
      <c r="FZ31" s="13">
        <f>IF('Données projet'!$A$244&gt;35,FZ30+FY31-GH30,IF(A31&lt;'Données projet'!$A$244,$FW$205^A31,IF(A31='Données projet'!$A$244,'Données projet'!$B$244,FZ30+FY31-GH30)))</f>
        <v>102.60000000000002</v>
      </c>
      <c r="GA31" s="18">
        <f>FZ31*VLOOKUP('Données projet'!$B$17,Paramètres!$A$1:$I$89,3,0)*VLOOKUP('Données projet'!$B$17,Paramètres!$A$1:$I$89,5,0)</f>
        <v>99.234720000000024</v>
      </c>
      <c r="GB31" s="14">
        <f t="shared" si="49"/>
        <v>26.779598706219044</v>
      </c>
      <c r="GC31" s="22">
        <f t="shared" si="25"/>
        <v>219.47493841333153</v>
      </c>
      <c r="GD31" s="62">
        <f t="shared" si="26"/>
        <v>510.36382730222039</v>
      </c>
      <c r="GE31" s="62">
        <f ca="1">AVERAGE(OFFSET($GD$3,0,0,'Données projet'!$E$17+1,1))-AVERAGE(OFFSET($H$3,0,0,'Données projet'!$E$17+1,1))</f>
        <v>562.69380557620775</v>
      </c>
      <c r="GF31" s="62">
        <f t="shared" si="50"/>
        <v>294.45557293177131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529.25712986118265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12.333333333333334</v>
      </c>
      <c r="AI32" s="14">
        <f>IF('Données projet'!$A$62&gt;35,AI31+AH32-AQ31,IF(A32&lt;'Données projet'!$A$62,$AF$205^A32,IF(A32='Données projet'!$A$62,'Données projet'!$B$62,AI31+AH32-AQ31)))</f>
        <v>89.666666666666657</v>
      </c>
      <c r="AJ32" s="14">
        <f>AI32*VLOOKUP('Données projet'!$B$10,Paramètres!$A$1:$I$89,3,0)*VLOOKUP('Données projet'!$B$10,Paramètres!$A$1:$I$89,5,0)</f>
        <v>76.933999999999997</v>
      </c>
      <c r="AK32" s="14">
        <f t="shared" si="35"/>
        <v>21.385834734197029</v>
      </c>
      <c r="AL32" s="22">
        <f t="shared" si="4"/>
        <v>171.24037882872651</v>
      </c>
      <c r="AM32" s="62">
        <f t="shared" si="5"/>
        <v>463.35148993983762</v>
      </c>
      <c r="AN32" s="62">
        <f ca="1">AVERAGE(OFFSET($AM$3,0,0,'Données projet'!$E$10+1,1))-AVERAGE(OFFSET($H$3,0,0,'Données projet'!$E$10+1,1))</f>
        <v>446.86777652265448</v>
      </c>
      <c r="AO32" s="62">
        <f t="shared" si="36"/>
        <v>230.82970731138215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14.260000000000002</v>
      </c>
      <c r="BD32" s="13">
        <f>IF('Données projet'!$A$88&gt;35,BD31+BC32-BL31,IF(A32&lt;'Données projet'!$A$88,$BA$205^A32,IF(A32='Données projet'!$A$88,'Données projet'!$B$88,BD31+BC32-BL31)))</f>
        <v>197.53999999999996</v>
      </c>
      <c r="BE32" s="14">
        <f>BD32*VLOOKUP('Données projet'!$B$11,Paramètres!$A$1:$I$89,3,0)*VLOOKUP('Données projet'!$B$11,Paramètres!$A$1:$I$89,5,0)</f>
        <v>157.162824</v>
      </c>
      <c r="BF32" s="14">
        <f t="shared" si="37"/>
        <v>40.201917615639708</v>
      </c>
      <c r="BG32" s="22">
        <f t="shared" si="7"/>
        <v>343.7435916472391</v>
      </c>
      <c r="BH32" s="62">
        <f t="shared" si="8"/>
        <v>635.85470275835019</v>
      </c>
      <c r="BI32" s="62">
        <f ca="1">AVERAGE(OFFSET($BH$3,0,0,'Données projet'!$E$11+1,1))-AVERAGE(OFFSET($H$3,0,0,'Données projet'!$E$11+1,1))</f>
        <v>370.59298168107364</v>
      </c>
      <c r="BJ32" s="62">
        <f t="shared" si="38"/>
        <v>404.61777090709171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14.260000000000002</v>
      </c>
      <c r="BY32" s="13">
        <f>IF('Données projet'!$A$114&gt;35,BY31+BX32-CG31,IF(A32&lt;'Données projet'!$A$114,$BV$205^A32,IF(A32='Données projet'!$A$114,'Données projet'!$B$114,BY31+BX32-CG31)))</f>
        <v>197.53999999999996</v>
      </c>
      <c r="BZ32" s="14">
        <f>BY32*VLOOKUP('Données projet'!$B$12,Paramètres!$A$1:$I$89,3,0)*VLOOKUP('Données projet'!$B$12,Paramètres!$A$1:$I$89,5,0)</f>
        <v>144.83632799999995</v>
      </c>
      <c r="CA32" s="14">
        <f t="shared" si="39"/>
        <v>37.402740912462832</v>
      </c>
      <c r="CB32" s="22">
        <f t="shared" si="10"/>
        <v>317.39971168920596</v>
      </c>
      <c r="CC32" s="62">
        <f t="shared" si="11"/>
        <v>609.5108228003171</v>
      </c>
      <c r="CD32" s="62">
        <f ca="1">AVERAGE(OFFSET($CC$3,0,0,'Données projet'!$E$12+1,1))-AVERAGE(OFFSET($H$3,0,0,'Données projet'!$E$12+1,1))</f>
        <v>344.45199703750711</v>
      </c>
      <c r="CE32" s="62">
        <f t="shared" si="40"/>
        <v>376.41441893222185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10</v>
      </c>
      <c r="CT32" s="13">
        <f>IF('Données projet'!$A$140&gt;35,CT31+CS32-DB31,IF(A32&lt;'Données projet'!$A$140,$CQ$205^A32,IF(A32='Données projet'!$A$140,'Données projet'!$B$140,CT31+CS32-DB31)))</f>
        <v>176</v>
      </c>
      <c r="CU32" s="18">
        <f>CT32*VLOOKUP('Données projet'!$B$13,Paramètres!$A$1:$I$89,3,0)*VLOOKUP('Données projet'!$B$13,Paramètres!$A$1:$I$89,5,0)</f>
        <v>115.3152</v>
      </c>
      <c r="CV32" s="14">
        <f t="shared" si="41"/>
        <v>30.579827148797317</v>
      </c>
      <c r="CW32" s="22">
        <f t="shared" si="13"/>
        <v>254.10050561748861</v>
      </c>
      <c r="CX32" s="62">
        <f t="shared" si="14"/>
        <v>546.21161672859978</v>
      </c>
      <c r="CY32" s="62">
        <f ca="1">AVERAGE(OFFSET($CX$3,0,0,'Données projet'!$E$13+1,1))-AVERAGE(OFFSET($H$3,0,0,'Données projet'!$E$13+1,1))</f>
        <v>311.53750850588153</v>
      </c>
      <c r="CZ32" s="62">
        <f t="shared" si="42"/>
        <v>304.84379909635476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8.8000000000000007</v>
      </c>
      <c r="DO32" s="13">
        <f>IF('Données projet'!$A$166&gt;35,DO31+DN32-DW31,IF(A32&lt;'Données projet'!$A$166,$DL$205^A32,IF(A32='Données projet'!$A$166,'Données projet'!$B$166,DO31+DN32-DW31)))</f>
        <v>137.19999999999999</v>
      </c>
      <c r="DP32" s="18">
        <f>DO32*VLOOKUP('Données projet'!$B$14,Paramètres!$A$1:$I$89,3,0)*VLOOKUP('Données projet'!$B$14,Paramètres!$A$1:$I$89,5,0)</f>
        <v>111.29664</v>
      </c>
      <c r="DQ32" s="14">
        <f t="shared" si="43"/>
        <v>29.636274399319777</v>
      </c>
      <c r="DR32" s="22">
        <f t="shared" si="16"/>
        <v>245.45815924548194</v>
      </c>
      <c r="DS32" s="62">
        <f t="shared" si="17"/>
        <v>537.56927035659305</v>
      </c>
      <c r="DT32" s="62">
        <f ca="1">AVERAGE(OFFSET($DS$3,0,0,'Données projet'!$E$14+1,1))-AVERAGE(OFFSET($H$3,0,0,'Données projet'!$E$14+1,1))</f>
        <v>256.19915261735281</v>
      </c>
      <c r="DU32" s="62">
        <f t="shared" si="44"/>
        <v>297.47246687305056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7.4358974358974361</v>
      </c>
      <c r="EJ32" s="13">
        <f>IF('Données projet'!$A$192&gt;35,EJ31+EI32-ER31,IF(A32&lt;'Données projet'!$A$192,$EG$205^A32,IF(A32='Données projet'!$A$192,'Données projet'!$B$192,EJ31+EI32-ER31)))</f>
        <v>116.28205128205128</v>
      </c>
      <c r="EK32" s="18">
        <f>EJ32*VLOOKUP('Données projet'!$B$15,Paramètres!$A$1:$I$89,3,0)*VLOOKUP('Données projet'!$B$15,Paramètres!$A$1:$I$89,5,0)</f>
        <v>110.654</v>
      </c>
      <c r="EL32" s="14">
        <f t="shared" si="45"/>
        <v>29.48501887296996</v>
      </c>
      <c r="EM32" s="22">
        <f t="shared" si="19"/>
        <v>244.0754578704227</v>
      </c>
      <c r="EN32" s="62">
        <f t="shared" si="20"/>
        <v>536.18656898153381</v>
      </c>
      <c r="EO32" s="62">
        <f ca="1">AVERAGE(OFFSET($EN$3,0,0,'Données projet'!$E$15+1,1))-AVERAGE(OFFSET($H$3,0,0,'Données projet'!$E$15+1,1))</f>
        <v>406.24139966722936</v>
      </c>
      <c r="EP32" s="62">
        <f t="shared" si="46"/>
        <v>295.95724296920577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11.5</v>
      </c>
      <c r="FE32" s="13">
        <f>IF('Données projet'!$A$218&gt;35,FE31+FD32-FM31,IF(A32&lt;'Données projet'!$A$218,$FB$205^A32,IF(A32='Données projet'!$A$218,'Données projet'!$B$218,FE31+FD32-FM31)))</f>
        <v>131.99999999999997</v>
      </c>
      <c r="FF32" s="18">
        <f>FE32*VLOOKUP('Données projet'!$B$16,Paramètres!$A$1:$I$89,3,0)*VLOOKUP('Données projet'!$B$16,Paramètres!$A$1:$I$89,5,0)</f>
        <v>102.95999999999998</v>
      </c>
      <c r="FG32" s="14">
        <f t="shared" si="47"/>
        <v>27.665975080374633</v>
      </c>
      <c r="FH32" s="22">
        <f t="shared" si="22"/>
        <v>227.50690659831912</v>
      </c>
      <c r="FI32" s="62">
        <f t="shared" si="23"/>
        <v>519.61801770943021</v>
      </c>
      <c r="FJ32" s="62">
        <f ca="1">AVERAGE(OFFSET($FI$3,0,0,'Données projet'!$E$16+1,1))-AVERAGE(OFFSET($H$3,0,0,'Données projet'!$E$16+1,1))</f>
        <v>292.57482726862594</v>
      </c>
      <c r="FK32" s="62">
        <f t="shared" si="48"/>
        <v>283.48738729114024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9.1999999999999993</v>
      </c>
      <c r="FZ32" s="13">
        <f>IF('Données projet'!$A$244&gt;35,FZ31+FY32-GH31,IF(A32&lt;'Données projet'!$A$244,$FW$205^A32,IF(A32='Données projet'!$A$244,'Données projet'!$B$244,FZ31+FY32-GH31)))</f>
        <v>111.80000000000003</v>
      </c>
      <c r="GA32" s="18">
        <f>FZ32*VLOOKUP('Données projet'!$B$17,Paramètres!$A$1:$I$89,3,0)*VLOOKUP('Données projet'!$B$17,Paramètres!$A$1:$I$89,5,0)</f>
        <v>108.13296000000003</v>
      </c>
      <c r="GB32" s="14">
        <f t="shared" si="49"/>
        <v>28.890658079177882</v>
      </c>
      <c r="GC32" s="22">
        <f t="shared" si="25"/>
        <v>238.64946815456821</v>
      </c>
      <c r="GD32" s="62">
        <f t="shared" si="26"/>
        <v>530.76057926567933</v>
      </c>
      <c r="GE32" s="62">
        <f ca="1">AVERAGE(OFFSET($GD$3,0,0,'Données projet'!$E$17+1,1))-AVERAGE(OFFSET($H$3,0,0,'Données projet'!$E$17+1,1))</f>
        <v>562.69380557620775</v>
      </c>
      <c r="GF32" s="62">
        <f t="shared" si="50"/>
        <v>294.45557293177131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529.25712986118265</v>
      </c>
      <c r="T33" s="62">
        <f t="shared" si="34"/>
        <v>278.21741231699929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102</v>
      </c>
      <c r="AG33" s="13">
        <f>VLOOKUP(A33,'Données projet'!$A$61:$I$81,9,0)</f>
        <v>12.333333333333334</v>
      </c>
      <c r="AH33" s="13">
        <f t="array" ref="AH33">INDEX(AG:AG,MIN(IF(ISNUMBER(AG33:AG229),ROW(AG33:AG229),"")))</f>
        <v>12.333333333333334</v>
      </c>
      <c r="AI33" s="14">
        <f>IF('Données projet'!$A$62&gt;35,AI32+AH33-AQ32,IF(A33&lt;'Données projet'!$A$62,$AF$205^A33,IF(A33='Données projet'!$A$62,'Données projet'!$B$62,AI32+AH33-AQ32)))</f>
        <v>101.99999999999999</v>
      </c>
      <c r="AJ33" s="14">
        <f>AI33*VLOOKUP('Données projet'!$B$10,Paramètres!$A$1:$I$89,3,0)*VLOOKUP('Données projet'!$B$10,Paramètres!$A$1:$I$89,5,0)</f>
        <v>87.515999999999991</v>
      </c>
      <c r="AK33" s="14">
        <f t="shared" si="35"/>
        <v>23.965171662037644</v>
      </c>
      <c r="AL33" s="22">
        <f t="shared" si="4"/>
        <v>194.16304064471555</v>
      </c>
      <c r="AM33" s="62">
        <f t="shared" si="5"/>
        <v>487.49637397804884</v>
      </c>
      <c r="AN33" s="62">
        <f ca="1">AVERAGE(OFFSET($AM$3,0,0,'Données projet'!$E$10+1,1))-AVERAGE(OFFSET($H$3,0,0,'Données projet'!$E$10+1,1))</f>
        <v>446.86777652265448</v>
      </c>
      <c r="AO33" s="62">
        <f t="shared" si="36"/>
        <v>230.82970731138215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13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211.8</v>
      </c>
      <c r="BB33" s="13">
        <f>VLOOKUP(A33,'Données projet'!$A$87:$I$107,9,0)</f>
        <v>14.260000000000002</v>
      </c>
      <c r="BC33" s="13">
        <f t="array" ref="BC33">INDEX(BB:BB,MIN(IF(ISNUMBER(BB33:BB229),ROW(BB33:BB229),"")))</f>
        <v>14.260000000000002</v>
      </c>
      <c r="BD33" s="13">
        <f>IF('Données projet'!$A$88&gt;35,BD32+BC33-BL32,IF(A33&lt;'Données projet'!$A$88,$BA$205^A33,IF(A33='Données projet'!$A$88,'Données projet'!$B$88,BD32+BC33-BL32)))</f>
        <v>211.79999999999995</v>
      </c>
      <c r="BE33" s="14">
        <f>BD33*VLOOKUP('Données projet'!$B$11,Paramètres!$A$1:$I$89,3,0)*VLOOKUP('Données projet'!$B$11,Paramètres!$A$1:$I$89,5,0)</f>
        <v>168.50807999999995</v>
      </c>
      <c r="BF33" s="14">
        <f t="shared" si="37"/>
        <v>42.755711908378117</v>
      </c>
      <c r="BG33" s="22">
        <f t="shared" si="7"/>
        <v>367.95110424042514</v>
      </c>
      <c r="BH33" s="62">
        <f t="shared" si="8"/>
        <v>661.2844375737584</v>
      </c>
      <c r="BI33" s="62">
        <f ca="1">AVERAGE(OFFSET($BH$3,0,0,'Données projet'!$E$11+1,1))-AVERAGE(OFFSET($H$3,0,0,'Données projet'!$E$11+1,1))</f>
        <v>370.59298168107364</v>
      </c>
      <c r="BJ33" s="62">
        <f t="shared" si="38"/>
        <v>404.61777090709171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70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211.8</v>
      </c>
      <c r="BW33" s="13">
        <f>VLOOKUP(A33,'Données projet'!$A$113:$I$133,9,0)</f>
        <v>14.260000000000002</v>
      </c>
      <c r="BX33" s="13">
        <f t="array" ref="BX33">INDEX(BW:BW,MIN(IF(ISNUMBER(BW33:BW229),ROW(BW33:BW229),"")))</f>
        <v>14.260000000000002</v>
      </c>
      <c r="BY33" s="13">
        <f>IF('Données projet'!$A$114&gt;35,BY32+BX33-CG32,IF(A33&lt;'Données projet'!$A$114,$BV$205^A33,IF(A33='Données projet'!$A$114,'Données projet'!$B$114,BY32+BX33-CG32)))</f>
        <v>211.79999999999995</v>
      </c>
      <c r="BZ33" s="14">
        <f>BY33*VLOOKUP('Données projet'!$B$12,Paramètres!$A$1:$I$89,3,0)*VLOOKUP('Données projet'!$B$12,Paramètres!$A$1:$I$89,5,0)</f>
        <v>155.29175999999998</v>
      </c>
      <c r="CA33" s="14">
        <f t="shared" si="39"/>
        <v>39.778719769696814</v>
      </c>
      <c r="CB33" s="22">
        <f t="shared" si="10"/>
        <v>339.74775226555522</v>
      </c>
      <c r="CC33" s="62">
        <f t="shared" si="11"/>
        <v>633.08108559888854</v>
      </c>
      <c r="CD33" s="62">
        <f ca="1">AVERAGE(OFFSET($CC$3,0,0,'Données projet'!$E$12+1,1))-AVERAGE(OFFSET($H$3,0,0,'Données projet'!$E$12+1,1))</f>
        <v>344.45199703750711</v>
      </c>
      <c r="CE33" s="62">
        <f t="shared" si="40"/>
        <v>376.41441893222185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70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186</v>
      </c>
      <c r="CR33" s="13">
        <f>VLOOKUP(A33,'Données projet'!$A$139:$I$159,9,0)</f>
        <v>10</v>
      </c>
      <c r="CS33" s="13">
        <f t="array" ref="CS33">INDEX(CR:CR,MIN(IF(ISNUMBER(CR33:CR229),ROW(CR33:CR229),"")))</f>
        <v>10</v>
      </c>
      <c r="CT33" s="13">
        <f>IF('Données projet'!$A$140&gt;35,CT32+CS33-DB32,IF(A33&lt;'Données projet'!$A$140,$CQ$205^A33,IF(A33='Données projet'!$A$140,'Données projet'!$B$140,CT32+CS33-DB32)))</f>
        <v>186</v>
      </c>
      <c r="CU33" s="18">
        <f>CT33*VLOOKUP('Données projet'!$B$13,Paramètres!$A$1:$I$89,3,0)*VLOOKUP('Données projet'!$B$13,Paramètres!$A$1:$I$89,5,0)</f>
        <v>121.86719999999998</v>
      </c>
      <c r="CV33" s="14">
        <f t="shared" si="41"/>
        <v>32.110100916567376</v>
      </c>
      <c r="CW33" s="22">
        <f t="shared" si="13"/>
        <v>268.17713242968813</v>
      </c>
      <c r="CX33" s="62">
        <f t="shared" si="14"/>
        <v>561.51046576302144</v>
      </c>
      <c r="CY33" s="62">
        <f ca="1">AVERAGE(OFFSET($CX$3,0,0,'Données projet'!$E$13+1,1))-AVERAGE(OFFSET($H$3,0,0,'Données projet'!$E$13+1,1))</f>
        <v>311.53750850588153</v>
      </c>
      <c r="CZ33" s="62">
        <f t="shared" si="42"/>
        <v>304.84379909635476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146</v>
      </c>
      <c r="DM33" s="13">
        <f>VLOOKUP(A33,'Données projet'!$A$165:$I$185,9,0)</f>
        <v>8.8000000000000007</v>
      </c>
      <c r="DN33" s="13">
        <f t="array" ref="DN33">INDEX(DM:DM,MIN(IF(ISNUMBER(DM33:DM229),ROW(DM33:DM229),"")))</f>
        <v>8.8000000000000007</v>
      </c>
      <c r="DO33" s="13">
        <f>IF('Données projet'!$A$166&gt;35,DO32+DN33-DW32,IF(A33&lt;'Données projet'!$A$166,$DL$205^A33,IF(A33='Données projet'!$A$166,'Données projet'!$B$166,DO32+DN33-DW32)))</f>
        <v>146</v>
      </c>
      <c r="DP33" s="18">
        <f>DO33*VLOOKUP('Données projet'!$B$14,Paramètres!$A$1:$I$89,3,0)*VLOOKUP('Données projet'!$B$14,Paramètres!$A$1:$I$89,5,0)</f>
        <v>118.43520000000001</v>
      </c>
      <c r="DQ33" s="14">
        <f t="shared" si="43"/>
        <v>31.309757056296963</v>
      </c>
      <c r="DR33" s="22">
        <f t="shared" si="16"/>
        <v>260.80580020638394</v>
      </c>
      <c r="DS33" s="62">
        <f t="shared" si="17"/>
        <v>554.13913353971725</v>
      </c>
      <c r="DT33" s="62">
        <f ca="1">AVERAGE(OFFSET($DS$3,0,0,'Données projet'!$E$14+1,1))-AVERAGE(OFFSET($H$3,0,0,'Données projet'!$E$14+1,1))</f>
        <v>256.19915261735281</v>
      </c>
      <c r="DU33" s="62">
        <f t="shared" si="44"/>
        <v>297.47246687305056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123.71794871794872</v>
      </c>
      <c r="EH33" s="13">
        <f>VLOOKUP(A33,'Données projet'!$A$191:$I$211,9,0)</f>
        <v>7.4358974358974361</v>
      </c>
      <c r="EI33" s="13">
        <f t="array" ref="EI33">INDEX(EH:EH,MIN(IF(ISNUMBER(EH33:EH229),ROW(EH33:EH229),"")))</f>
        <v>7.4358974358974361</v>
      </c>
      <c r="EJ33" s="13">
        <f>IF('Données projet'!$A$192&gt;35,EJ32+EI33-ER32,IF(A33&lt;'Données projet'!$A$192,$EG$205^A33,IF(A33='Données projet'!$A$192,'Données projet'!$B$192,EJ32+EI33-ER32)))</f>
        <v>123.71794871794872</v>
      </c>
      <c r="EK33" s="18">
        <f>EJ33*VLOOKUP('Données projet'!$B$15,Paramètres!$A$1:$I$89,3,0)*VLOOKUP('Données projet'!$B$15,Paramètres!$A$1:$I$89,5,0)</f>
        <v>117.73</v>
      </c>
      <c r="EL33" s="14">
        <f t="shared" si="45"/>
        <v>31.144972039735432</v>
      </c>
      <c r="EM33" s="22">
        <f t="shared" si="19"/>
        <v>259.29057630253919</v>
      </c>
      <c r="EN33" s="62">
        <f t="shared" si="20"/>
        <v>552.62390963587245</v>
      </c>
      <c r="EO33" s="62">
        <f ca="1">AVERAGE(OFFSET($EN$3,0,0,'Données projet'!$E$15+1,1))-AVERAGE(OFFSET($H$3,0,0,'Données projet'!$E$15+1,1))</f>
        <v>406.24139966722936</v>
      </c>
      <c r="EP33" s="62">
        <f t="shared" si="46"/>
        <v>295.95724296920577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11.5</v>
      </c>
      <c r="FE33" s="13">
        <f>IF('Données projet'!$A$218&gt;35,FE32+FD33-FM32,IF(A33&lt;'Données projet'!$A$218,$FB$205^A33,IF(A33='Données projet'!$A$218,'Données projet'!$B$218,FE32+FD33-FM32)))</f>
        <v>143.49999999999997</v>
      </c>
      <c r="FF33" s="18">
        <f>FE33*VLOOKUP('Données projet'!$B$16,Paramètres!$A$1:$I$89,3,0)*VLOOKUP('Données projet'!$B$16,Paramètres!$A$1:$I$89,5,0)</f>
        <v>111.92999999999998</v>
      </c>
      <c r="FG33" s="14">
        <f t="shared" si="47"/>
        <v>29.785246291563833</v>
      </c>
      <c r="FH33" s="22">
        <f t="shared" si="22"/>
        <v>246.82072062447358</v>
      </c>
      <c r="FI33" s="62">
        <f t="shared" si="23"/>
        <v>540.15405395780692</v>
      </c>
      <c r="FJ33" s="62">
        <f ca="1">AVERAGE(OFFSET($FI$3,0,0,'Données projet'!$E$16+1,1))-AVERAGE(OFFSET($H$3,0,0,'Données projet'!$E$16+1,1))</f>
        <v>292.57482726862594</v>
      </c>
      <c r="FK33" s="62">
        <f t="shared" si="48"/>
        <v>283.48738729114024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121</v>
      </c>
      <c r="FX33" s="13">
        <f>VLOOKUP(A33,'Données projet'!$A$243:$I$263,9,0)</f>
        <v>9.1999999999999993</v>
      </c>
      <c r="FY33" s="13">
        <f t="array" ref="FY33">INDEX(FX:FX,MIN(IF(ISNUMBER(FX33:FX229),ROW(FX33:FX229),"")))</f>
        <v>9.1999999999999993</v>
      </c>
      <c r="FZ33" s="13">
        <f>IF('Données projet'!$A$244&gt;35,FZ32+FY33-GH32,IF(A33&lt;'Données projet'!$A$244,$FW$205^A33,IF(A33='Données projet'!$A$244,'Données projet'!$B$244,FZ32+FY33-GH32)))</f>
        <v>121.00000000000003</v>
      </c>
      <c r="GA33" s="18">
        <f>FZ33*VLOOKUP('Données projet'!$B$17,Paramètres!$A$1:$I$89,3,0)*VLOOKUP('Données projet'!$B$17,Paramètres!$A$1:$I$89,5,0)</f>
        <v>117.03120000000003</v>
      </c>
      <c r="GB33" s="14">
        <f t="shared" si="49"/>
        <v>30.981569147428555</v>
      </c>
      <c r="GC33" s="22">
        <f t="shared" si="25"/>
        <v>257.78890626510474</v>
      </c>
      <c r="GD33" s="62">
        <f t="shared" si="26"/>
        <v>551.122239598438</v>
      </c>
      <c r="GE33" s="62">
        <f ca="1">AVERAGE(OFFSET($GD$3,0,0,'Données projet'!$E$17+1,1))-AVERAGE(OFFSET($H$3,0,0,'Données projet'!$E$17+1,1))</f>
        <v>562.69380557620775</v>
      </c>
      <c r="GF33" s="62">
        <f t="shared" si="50"/>
        <v>294.45557293177131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131.80000000000004</v>
      </c>
      <c r="O34" s="14">
        <f>N34*VLOOKUP('Données projet'!$B$9,Paramètres!$A$1:$I$89,3,0)*VLOOKUP('Données projet'!$B$9,Paramètres!$A$1:$I$89,5,0)</f>
        <v>119.25264000000003</v>
      </c>
      <c r="P34" s="14">
        <f t="shared" si="33"/>
        <v>31.500626518374375</v>
      </c>
      <c r="Q34" s="22">
        <f t="shared" si="2"/>
        <v>262.56193918616879</v>
      </c>
      <c r="R34" s="62">
        <f t="shared" si="0"/>
        <v>555.8952725195021</v>
      </c>
      <c r="S34" s="62">
        <f ca="1">AVERAGE(OFFSET($R$3,0,0,'Données projet'!$E$9+1,1))-AVERAGE(OFFSET($H$3,0,0,'Données projet'!$E$9+1,1))</f>
        <v>529.25712986118265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14.166666666666666</v>
      </c>
      <c r="AI34" s="14">
        <f>IF('Données projet'!$A$62&gt;35,AI33+AH34-AQ33,IF(A34&lt;'Données projet'!$A$62,$AF$205^A34,IF(A34='Données projet'!$A$62,'Données projet'!$B$62,AI33+AH34-AQ33)))</f>
        <v>103.16666666666666</v>
      </c>
      <c r="AJ34" s="14">
        <f>AI34*VLOOKUP('Données projet'!$B$10,Paramètres!$A$1:$I$89,3,0)*VLOOKUP('Données projet'!$B$10,Paramètres!$A$1:$I$89,5,0)</f>
        <v>88.51700000000001</v>
      </c>
      <c r="AK34" s="14">
        <f t="shared" si="35"/>
        <v>24.207215980626653</v>
      </c>
      <c r="AL34" s="22">
        <f t="shared" si="4"/>
        <v>196.32800949959145</v>
      </c>
      <c r="AM34" s="62">
        <f t="shared" si="5"/>
        <v>489.66134283292479</v>
      </c>
      <c r="AN34" s="62">
        <f ca="1">AVERAGE(OFFSET($AM$3,0,0,'Données projet'!$E$10+1,1))-AVERAGE(OFFSET($H$3,0,0,'Données projet'!$E$10+1,1))</f>
        <v>446.86777652265448</v>
      </c>
      <c r="AO34" s="62">
        <f t="shared" si="36"/>
        <v>230.82970731138215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12.919999999999998</v>
      </c>
      <c r="BD34" s="13">
        <f>IF('Données projet'!$A$88&gt;35,BD33+BC34-BL33,IF(A34&lt;'Données projet'!$A$88,$BA$205^A34,IF(A34='Données projet'!$A$88,'Données projet'!$B$88,BD33+BC34-BL33)))</f>
        <v>154.71999999999994</v>
      </c>
      <c r="BE34" s="14">
        <f>BD34*VLOOKUP('Données projet'!$B$11,Paramètres!$A$1:$I$89,3,0)*VLOOKUP('Données projet'!$B$11,Paramètres!$A$1:$I$89,5,0)</f>
        <v>123.09523199999997</v>
      </c>
      <c r="BF34" s="14">
        <f t="shared" si="37"/>
        <v>32.395837865893974</v>
      </c>
      <c r="BG34" s="22">
        <f t="shared" si="7"/>
        <v>270.81361334976526</v>
      </c>
      <c r="BH34" s="62">
        <f t="shared" si="8"/>
        <v>564.14694668309858</v>
      </c>
      <c r="BI34" s="62">
        <f ca="1">AVERAGE(OFFSET($BH$3,0,0,'Données projet'!$E$11+1,1))-AVERAGE(OFFSET($H$3,0,0,'Données projet'!$E$11+1,1))</f>
        <v>370.59298168107364</v>
      </c>
      <c r="BJ34" s="62">
        <f t="shared" si="38"/>
        <v>404.61777090709171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12.919999999999998</v>
      </c>
      <c r="BY34" s="13">
        <f>IF('Données projet'!$A$114&gt;35,BY33+BX34-CG33,IF(A34&lt;'Données projet'!$A$114,$BV$205^A34,IF(A34='Données projet'!$A$114,'Données projet'!$B$114,BY33+BX34-CG33)))</f>
        <v>154.71999999999994</v>
      </c>
      <c r="BZ34" s="14">
        <f>BY34*VLOOKUP('Données projet'!$B$12,Paramètres!$A$1:$I$89,3,0)*VLOOKUP('Données projet'!$B$12,Paramètres!$A$1:$I$89,5,0)</f>
        <v>113.44070399999997</v>
      </c>
      <c r="CA34" s="14">
        <f t="shared" si="39"/>
        <v>30.140182414303599</v>
      </c>
      <c r="CB34" s="22">
        <f t="shared" si="10"/>
        <v>250.07004383824537</v>
      </c>
      <c r="CC34" s="62">
        <f t="shared" si="11"/>
        <v>543.40337717157865</v>
      </c>
      <c r="CD34" s="62">
        <f ca="1">AVERAGE(OFFSET($CC$3,0,0,'Données projet'!$E$12+1,1))-AVERAGE(OFFSET($H$3,0,0,'Données projet'!$E$12+1,1))</f>
        <v>344.45199703750711</v>
      </c>
      <c r="CE34" s="62">
        <f t="shared" si="40"/>
        <v>376.41441893222185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9.6</v>
      </c>
      <c r="CT34" s="13">
        <f>IF('Données projet'!$A$140&gt;35,CT33+CS34-DB33,IF(A34&lt;'Données projet'!$A$140,$CQ$205^A34,IF(A34='Données projet'!$A$140,'Données projet'!$B$140,CT33+CS34-DB33)))</f>
        <v>195.6</v>
      </c>
      <c r="CU34" s="18">
        <f>CT34*VLOOKUP('Données projet'!$B$13,Paramètres!$A$1:$I$89,3,0)*VLOOKUP('Données projet'!$B$13,Paramètres!$A$1:$I$89,5,0)</f>
        <v>128.15711999999999</v>
      </c>
      <c r="CV34" s="14">
        <f t="shared" si="41"/>
        <v>33.570170672555321</v>
      </c>
      <c r="CW34" s="22">
        <f t="shared" si="13"/>
        <v>281.67503125470051</v>
      </c>
      <c r="CX34" s="62">
        <f t="shared" si="14"/>
        <v>575.00836458803383</v>
      </c>
      <c r="CY34" s="62">
        <f ca="1">AVERAGE(OFFSET($CX$3,0,0,'Données projet'!$E$13+1,1))-AVERAGE(OFFSET($H$3,0,0,'Données projet'!$E$13+1,1))</f>
        <v>311.53750850588153</v>
      </c>
      <c r="CZ34" s="62">
        <f t="shared" si="42"/>
        <v>304.84379909635476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8.8000000000000007</v>
      </c>
      <c r="DO34" s="13">
        <f>IF('Données projet'!$A$166&gt;35,DO33+DN34-DW33,IF(A34&lt;'Données projet'!$A$166,$DL$205^A34,IF(A34='Données projet'!$A$166,'Données projet'!$B$166,DO33+DN34-DW33)))</f>
        <v>154.80000000000001</v>
      </c>
      <c r="DP34" s="18">
        <f>DO34*VLOOKUP('Données projet'!$B$14,Paramètres!$A$1:$I$89,3,0)*VLOOKUP('Données projet'!$B$14,Paramètres!$A$1:$I$89,5,0)</f>
        <v>125.57376000000002</v>
      </c>
      <c r="DQ34" s="14">
        <f t="shared" si="43"/>
        <v>32.97153235129214</v>
      </c>
      <c r="DR34" s="22">
        <f t="shared" si="16"/>
        <v>276.13305084516719</v>
      </c>
      <c r="DS34" s="62">
        <f t="shared" si="17"/>
        <v>569.46638417850045</v>
      </c>
      <c r="DT34" s="62">
        <f ca="1">AVERAGE(OFFSET($DS$3,0,0,'Données projet'!$E$14+1,1))-AVERAGE(OFFSET($H$3,0,0,'Données projet'!$E$14+1,1))</f>
        <v>256.19915261735281</v>
      </c>
      <c r="DU34" s="62">
        <f t="shared" si="44"/>
        <v>297.47246687305056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7.1794871794871797</v>
      </c>
      <c r="EJ34" s="13">
        <f>IF('Données projet'!$A$192&gt;35,EJ33+EI34-ER33,IF(A34&lt;'Données projet'!$A$192,$EG$205^A34,IF(A34='Données projet'!$A$192,'Données projet'!$B$192,EJ33+EI34-ER33)))</f>
        <v>130.89743589743588</v>
      </c>
      <c r="EK34" s="18">
        <f>EJ34*VLOOKUP('Données projet'!$B$15,Paramètres!$A$1:$I$89,3,0)*VLOOKUP('Données projet'!$B$15,Paramètres!$A$1:$I$89,5,0)</f>
        <v>124.56199999999998</v>
      </c>
      <c r="EL34" s="14">
        <f t="shared" si="45"/>
        <v>32.736689328514629</v>
      </c>
      <c r="EM34" s="22">
        <f t="shared" si="19"/>
        <v>273.96188391382958</v>
      </c>
      <c r="EN34" s="62">
        <f t="shared" si="20"/>
        <v>567.2952172471629</v>
      </c>
      <c r="EO34" s="62">
        <f ca="1">AVERAGE(OFFSET($EN$3,0,0,'Données projet'!$E$15+1,1))-AVERAGE(OFFSET($H$3,0,0,'Données projet'!$E$15+1,1))</f>
        <v>406.24139966722936</v>
      </c>
      <c r="EP34" s="62">
        <f t="shared" si="46"/>
        <v>295.95724296920577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>
        <f>VLOOKUP(A34,'Données projet'!$A$217:$I$237,2,0)</f>
        <v>155</v>
      </c>
      <c r="FC34" s="13">
        <f>VLOOKUP(A34,'Données projet'!$A$217:$I$237,9,0)</f>
        <v>11.5</v>
      </c>
      <c r="FD34" s="13">
        <f t="array" ref="FD34">INDEX(FC:FC,MIN(IF(ISNUMBER(FC34:FC230),ROW(FC34:FC230),"")))</f>
        <v>11.5</v>
      </c>
      <c r="FE34" s="13">
        <f>IF('Données projet'!$A$218&gt;35,FE33+FD34-FM33,IF(A34&lt;'Données projet'!$A$218,$FB$205^A34,IF(A34='Données projet'!$A$218,'Données projet'!$B$218,FE33+FD34-FM33)))</f>
        <v>154.99999999999997</v>
      </c>
      <c r="FF34" s="18">
        <f>FE34*VLOOKUP('Données projet'!$B$16,Paramètres!$A$1:$I$89,3,0)*VLOOKUP('Données projet'!$B$16,Paramètres!$A$1:$I$89,5,0)</f>
        <v>120.89999999999998</v>
      </c>
      <c r="FG34" s="14">
        <f t="shared" si="47"/>
        <v>31.884818143351602</v>
      </c>
      <c r="FH34" s="22">
        <f t="shared" si="22"/>
        <v>266.10022493300397</v>
      </c>
      <c r="FI34" s="62">
        <f t="shared" si="23"/>
        <v>559.43355826633729</v>
      </c>
      <c r="FJ34" s="62">
        <f ca="1">AVERAGE(OFFSET($FI$3,0,0,'Données projet'!$E$16+1,1))-AVERAGE(OFFSET($H$3,0,0,'Données projet'!$E$16+1,1))</f>
        <v>292.57482726862594</v>
      </c>
      <c r="FK34" s="62">
        <f t="shared" si="48"/>
        <v>283.48738729114024</v>
      </c>
      <c r="FL34" s="16">
        <f>IF(ISNA(VLOOKUP(A34,'Données projet'!$A$217:$I$237,3,0)),0,VLOOKUP(A34,'Données projet'!$A$217:$I$237,3,0))</f>
        <v>2</v>
      </c>
      <c r="FM34" s="16">
        <f>IF(ISNA(VLOOKUP(A34,'Données projet'!$A$217:$I$237,4,0)),0,VLOOKUP(A34,'Données projet'!$A$217:$I$237,4,0))</f>
        <v>36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10.8</v>
      </c>
      <c r="FZ34" s="13">
        <f>IF('Données projet'!$A$244&gt;35,FZ33+FY34-GH33,IF(A34&lt;'Données projet'!$A$244,$FW$205^A34,IF(A34='Données projet'!$A$244,'Données projet'!$B$244,FZ33+FY34-GH33)))</f>
        <v>131.80000000000004</v>
      </c>
      <c r="GA34" s="18">
        <f>FZ34*VLOOKUP('Données projet'!$B$17,Paramètres!$A$1:$I$89,3,0)*VLOOKUP('Données projet'!$B$17,Paramètres!$A$1:$I$89,5,0)</f>
        <v>127.47696000000003</v>
      </c>
      <c r="GB34" s="14">
        <f t="shared" si="49"/>
        <v>33.412695535466739</v>
      </c>
      <c r="GC34" s="22">
        <f t="shared" si="25"/>
        <v>280.21615005760458</v>
      </c>
      <c r="GD34" s="62">
        <f t="shared" si="26"/>
        <v>573.54948339093789</v>
      </c>
      <c r="GE34" s="62">
        <f ca="1">AVERAGE(OFFSET($GD$3,0,0,'Données projet'!$E$17+1,1))-AVERAGE(OFFSET($H$3,0,0,'Données projet'!$E$17+1,1))</f>
        <v>562.69380557620775</v>
      </c>
      <c r="GF34" s="62">
        <f t="shared" si="50"/>
        <v>294.45557293177131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142.60000000000005</v>
      </c>
      <c r="O35" s="14">
        <f>N35*VLOOKUP('Données projet'!$B$9,Paramètres!$A$1:$I$89,3,0)*VLOOKUP('Données projet'!$B$9,Paramètres!$A$1:$I$89,5,0)</f>
        <v>129.02448000000004</v>
      </c>
      <c r="P35" s="14">
        <f t="shared" si="33"/>
        <v>33.770846580616279</v>
      </c>
      <c r="Q35" s="22">
        <f t="shared" ref="Q35:Q66" si="53">(O35+P35)*0.475*44/12</f>
        <v>283.53519379457339</v>
      </c>
      <c r="R35" s="62">
        <f t="shared" si="0"/>
        <v>576.86852712790665</v>
      </c>
      <c r="S35" s="62">
        <f ca="1">AVERAGE(OFFSET($R$3,0,0,'Données projet'!$E$9+1,1))-AVERAGE(OFFSET($H$3,0,0,'Données projet'!$E$9+1,1))</f>
        <v>529.25712986118265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14.166666666666666</v>
      </c>
      <c r="AI35" s="14">
        <f>IF('Données projet'!$A$62&gt;35,AI34+AH35-AQ34,IF(A35&lt;'Données projet'!$A$62,$AF$205^A35,IF(A35='Données projet'!$A$62,'Données projet'!$B$62,AI34+AH35-AQ34)))</f>
        <v>117.33333333333333</v>
      </c>
      <c r="AJ35" s="14">
        <f>AI35*VLOOKUP('Données projet'!$B$10,Paramètres!$A$1:$I$89,3,0)*VLOOKUP('Données projet'!$B$10,Paramètres!$A$1:$I$89,5,0)</f>
        <v>100.672</v>
      </c>
      <c r="AK35" s="14">
        <f t="shared" si="35"/>
        <v>27.122029824032914</v>
      </c>
      <c r="AL35" s="22">
        <f t="shared" si="4"/>
        <v>222.57460194352402</v>
      </c>
      <c r="AM35" s="62">
        <f t="shared" si="5"/>
        <v>515.9079352768573</v>
      </c>
      <c r="AN35" s="62">
        <f ca="1">AVERAGE(OFFSET($AM$3,0,0,'Données projet'!$E$10+1,1))-AVERAGE(OFFSET($H$3,0,0,'Données projet'!$E$10+1,1))</f>
        <v>446.86777652265448</v>
      </c>
      <c r="AO35" s="62">
        <f t="shared" si="36"/>
        <v>230.82970731138215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12.919999999999998</v>
      </c>
      <c r="BD35" s="13">
        <f>IF('Données projet'!$A$88&gt;35,BD34+BC35-BL34,IF(A35&lt;'Données projet'!$A$88,$BA$205^A35,IF(A35='Données projet'!$A$88,'Données projet'!$B$88,BD34+BC35-BL34)))</f>
        <v>167.63999999999993</v>
      </c>
      <c r="BE35" s="14">
        <f>BD35*VLOOKUP('Données projet'!$B$11,Paramètres!$A$1:$I$89,3,0)*VLOOKUP('Données projet'!$B$11,Paramètres!$A$1:$I$89,5,0)</f>
        <v>133.37438399999996</v>
      </c>
      <c r="BF35" s="14">
        <f t="shared" si="37"/>
        <v>34.774913711031935</v>
      </c>
      <c r="BG35" s="22">
        <f t="shared" si="7"/>
        <v>292.86002684671388</v>
      </c>
      <c r="BH35" s="62">
        <f t="shared" si="8"/>
        <v>586.19336018004719</v>
      </c>
      <c r="BI35" s="62">
        <f ca="1">AVERAGE(OFFSET($BH$3,0,0,'Données projet'!$E$11+1,1))-AVERAGE(OFFSET($H$3,0,0,'Données projet'!$E$11+1,1))</f>
        <v>370.59298168107364</v>
      </c>
      <c r="BJ35" s="62">
        <f t="shared" si="38"/>
        <v>404.61777090709171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12.919999999999998</v>
      </c>
      <c r="BY35" s="13">
        <f>IF('Données projet'!$A$114&gt;35,BY34+BX35-CG34,IF(A35&lt;'Données projet'!$A$114,$BV$205^A35,IF(A35='Données projet'!$A$114,'Données projet'!$B$114,BY34+BX35-CG34)))</f>
        <v>167.63999999999993</v>
      </c>
      <c r="BZ35" s="14">
        <f>BY35*VLOOKUP('Données projet'!$B$12,Paramètres!$A$1:$I$89,3,0)*VLOOKUP('Données projet'!$B$12,Paramètres!$A$1:$I$89,5,0)</f>
        <v>122.91364799999994</v>
      </c>
      <c r="CA35" s="14">
        <f t="shared" si="39"/>
        <v>32.353608109504151</v>
      </c>
      <c r="CB35" s="22">
        <f t="shared" si="10"/>
        <v>270.42380439071962</v>
      </c>
      <c r="CC35" s="62">
        <f t="shared" si="11"/>
        <v>563.75713772405288</v>
      </c>
      <c r="CD35" s="62">
        <f ca="1">AVERAGE(OFFSET($CC$3,0,0,'Données projet'!$E$12+1,1))-AVERAGE(OFFSET($H$3,0,0,'Données projet'!$E$12+1,1))</f>
        <v>344.45199703750711</v>
      </c>
      <c r="CE35" s="62">
        <f t="shared" si="40"/>
        <v>376.41441893222185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9.6</v>
      </c>
      <c r="CT35" s="13">
        <f>IF('Données projet'!$A$140&gt;35,CT34+CS35-DB34,IF(A35&lt;'Données projet'!$A$140,$CQ$205^A35,IF(A35='Données projet'!$A$140,'Données projet'!$B$140,CT34+CS35-DB34)))</f>
        <v>205.2</v>
      </c>
      <c r="CU35" s="18">
        <f>CT35*VLOOKUP('Données projet'!$B$13,Paramètres!$A$1:$I$89,3,0)*VLOOKUP('Données projet'!$B$13,Paramètres!$A$1:$I$89,5,0)</f>
        <v>134.44703999999999</v>
      </c>
      <c r="CV35" s="14">
        <f t="shared" si="41"/>
        <v>35.021919474074494</v>
      </c>
      <c r="CW35" s="22">
        <f t="shared" si="13"/>
        <v>295.1584377506797</v>
      </c>
      <c r="CX35" s="62">
        <f t="shared" si="14"/>
        <v>588.49177108401295</v>
      </c>
      <c r="CY35" s="62">
        <f ca="1">AVERAGE(OFFSET($CX$3,0,0,'Données projet'!$E$13+1,1))-AVERAGE(OFFSET($H$3,0,0,'Données projet'!$E$13+1,1))</f>
        <v>311.53750850588153</v>
      </c>
      <c r="CZ35" s="62">
        <f t="shared" si="42"/>
        <v>304.84379909635476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8.8000000000000007</v>
      </c>
      <c r="DO35" s="13">
        <f>IF('Données projet'!$A$166&gt;35,DO34+DN35-DW34,IF(A35&lt;'Données projet'!$A$166,$DL$205^A35,IF(A35='Données projet'!$A$166,'Données projet'!$B$166,DO34+DN35-DW34)))</f>
        <v>163.60000000000002</v>
      </c>
      <c r="DP35" s="18">
        <f>DO35*VLOOKUP('Données projet'!$B$14,Paramètres!$A$1:$I$89,3,0)*VLOOKUP('Données projet'!$B$14,Paramètres!$A$1:$I$89,5,0)</f>
        <v>132.71232000000003</v>
      </c>
      <c r="DQ35" s="14">
        <f t="shared" si="43"/>
        <v>34.622341655285041</v>
      </c>
      <c r="DR35" s="22">
        <f t="shared" si="16"/>
        <v>291.44120238295483</v>
      </c>
      <c r="DS35" s="62">
        <f t="shared" si="17"/>
        <v>584.77453571628814</v>
      </c>
      <c r="DT35" s="62">
        <f ca="1">AVERAGE(OFFSET($DS$3,0,0,'Données projet'!$E$14+1,1))-AVERAGE(OFFSET($H$3,0,0,'Données projet'!$E$14+1,1))</f>
        <v>256.19915261735281</v>
      </c>
      <c r="DU35" s="62">
        <f t="shared" si="44"/>
        <v>297.47246687305056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7.1794871794871797</v>
      </c>
      <c r="EJ35" s="13">
        <f>IF('Données projet'!$A$192&gt;35,EJ34+EI35-ER34,IF(A35&lt;'Données projet'!$A$192,$EG$205^A35,IF(A35='Données projet'!$A$192,'Données projet'!$B$192,EJ34+EI35-ER34)))</f>
        <v>138.07692307692307</v>
      </c>
      <c r="EK35" s="18">
        <f>EJ35*VLOOKUP('Données projet'!$B$15,Paramètres!$A$1:$I$89,3,0)*VLOOKUP('Données projet'!$B$15,Paramètres!$A$1:$I$89,5,0)</f>
        <v>131.39400000000001</v>
      </c>
      <c r="EL35" s="14">
        <f t="shared" si="45"/>
        <v>34.318271576212204</v>
      </c>
      <c r="EM35" s="22">
        <f t="shared" si="19"/>
        <v>288.61553966190291</v>
      </c>
      <c r="EN35" s="62">
        <f t="shared" si="20"/>
        <v>581.94887299523623</v>
      </c>
      <c r="EO35" s="62">
        <f ca="1">AVERAGE(OFFSET($EN$3,0,0,'Données projet'!$E$15+1,1))-AVERAGE(OFFSET($H$3,0,0,'Données projet'!$E$15+1,1))</f>
        <v>406.24139966722936</v>
      </c>
      <c r="EP35" s="62">
        <f t="shared" si="46"/>
        <v>295.95724296920577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11.5</v>
      </c>
      <c r="FE35" s="13">
        <f>IF('Données projet'!$A$218&gt;35,FE34+FD35-FM34,IF(A35&lt;'Données projet'!$A$218,$FB$205^A35,IF(A35='Données projet'!$A$218,'Données projet'!$B$218,FE34+FD35-FM34)))</f>
        <v>130.49999999999997</v>
      </c>
      <c r="FF35" s="18">
        <f>FE35*VLOOKUP('Données projet'!$B$16,Paramètres!$A$1:$I$89,3,0)*VLOOKUP('Données projet'!$B$16,Paramètres!$A$1:$I$89,5,0)</f>
        <v>101.78999999999998</v>
      </c>
      <c r="FG35" s="14">
        <f t="shared" si="47"/>
        <v>27.38799903683508</v>
      </c>
      <c r="FH35" s="22">
        <f t="shared" si="22"/>
        <v>224.98501498915437</v>
      </c>
      <c r="FI35" s="62">
        <f t="shared" si="23"/>
        <v>518.31834832248774</v>
      </c>
      <c r="FJ35" s="62">
        <f ca="1">AVERAGE(OFFSET($FI$3,0,0,'Données projet'!$E$16+1,1))-AVERAGE(OFFSET($H$3,0,0,'Données projet'!$E$16+1,1))</f>
        <v>292.57482726862594</v>
      </c>
      <c r="FK35" s="62">
        <f t="shared" si="48"/>
        <v>283.48738729114024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10.8</v>
      </c>
      <c r="FZ35" s="13">
        <f>IF('Données projet'!$A$244&gt;35,FZ34+FY35-GH34,IF(A35&lt;'Données projet'!$A$244,$FW$205^A35,IF(A35='Données projet'!$A$244,'Données projet'!$B$244,FZ34+FY35-GH34)))</f>
        <v>142.60000000000005</v>
      </c>
      <c r="GA35" s="18">
        <f>FZ35*VLOOKUP('Données projet'!$B$17,Paramètres!$A$1:$I$89,3,0)*VLOOKUP('Données projet'!$B$17,Paramètres!$A$1:$I$89,5,0)</f>
        <v>137.92272000000006</v>
      </c>
      <c r="GB35" s="14">
        <f t="shared" si="49"/>
        <v>35.82071658526872</v>
      </c>
      <c r="GC35" s="22">
        <f t="shared" si="25"/>
        <v>302.60315205267642</v>
      </c>
      <c r="GD35" s="62">
        <f t="shared" si="26"/>
        <v>595.93648538600974</v>
      </c>
      <c r="GE35" s="62">
        <f ca="1">AVERAGE(OFFSET($GD$3,0,0,'Données projet'!$E$17+1,1))-AVERAGE(OFFSET($H$3,0,0,'Données projet'!$E$17+1,1))</f>
        <v>562.69380557620775</v>
      </c>
      <c r="GF35" s="62">
        <f t="shared" si="50"/>
        <v>294.45557293177131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153.40000000000006</v>
      </c>
      <c r="O36" s="14">
        <f>N36*VLOOKUP('Données projet'!$B$9,Paramètres!$A$1:$I$89,3,0)*VLOOKUP('Données projet'!$B$9,Paramètres!$A$1:$I$89,5,0)</f>
        <v>138.79632000000007</v>
      </c>
      <c r="P36" s="14">
        <f t="shared" si="33"/>
        <v>36.021120886354588</v>
      </c>
      <c r="Q36" s="22">
        <f t="shared" si="53"/>
        <v>304.47370954373434</v>
      </c>
      <c r="R36" s="62">
        <f t="shared" si="0"/>
        <v>597.80704287706772</v>
      </c>
      <c r="S36" s="62">
        <f ca="1">AVERAGE(OFFSET($R$3,0,0,'Données projet'!$E$9+1,1))-AVERAGE(OFFSET($H$3,0,0,'Données projet'!$E$9+1,1))</f>
        <v>529.25712986118265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14.166666666666666</v>
      </c>
      <c r="AI36" s="14">
        <f>IF('Données projet'!$A$62&gt;35,AI35+AH36-AQ35,IF(A36&lt;'Données projet'!$A$62,$AF$205^A36,IF(A36='Données projet'!$A$62,'Données projet'!$B$62,AI35+AH36-AQ35)))</f>
        <v>131.5</v>
      </c>
      <c r="AJ36" s="14">
        <f>AI36*VLOOKUP('Données projet'!$B$10,Paramètres!$A$1:$I$89,3,0)*VLOOKUP('Données projet'!$B$10,Paramètres!$A$1:$I$89,5,0)</f>
        <v>112.82700000000001</v>
      </c>
      <c r="AK36" s="14">
        <f t="shared" si="35"/>
        <v>29.996060965411449</v>
      </c>
      <c r="AL36" s="22">
        <f t="shared" si="4"/>
        <v>248.75016451475827</v>
      </c>
      <c r="AM36" s="62">
        <f t="shared" si="5"/>
        <v>542.08349784809161</v>
      </c>
      <c r="AN36" s="62">
        <f ca="1">AVERAGE(OFFSET($AM$3,0,0,'Données projet'!$E$10+1,1))-AVERAGE(OFFSET($H$3,0,0,'Données projet'!$E$10+1,1))</f>
        <v>446.86777652265448</v>
      </c>
      <c r="AO36" s="62">
        <f t="shared" si="36"/>
        <v>230.82970731138215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12.919999999999998</v>
      </c>
      <c r="BD36" s="13">
        <f>IF('Données projet'!$A$88&gt;35,BD35+BC36-BL35,IF(A36&lt;'Données projet'!$A$88,$BA$205^A36,IF(A36='Données projet'!$A$88,'Données projet'!$B$88,BD35+BC36-BL35)))</f>
        <v>180.55999999999992</v>
      </c>
      <c r="BE36" s="14">
        <f>BD36*VLOOKUP('Données projet'!$B$11,Paramètres!$A$1:$I$89,3,0)*VLOOKUP('Données projet'!$B$11,Paramètres!$A$1:$I$89,5,0)</f>
        <v>143.65353599999995</v>
      </c>
      <c r="BF36" s="14">
        <f t="shared" si="37"/>
        <v>37.132720247116019</v>
      </c>
      <c r="BG36" s="22">
        <f t="shared" si="7"/>
        <v>314.86939629706029</v>
      </c>
      <c r="BH36" s="62">
        <f t="shared" si="8"/>
        <v>608.20272963039361</v>
      </c>
      <c r="BI36" s="62">
        <f ca="1">AVERAGE(OFFSET($BH$3,0,0,'Données projet'!$E$11+1,1))-AVERAGE(OFFSET($H$3,0,0,'Données projet'!$E$11+1,1))</f>
        <v>370.59298168107364</v>
      </c>
      <c r="BJ36" s="62">
        <f t="shared" si="38"/>
        <v>404.61777090709171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12.919999999999998</v>
      </c>
      <c r="BY36" s="13">
        <f>IF('Données projet'!$A$114&gt;35,BY35+BX36-CG35,IF(A36&lt;'Données projet'!$A$114,$BV$205^A36,IF(A36='Données projet'!$A$114,'Données projet'!$B$114,BY35+BX36-CG35)))</f>
        <v>180.55999999999992</v>
      </c>
      <c r="BZ36" s="14">
        <f>BY36*VLOOKUP('Données projet'!$B$12,Paramètres!$A$1:$I$89,3,0)*VLOOKUP('Données projet'!$B$12,Paramètres!$A$1:$I$89,5,0)</f>
        <v>132.38659199999992</v>
      </c>
      <c r="CA36" s="14">
        <f t="shared" si="39"/>
        <v>34.547245433823143</v>
      </c>
      <c r="CB36" s="22">
        <f t="shared" si="10"/>
        <v>290.74310019724186</v>
      </c>
      <c r="CC36" s="62">
        <f t="shared" si="11"/>
        <v>584.07643353057517</v>
      </c>
      <c r="CD36" s="62">
        <f ca="1">AVERAGE(OFFSET($CC$3,0,0,'Données projet'!$E$12+1,1))-AVERAGE(OFFSET($H$3,0,0,'Données projet'!$E$12+1,1))</f>
        <v>344.45199703750711</v>
      </c>
      <c r="CE36" s="62">
        <f t="shared" si="40"/>
        <v>376.41441893222185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9.6</v>
      </c>
      <c r="CT36" s="13">
        <f>IF('Données projet'!$A$140&gt;35,CT35+CS36-DB35,IF(A36&lt;'Données projet'!$A$140,$CQ$205^A36,IF(A36='Données projet'!$A$140,'Données projet'!$B$140,CT35+CS36-DB35)))</f>
        <v>214.79999999999998</v>
      </c>
      <c r="CU36" s="18">
        <f>CT36*VLOOKUP('Données projet'!$B$13,Paramètres!$A$1:$I$89,3,0)*VLOOKUP('Données projet'!$B$13,Paramètres!$A$1:$I$89,5,0)</f>
        <v>140.73695999999998</v>
      </c>
      <c r="CV36" s="14">
        <f t="shared" si="41"/>
        <v>36.46578106060695</v>
      </c>
      <c r="CW36" s="22">
        <f t="shared" si="13"/>
        <v>308.62810734722376</v>
      </c>
      <c r="CX36" s="62">
        <f t="shared" si="14"/>
        <v>601.96144068055708</v>
      </c>
      <c r="CY36" s="62">
        <f ca="1">AVERAGE(OFFSET($CX$3,0,0,'Données projet'!$E$13+1,1))-AVERAGE(OFFSET($H$3,0,0,'Données projet'!$E$13+1,1))</f>
        <v>311.53750850588153</v>
      </c>
      <c r="CZ36" s="62">
        <f t="shared" si="42"/>
        <v>304.84379909635476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8.8000000000000007</v>
      </c>
      <c r="DO36" s="13">
        <f>IF('Données projet'!$A$166&gt;35,DO35+DN36-DW35,IF(A36&lt;'Données projet'!$A$166,$DL$205^A36,IF(A36='Données projet'!$A$166,'Données projet'!$B$166,DO35+DN36-DW35)))</f>
        <v>172.40000000000003</v>
      </c>
      <c r="DP36" s="18">
        <f>DO36*VLOOKUP('Données projet'!$B$14,Paramètres!$A$1:$I$89,3,0)*VLOOKUP('Données projet'!$B$14,Paramètres!$A$1:$I$89,5,0)</f>
        <v>139.85088000000005</v>
      </c>
      <c r="DQ36" s="14">
        <f t="shared" si="43"/>
        <v>36.262842078476233</v>
      </c>
      <c r="DR36" s="22">
        <f t="shared" si="16"/>
        <v>306.7313992866795</v>
      </c>
      <c r="DS36" s="62">
        <f t="shared" si="17"/>
        <v>600.06473262001282</v>
      </c>
      <c r="DT36" s="62">
        <f ca="1">AVERAGE(OFFSET($DS$3,0,0,'Données projet'!$E$14+1,1))-AVERAGE(OFFSET($H$3,0,0,'Données projet'!$E$14+1,1))</f>
        <v>256.19915261735281</v>
      </c>
      <c r="DU36" s="62">
        <f t="shared" si="44"/>
        <v>297.47246687305056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7.1794871794871797</v>
      </c>
      <c r="EJ36" s="13">
        <f>IF('Données projet'!$A$192&gt;35,EJ35+EI36-ER35,IF(A36&lt;'Données projet'!$A$192,$EG$205^A36,IF(A36='Données projet'!$A$192,'Données projet'!$B$192,EJ35+EI36-ER35)))</f>
        <v>145.25641025641025</v>
      </c>
      <c r="EK36" s="18">
        <f>EJ36*VLOOKUP('Données projet'!$B$15,Paramètres!$A$1:$I$89,3,0)*VLOOKUP('Données projet'!$B$15,Paramètres!$A$1:$I$89,5,0)</f>
        <v>138.22599999999997</v>
      </c>
      <c r="EL36" s="14">
        <f t="shared" si="45"/>
        <v>35.890305873918834</v>
      </c>
      <c r="EM36" s="22">
        <f t="shared" si="19"/>
        <v>303.25256606374194</v>
      </c>
      <c r="EN36" s="62">
        <f t="shared" si="20"/>
        <v>596.58589939707531</v>
      </c>
      <c r="EO36" s="62">
        <f ca="1">AVERAGE(OFFSET($EN$3,0,0,'Données projet'!$E$15+1,1))-AVERAGE(OFFSET($H$3,0,0,'Données projet'!$E$15+1,1))</f>
        <v>406.24139966722936</v>
      </c>
      <c r="EP36" s="62">
        <f t="shared" si="46"/>
        <v>295.95724296920577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11.5</v>
      </c>
      <c r="FE36" s="13">
        <f>IF('Données projet'!$A$218&gt;35,FE35+FD36-FM35,IF(A36&lt;'Données projet'!$A$218,$FB$205^A36,IF(A36='Données projet'!$A$218,'Données projet'!$B$218,FE35+FD36-FM35)))</f>
        <v>141.99999999999997</v>
      </c>
      <c r="FF36" s="18">
        <f>FE36*VLOOKUP('Données projet'!$B$16,Paramètres!$A$1:$I$89,3,0)*VLOOKUP('Données projet'!$B$16,Paramètres!$A$1:$I$89,5,0)</f>
        <v>110.75999999999998</v>
      </c>
      <c r="FG36" s="14">
        <f t="shared" si="47"/>
        <v>29.509974682362923</v>
      </c>
      <c r="FH36" s="22">
        <f t="shared" si="22"/>
        <v>244.30353923844871</v>
      </c>
      <c r="FI36" s="62">
        <f t="shared" si="23"/>
        <v>537.63687257178208</v>
      </c>
      <c r="FJ36" s="62">
        <f ca="1">AVERAGE(OFFSET($FI$3,0,0,'Données projet'!$E$16+1,1))-AVERAGE(OFFSET($H$3,0,0,'Données projet'!$E$16+1,1))</f>
        <v>292.57482726862594</v>
      </c>
      <c r="FK36" s="62">
        <f t="shared" si="48"/>
        <v>283.48738729114024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10.8</v>
      </c>
      <c r="FZ36" s="13">
        <f>IF('Données projet'!$A$244&gt;35,FZ35+FY36-GH35,IF(A36&lt;'Données projet'!$A$244,$FW$205^A36,IF(A36='Données projet'!$A$244,'Données projet'!$B$244,FZ35+FY36-GH35)))</f>
        <v>153.40000000000006</v>
      </c>
      <c r="GA36" s="18">
        <f>FZ36*VLOOKUP('Données projet'!$B$17,Paramètres!$A$1:$I$89,3,0)*VLOOKUP('Données projet'!$B$17,Paramètres!$A$1:$I$89,5,0)</f>
        <v>148.36848000000006</v>
      </c>
      <c r="GB36" s="14">
        <f t="shared" si="49"/>
        <v>38.207581183185937</v>
      </c>
      <c r="GC36" s="22">
        <f t="shared" si="25"/>
        <v>324.95330656071559</v>
      </c>
      <c r="GD36" s="62">
        <f t="shared" si="26"/>
        <v>618.2866398940489</v>
      </c>
      <c r="GE36" s="62">
        <f ca="1">AVERAGE(OFFSET($GD$3,0,0,'Données projet'!$E$17+1,1))-AVERAGE(OFFSET($H$3,0,0,'Données projet'!$E$17+1,1))</f>
        <v>562.69380557620775</v>
      </c>
      <c r="GF36" s="62">
        <f t="shared" si="50"/>
        <v>294.45557293177131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164.20000000000007</v>
      </c>
      <c r="O37" s="14">
        <f>N37*VLOOKUP('Données projet'!$B$9,Paramètres!$A$1:$I$89,3,0)*VLOOKUP('Données projet'!$B$9,Paramètres!$A$1:$I$89,5,0)</f>
        <v>148.56816000000006</v>
      </c>
      <c r="P37" s="14">
        <f t="shared" si="33"/>
        <v>38.253013425360628</v>
      </c>
      <c r="Q37" s="22">
        <f t="shared" si="53"/>
        <v>325.38021038250321</v>
      </c>
      <c r="R37" s="62">
        <f t="shared" si="0"/>
        <v>618.71354371583652</v>
      </c>
      <c r="S37" s="62">
        <f ca="1">AVERAGE(OFFSET($R$3,0,0,'Données projet'!$E$9+1,1))-AVERAGE(OFFSET($H$3,0,0,'Données projet'!$E$9+1,1))</f>
        <v>529.25712986118265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14.166666666666666</v>
      </c>
      <c r="AI37" s="14">
        <f>IF('Données projet'!$A$62&gt;35,AI36+AH37-AQ36,IF(A37&lt;'Données projet'!$A$62,$AF$205^A37,IF(A37='Données projet'!$A$62,'Données projet'!$B$62,AI36+AH37-AQ36)))</f>
        <v>145.66666666666666</v>
      </c>
      <c r="AJ37" s="14">
        <f>AI37*VLOOKUP('Données projet'!$B$10,Paramètres!$A$1:$I$89,3,0)*VLOOKUP('Données projet'!$B$10,Paramètres!$A$1:$I$89,5,0)</f>
        <v>124.98200000000001</v>
      </c>
      <c r="AK37" s="14">
        <f t="shared" si="35"/>
        <v>32.834203796212122</v>
      </c>
      <c r="AL37" s="22">
        <f t="shared" si="4"/>
        <v>274.86322161173609</v>
      </c>
      <c r="AM37" s="62">
        <f t="shared" si="5"/>
        <v>568.19655494506947</v>
      </c>
      <c r="AN37" s="62">
        <f ca="1">AVERAGE(OFFSET($AM$3,0,0,'Données projet'!$E$10+1,1))-AVERAGE(OFFSET($H$3,0,0,'Données projet'!$E$10+1,1))</f>
        <v>446.86777652265448</v>
      </c>
      <c r="AO37" s="62">
        <f t="shared" si="36"/>
        <v>230.82970731138215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12.919999999999998</v>
      </c>
      <c r="BD37" s="13">
        <f>IF('Données projet'!$A$88&gt;35,BD36+BC37-BL36,IF(A37&lt;'Données projet'!$A$88,$BA$205^A37,IF(A37='Données projet'!$A$88,'Données projet'!$B$88,BD36+BC37-BL36)))</f>
        <v>193.4799999999999</v>
      </c>
      <c r="BE37" s="14">
        <f>BD37*VLOOKUP('Données projet'!$B$11,Paramètres!$A$1:$I$89,3,0)*VLOOKUP('Données projet'!$B$11,Paramètres!$A$1:$I$89,5,0)</f>
        <v>153.93268799999993</v>
      </c>
      <c r="BF37" s="14">
        <f t="shared" si="37"/>
        <v>39.470952496040077</v>
      </c>
      <c r="BG37" s="22">
        <f t="shared" si="7"/>
        <v>336.84467386393629</v>
      </c>
      <c r="BH37" s="62">
        <f t="shared" si="8"/>
        <v>630.17800719726961</v>
      </c>
      <c r="BI37" s="62">
        <f ca="1">AVERAGE(OFFSET($BH$3,0,0,'Données projet'!$E$11+1,1))-AVERAGE(OFFSET($H$3,0,0,'Données projet'!$E$11+1,1))</f>
        <v>370.59298168107364</v>
      </c>
      <c r="BJ37" s="62">
        <f t="shared" si="38"/>
        <v>404.61777090709171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12.919999999999998</v>
      </c>
      <c r="BY37" s="13">
        <f>IF('Données projet'!$A$114&gt;35,BY36+BX37-CG36,IF(A37&lt;'Données projet'!$A$114,$BV$205^A37,IF(A37='Données projet'!$A$114,'Données projet'!$B$114,BY36+BX37-CG36)))</f>
        <v>193.4799999999999</v>
      </c>
      <c r="BZ37" s="14">
        <f>BY37*VLOOKUP('Données projet'!$B$12,Paramètres!$A$1:$I$89,3,0)*VLOOKUP('Données projet'!$B$12,Paramètres!$A$1:$I$89,5,0)</f>
        <v>141.85953599999993</v>
      </c>
      <c r="CA37" s="14">
        <f t="shared" si="39"/>
        <v>36.722671388271863</v>
      </c>
      <c r="CB37" s="22">
        <f t="shared" si="10"/>
        <v>311.03067786790672</v>
      </c>
      <c r="CC37" s="62">
        <f t="shared" si="11"/>
        <v>604.36401120124003</v>
      </c>
      <c r="CD37" s="62">
        <f ca="1">AVERAGE(OFFSET($CC$3,0,0,'Données projet'!$E$12+1,1))-AVERAGE(OFFSET($H$3,0,0,'Données projet'!$E$12+1,1))</f>
        <v>344.45199703750711</v>
      </c>
      <c r="CE37" s="62">
        <f t="shared" si="40"/>
        <v>376.41441893222185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9.6</v>
      </c>
      <c r="CT37" s="13">
        <f>IF('Données projet'!$A$140&gt;35,CT36+CS37-DB36,IF(A37&lt;'Données projet'!$A$140,$CQ$205^A37,IF(A37='Données projet'!$A$140,'Données projet'!$B$140,CT36+CS37-DB36)))</f>
        <v>224.39999999999998</v>
      </c>
      <c r="CU37" s="18">
        <f>CT37*VLOOKUP('Données projet'!$B$13,Paramètres!$A$1:$I$89,3,0)*VLOOKUP('Données projet'!$B$13,Paramètres!$A$1:$I$89,5,0)</f>
        <v>147.02687999999998</v>
      </c>
      <c r="CV37" s="14">
        <f t="shared" si="41"/>
        <v>37.902148209767269</v>
      </c>
      <c r="CW37" s="22">
        <f t="shared" si="13"/>
        <v>322.08472413201127</v>
      </c>
      <c r="CX37" s="62">
        <f t="shared" si="14"/>
        <v>615.41805746534465</v>
      </c>
      <c r="CY37" s="62">
        <f ca="1">AVERAGE(OFFSET($CX$3,0,0,'Données projet'!$E$13+1,1))-AVERAGE(OFFSET($H$3,0,0,'Données projet'!$E$13+1,1))</f>
        <v>311.53750850588153</v>
      </c>
      <c r="CZ37" s="62">
        <f t="shared" si="42"/>
        <v>304.84379909635476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8.8000000000000007</v>
      </c>
      <c r="DO37" s="13">
        <f>IF('Données projet'!$A$166&gt;35,DO36+DN37-DW36,IF(A37&lt;'Données projet'!$A$166,$DL$205^A37,IF(A37='Données projet'!$A$166,'Données projet'!$B$166,DO36+DN37-DW36)))</f>
        <v>181.20000000000005</v>
      </c>
      <c r="DP37" s="18">
        <f>DO37*VLOOKUP('Données projet'!$B$14,Paramètres!$A$1:$I$89,3,0)*VLOOKUP('Données projet'!$B$14,Paramètres!$A$1:$I$89,5,0)</f>
        <v>146.98944000000006</v>
      </c>
      <c r="DQ37" s="14">
        <f t="shared" si="43"/>
        <v>37.893619858723746</v>
      </c>
      <c r="DR37" s="22">
        <f t="shared" si="16"/>
        <v>322.00466258727732</v>
      </c>
      <c r="DS37" s="62">
        <f t="shared" si="17"/>
        <v>615.33799592061064</v>
      </c>
      <c r="DT37" s="62">
        <f ca="1">AVERAGE(OFFSET($DS$3,0,0,'Données projet'!$E$14+1,1))-AVERAGE(OFFSET($H$3,0,0,'Données projet'!$E$14+1,1))</f>
        <v>256.19915261735281</v>
      </c>
      <c r="DU37" s="62">
        <f t="shared" si="44"/>
        <v>297.47246687305056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7.1794871794871797</v>
      </c>
      <c r="EJ37" s="13">
        <f>IF('Données projet'!$A$192&gt;35,EJ36+EI37-ER36,IF(A37&lt;'Données projet'!$A$192,$EG$205^A37,IF(A37='Données projet'!$A$192,'Données projet'!$B$192,EJ36+EI37-ER36)))</f>
        <v>152.43589743589743</v>
      </c>
      <c r="EK37" s="18">
        <f>EJ37*VLOOKUP('Données projet'!$B$15,Paramètres!$A$1:$I$89,3,0)*VLOOKUP('Données projet'!$B$15,Paramètres!$A$1:$I$89,5,0)</f>
        <v>145.05799999999999</v>
      </c>
      <c r="EL37" s="14">
        <f t="shared" si="45"/>
        <v>37.453317998658314</v>
      </c>
      <c r="EM37" s="22">
        <f t="shared" si="19"/>
        <v>317.87387884766321</v>
      </c>
      <c r="EN37" s="62">
        <f t="shared" si="20"/>
        <v>611.20721218099652</v>
      </c>
      <c r="EO37" s="62">
        <f ca="1">AVERAGE(OFFSET($EN$3,0,0,'Données projet'!$E$15+1,1))-AVERAGE(OFFSET($H$3,0,0,'Données projet'!$E$15+1,1))</f>
        <v>406.24139966722936</v>
      </c>
      <c r="EP37" s="62">
        <f t="shared" si="46"/>
        <v>295.95724296920577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11.5</v>
      </c>
      <c r="FE37" s="13">
        <f>IF('Données projet'!$A$218&gt;35,FE36+FD37-FM36,IF(A37&lt;'Données projet'!$A$218,$FB$205^A37,IF(A37='Données projet'!$A$218,'Données projet'!$B$218,FE36+FD37-FM36)))</f>
        <v>153.49999999999997</v>
      </c>
      <c r="FF37" s="18">
        <f>FE37*VLOOKUP('Données projet'!$B$16,Paramètres!$A$1:$I$89,3,0)*VLOOKUP('Données projet'!$B$16,Paramètres!$A$1:$I$89,5,0)</f>
        <v>119.72999999999998</v>
      </c>
      <c r="FG37" s="14">
        <f t="shared" si="47"/>
        <v>31.612017974790529</v>
      </c>
      <c r="FH37" s="22">
        <f t="shared" si="22"/>
        <v>263.58734797276014</v>
      </c>
      <c r="FI37" s="62">
        <f t="shared" si="23"/>
        <v>556.92068130609346</v>
      </c>
      <c r="FJ37" s="62">
        <f ca="1">AVERAGE(OFFSET($FI$3,0,0,'Données projet'!$E$16+1,1))-AVERAGE(OFFSET($H$3,0,0,'Données projet'!$E$16+1,1))</f>
        <v>292.57482726862594</v>
      </c>
      <c r="FK37" s="62">
        <f t="shared" si="48"/>
        <v>283.48738729114024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10.8</v>
      </c>
      <c r="FZ37" s="13">
        <f>IF('Données projet'!$A$244&gt;35,FZ36+FY37-GH36,IF(A37&lt;'Données projet'!$A$244,$FW$205^A37,IF(A37='Données projet'!$A$244,'Données projet'!$B$244,FZ36+FY37-GH36)))</f>
        <v>164.20000000000007</v>
      </c>
      <c r="GA37" s="18">
        <f>FZ37*VLOOKUP('Données projet'!$B$17,Paramètres!$A$1:$I$89,3,0)*VLOOKUP('Données projet'!$B$17,Paramètres!$A$1:$I$89,5,0)</f>
        <v>158.81424000000007</v>
      </c>
      <c r="GB37" s="14">
        <f t="shared" si="49"/>
        <v>40.574948252224658</v>
      </c>
      <c r="GC37" s="22">
        <f t="shared" si="25"/>
        <v>347.26950287262474</v>
      </c>
      <c r="GD37" s="62">
        <f t="shared" si="26"/>
        <v>640.60283620595806</v>
      </c>
      <c r="GE37" s="62">
        <f ca="1">AVERAGE(OFFSET($GD$3,0,0,'Données projet'!$E$17+1,1))-AVERAGE(OFFSET($H$3,0,0,'Données projet'!$E$17+1,1))</f>
        <v>562.69380557620775</v>
      </c>
      <c r="GF37" s="62">
        <f t="shared" si="50"/>
        <v>294.45557293177131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175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175.00000000000009</v>
      </c>
      <c r="O38" s="14">
        <f>N38*VLOOKUP('Données projet'!$B$9,Paramètres!$A$1:$I$89,3,0)*VLOOKUP('Données projet'!$B$9,Paramètres!$A$1:$I$89,5,0)</f>
        <v>158.34000000000006</v>
      </c>
      <c r="P38" s="14">
        <f t="shared" si="33"/>
        <v>40.467870812652819</v>
      </c>
      <c r="Q38" s="22">
        <f t="shared" si="53"/>
        <v>346.25704166537042</v>
      </c>
      <c r="R38" s="62">
        <f t="shared" si="0"/>
        <v>639.59037499870374</v>
      </c>
      <c r="S38" s="62">
        <f ca="1">AVERAGE(OFFSET($R$3,0,0,'Données projet'!$E$9+1,1))-AVERAGE(OFFSET($H$3,0,0,'Données projet'!$E$9+1,1))</f>
        <v>529.25712986118265</v>
      </c>
      <c r="T38" s="62">
        <f t="shared" si="34"/>
        <v>278.21741231699929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56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14.166666666666666</v>
      </c>
      <c r="AI38" s="14">
        <f>IF('Données projet'!$A$62&gt;35,AI37+AH38-AQ37,IF(A38&lt;'Données projet'!$A$62,$AF$205^A38,IF(A38='Données projet'!$A$62,'Données projet'!$B$62,AI37+AH38-AQ37)))</f>
        <v>159.83333333333331</v>
      </c>
      <c r="AJ38" s="14">
        <f>AI38*VLOOKUP('Données projet'!$B$10,Paramètres!$A$1:$I$89,3,0)*VLOOKUP('Données projet'!$B$10,Paramètres!$A$1:$I$89,5,0)</f>
        <v>137.137</v>
      </c>
      <c r="AK38" s="14">
        <f t="shared" si="35"/>
        <v>35.64034577929781</v>
      </c>
      <c r="AL38" s="22">
        <f t="shared" si="4"/>
        <v>300.92054389894366</v>
      </c>
      <c r="AM38" s="62">
        <f t="shared" si="5"/>
        <v>594.25387723227698</v>
      </c>
      <c r="AN38" s="62">
        <f ca="1">AVERAGE(OFFSET($AM$3,0,0,'Données projet'!$E$10+1,1))-AVERAGE(OFFSET($H$3,0,0,'Données projet'!$E$10+1,1))</f>
        <v>446.86777652265448</v>
      </c>
      <c r="AO38" s="62">
        <f t="shared" si="36"/>
        <v>230.82970731138215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206.4</v>
      </c>
      <c r="BB38" s="13">
        <f>VLOOKUP(A38,'Données projet'!$A$87:$I$107,9,0)</f>
        <v>12.919999999999998</v>
      </c>
      <c r="BC38" s="13">
        <f t="array" ref="BC38">INDEX(BB:BB,MIN(IF(ISNUMBER(BB38:BB234),ROW(BB38:BB234),"")))</f>
        <v>12.919999999999998</v>
      </c>
      <c r="BD38" s="13">
        <f>IF('Données projet'!$A$88&gt;35,BD37+BC38-BL37,IF(A38&lt;'Données projet'!$A$88,$BA$205^A38,IF(A38='Données projet'!$A$88,'Données projet'!$B$88,BD37+BC38-BL37)))</f>
        <v>206.39999999999989</v>
      </c>
      <c r="BE38" s="14">
        <f>BD38*VLOOKUP('Données projet'!$B$11,Paramètres!$A$1:$I$89,3,0)*VLOOKUP('Données projet'!$B$11,Paramètres!$A$1:$I$89,5,0)</f>
        <v>164.21183999999994</v>
      </c>
      <c r="BF38" s="14">
        <f t="shared" si="37"/>
        <v>41.79106629541738</v>
      </c>
      <c r="BG38" s="22">
        <f t="shared" si="7"/>
        <v>358.78839513118515</v>
      </c>
      <c r="BH38" s="62">
        <f t="shared" si="8"/>
        <v>652.12172846451847</v>
      </c>
      <c r="BI38" s="62">
        <f ca="1">AVERAGE(OFFSET($BH$3,0,0,'Données projet'!$E$11+1,1))-AVERAGE(OFFSET($H$3,0,0,'Données projet'!$E$11+1,1))</f>
        <v>370.59298168107364</v>
      </c>
      <c r="BJ38" s="62">
        <f t="shared" si="38"/>
        <v>404.61777090709171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206.4</v>
      </c>
      <c r="BW38" s="13">
        <f>VLOOKUP(A38,'Données projet'!$A$113:$I$133,9,0)</f>
        <v>12.919999999999998</v>
      </c>
      <c r="BX38" s="13">
        <f t="array" ref="BX38">INDEX(BW:BW,MIN(IF(ISNUMBER(BW38:BW234),ROW(BW38:BW234),"")))</f>
        <v>12.919999999999998</v>
      </c>
      <c r="BY38" s="13">
        <f>IF('Données projet'!$A$114&gt;35,BY37+BX38-CG37,IF(A38&lt;'Données projet'!$A$114,$BV$205^A38,IF(A38='Données projet'!$A$114,'Données projet'!$B$114,BY37+BX38-CG37)))</f>
        <v>206.39999999999989</v>
      </c>
      <c r="BZ38" s="14">
        <f>BY38*VLOOKUP('Données projet'!$B$12,Paramètres!$A$1:$I$89,3,0)*VLOOKUP('Données projet'!$B$12,Paramètres!$A$1:$I$89,5,0)</f>
        <v>151.33247999999992</v>
      </c>
      <c r="CA38" s="14">
        <f t="shared" si="39"/>
        <v>38.881240443489794</v>
      </c>
      <c r="CB38" s="22">
        <f t="shared" si="10"/>
        <v>331.28889643907786</v>
      </c>
      <c r="CC38" s="62">
        <f t="shared" si="11"/>
        <v>624.62222977241117</v>
      </c>
      <c r="CD38" s="62">
        <f ca="1">AVERAGE(OFFSET($CC$3,0,0,'Données projet'!$E$12+1,1))-AVERAGE(OFFSET($H$3,0,0,'Données projet'!$E$12+1,1))</f>
        <v>344.45199703750711</v>
      </c>
      <c r="CE38" s="62">
        <f t="shared" si="40"/>
        <v>376.41441893222185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234</v>
      </c>
      <c r="CR38" s="13">
        <f>VLOOKUP(A38,'Données projet'!$A$139:$I$159,9,0)</f>
        <v>9.6</v>
      </c>
      <c r="CS38" s="13">
        <f t="array" ref="CS38">INDEX(CR:CR,MIN(IF(ISNUMBER(CR38:CR234),ROW(CR38:CR234),"")))</f>
        <v>9.6</v>
      </c>
      <c r="CT38" s="13">
        <f>IF('Données projet'!$A$140&gt;35,CT37+CS38-DB37,IF(A38&lt;'Données projet'!$A$140,$CQ$205^A38,IF(A38='Données projet'!$A$140,'Données projet'!$B$140,CT37+CS38-DB37)))</f>
        <v>233.99999999999997</v>
      </c>
      <c r="CU38" s="18">
        <f>CT38*VLOOKUP('Données projet'!$B$13,Paramètres!$A$1:$I$89,3,0)*VLOOKUP('Données projet'!$B$13,Paramètres!$A$1:$I$89,5,0)</f>
        <v>153.31679999999997</v>
      </c>
      <c r="CV38" s="14">
        <f t="shared" si="41"/>
        <v>39.331378191752755</v>
      </c>
      <c r="CW38" s="22">
        <f t="shared" si="13"/>
        <v>335.52891035063595</v>
      </c>
      <c r="CX38" s="62">
        <f t="shared" si="14"/>
        <v>628.86224368396927</v>
      </c>
      <c r="CY38" s="62">
        <f ca="1">AVERAGE(OFFSET($CX$3,0,0,'Données projet'!$E$13+1,1))-AVERAGE(OFFSET($H$3,0,0,'Données projet'!$E$13+1,1))</f>
        <v>311.53750850588153</v>
      </c>
      <c r="CZ38" s="62">
        <f t="shared" si="42"/>
        <v>304.84379909635476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54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190</v>
      </c>
      <c r="DM38" s="13">
        <f>VLOOKUP(A38,'Données projet'!$A$165:$I$185,9,0)</f>
        <v>8.8000000000000007</v>
      </c>
      <c r="DN38" s="13">
        <f t="array" ref="DN38">INDEX(DM:DM,MIN(IF(ISNUMBER(DM38:DM234),ROW(DM38:DM234),"")))</f>
        <v>8.8000000000000007</v>
      </c>
      <c r="DO38" s="13">
        <f>IF('Données projet'!$A$166&gt;35,DO37+DN38-DW37,IF(A38&lt;'Données projet'!$A$166,$DL$205^A38,IF(A38='Données projet'!$A$166,'Données projet'!$B$166,DO37+DN38-DW37)))</f>
        <v>190.00000000000006</v>
      </c>
      <c r="DP38" s="18">
        <f>DO38*VLOOKUP('Données projet'!$B$14,Paramètres!$A$1:$I$89,3,0)*VLOOKUP('Données projet'!$B$14,Paramètres!$A$1:$I$89,5,0)</f>
        <v>154.12800000000007</v>
      </c>
      <c r="DQ38" s="14">
        <f t="shared" si="43"/>
        <v>39.51520107536119</v>
      </c>
      <c r="DR38" s="22">
        <f t="shared" si="16"/>
        <v>337.26190853958752</v>
      </c>
      <c r="DS38" s="62">
        <f t="shared" si="17"/>
        <v>630.59524187292084</v>
      </c>
      <c r="DT38" s="62">
        <f ca="1">AVERAGE(OFFSET($DS$3,0,0,'Données projet'!$E$14+1,1))-AVERAGE(OFFSET($H$3,0,0,'Données projet'!$E$14+1,1))</f>
        <v>256.19915261735281</v>
      </c>
      <c r="DU38" s="62">
        <f t="shared" si="44"/>
        <v>297.47246687305056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76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159.61538461538461</v>
      </c>
      <c r="EH38" s="13">
        <f>VLOOKUP(A38,'Données projet'!$A$191:$I$211,9,0)</f>
        <v>7.1794871794871797</v>
      </c>
      <c r="EI38" s="13">
        <f t="array" ref="EI38">INDEX(EH:EH,MIN(IF(ISNUMBER(EH38:EH234),ROW(EH38:EH234),"")))</f>
        <v>7.1794871794871797</v>
      </c>
      <c r="EJ38" s="13">
        <f>IF('Données projet'!$A$192&gt;35,EJ37+EI38-ER37,IF(A38&lt;'Données projet'!$A$192,$EG$205^A38,IF(A38='Données projet'!$A$192,'Données projet'!$B$192,EJ37+EI38-ER37)))</f>
        <v>159.61538461538461</v>
      </c>
      <c r="EK38" s="18">
        <f>EJ38*VLOOKUP('Données projet'!$B$15,Paramètres!$A$1:$I$89,3,0)*VLOOKUP('Données projet'!$B$15,Paramètres!$A$1:$I$89,5,0)</f>
        <v>151.89000000000001</v>
      </c>
      <c r="EL38" s="14">
        <f t="shared" si="45"/>
        <v>39.007781402191782</v>
      </c>
      <c r="EM38" s="22">
        <f t="shared" si="19"/>
        <v>332.48030260881734</v>
      </c>
      <c r="EN38" s="62">
        <f t="shared" si="20"/>
        <v>625.81363594215065</v>
      </c>
      <c r="EO38" s="62">
        <f ca="1">AVERAGE(OFFSET($EN$3,0,0,'Données projet'!$E$15+1,1))-AVERAGE(OFFSET($H$3,0,0,'Données projet'!$E$15+1,1))</f>
        <v>406.24139966722936</v>
      </c>
      <c r="EP38" s="62">
        <f t="shared" si="46"/>
        <v>295.95724296920577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33.333333333333336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11.5</v>
      </c>
      <c r="FE38" s="13">
        <f>IF('Données projet'!$A$218&gt;35,FE37+FD38-FM37,IF(A38&lt;'Données projet'!$A$218,$FB$205^A38,IF(A38='Données projet'!$A$218,'Données projet'!$B$218,FE37+FD38-FM37)))</f>
        <v>164.99999999999997</v>
      </c>
      <c r="FF38" s="18">
        <f>FE38*VLOOKUP('Données projet'!$B$16,Paramètres!$A$1:$I$89,3,0)*VLOOKUP('Données projet'!$B$16,Paramètres!$A$1:$I$89,5,0)</f>
        <v>128.69999999999999</v>
      </c>
      <c r="FG38" s="14">
        <f t="shared" si="47"/>
        <v>33.695792019186115</v>
      </c>
      <c r="FH38" s="22">
        <f t="shared" si="22"/>
        <v>282.83933776674911</v>
      </c>
      <c r="FI38" s="62">
        <f t="shared" si="23"/>
        <v>576.17267110008243</v>
      </c>
      <c r="FJ38" s="62">
        <f ca="1">AVERAGE(OFFSET($FI$3,0,0,'Données projet'!$E$16+1,1))-AVERAGE(OFFSET($H$3,0,0,'Données projet'!$E$16+1,1))</f>
        <v>292.57482726862594</v>
      </c>
      <c r="FK38" s="62">
        <f t="shared" si="48"/>
        <v>283.48738729114024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175</v>
      </c>
      <c r="FX38" s="13">
        <f>VLOOKUP(A38,'Données projet'!$A$243:$I$263,9,0)</f>
        <v>10.8</v>
      </c>
      <c r="FY38" s="13">
        <f t="array" ref="FY38">INDEX(FX:FX,MIN(IF(ISNUMBER(FX38:FX234),ROW(FX38:FX234),"")))</f>
        <v>10.8</v>
      </c>
      <c r="FZ38" s="13">
        <f>IF('Données projet'!$A$244&gt;35,FZ37+FY38-GH37,IF(A38&lt;'Données projet'!$A$244,$FW$205^A38,IF(A38='Données projet'!$A$244,'Données projet'!$B$244,FZ37+FY38-GH37)))</f>
        <v>175.00000000000009</v>
      </c>
      <c r="GA38" s="18">
        <f>FZ38*VLOOKUP('Données projet'!$B$17,Paramètres!$A$1:$I$89,3,0)*VLOOKUP('Données projet'!$B$17,Paramètres!$A$1:$I$89,5,0)</f>
        <v>169.2600000000001</v>
      </c>
      <c r="GB38" s="14">
        <f t="shared" si="49"/>
        <v>42.924246146122314</v>
      </c>
      <c r="GC38" s="22">
        <f t="shared" si="25"/>
        <v>369.55422870449644</v>
      </c>
      <c r="GD38" s="62">
        <f t="shared" si="26"/>
        <v>662.88756203782975</v>
      </c>
      <c r="GE38" s="62">
        <f ca="1">AVERAGE(OFFSET($GD$3,0,0,'Données projet'!$E$17+1,1))-AVERAGE(OFFSET($H$3,0,0,'Données projet'!$E$17+1,1))</f>
        <v>562.69380557620775</v>
      </c>
      <c r="GF38" s="62">
        <f t="shared" si="50"/>
        <v>294.45557293177131</v>
      </c>
      <c r="GG38" s="16">
        <f>IF(ISNA(VLOOKUP(A38,'Données projet'!$A$243:$I$263,3,0)),0,VLOOKUP(A38,'Données projet'!$A$243:$I$263,3,0))</f>
        <v>2</v>
      </c>
      <c r="GH38" s="16">
        <f>IF(ISNA(VLOOKUP(A38,'Données projet'!$A$243:$I$263,4,0)),0,VLOOKUP(A38,'Données projet'!$A$243:$I$263,4,0))</f>
        <v>56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130.20000000000007</v>
      </c>
      <c r="O39" s="14">
        <f>N39*VLOOKUP('Données projet'!$B$9,Paramètres!$A$1:$I$89,3,0)*VLOOKUP('Données projet'!$B$9,Paramètres!$A$1:$I$89,5,0)</f>
        <v>117.80496000000005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529.25712986118265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174</v>
      </c>
      <c r="AG39" s="13">
        <f>VLOOKUP(A39,'Données projet'!$A$61:$I$81,9,0)</f>
        <v>14.166666666666666</v>
      </c>
      <c r="AH39" s="13">
        <f t="array" ref="AH39">INDEX(AG:AG,MIN(IF(ISNUMBER(AG39:AG235),ROW(AG39:AG235),"")))</f>
        <v>14.166666666666666</v>
      </c>
      <c r="AI39" s="14">
        <f>IF('Données projet'!$A$62&gt;35,AI38+AH39-AQ38,IF(A39&lt;'Données projet'!$A$62,$AF$205^A39,IF(A39='Données projet'!$A$62,'Données projet'!$B$62,AI38+AH39-AQ38)))</f>
        <v>173.99999999999997</v>
      </c>
      <c r="AJ39" s="14">
        <f>AI39*VLOOKUP('Données projet'!$B$10,Paramètres!$A$1:$I$89,3,0)*VLOOKUP('Données projet'!$B$10,Paramètres!$A$1:$I$89,5,0)</f>
        <v>149.29199999999997</v>
      </c>
      <c r="AK39" s="14">
        <f t="shared" si="35"/>
        <v>38.417645803815411</v>
      </c>
      <c r="AL39" s="22">
        <f t="shared" si="4"/>
        <v>326.9276331083118</v>
      </c>
      <c r="AM39" s="62">
        <f t="shared" si="5"/>
        <v>620.26096644164511</v>
      </c>
      <c r="AN39" s="62">
        <f ca="1">AVERAGE(OFFSET($AM$3,0,0,'Données projet'!$E$10+1,1))-AVERAGE(OFFSET($H$3,0,0,'Données projet'!$E$10+1,1))</f>
        <v>446.86777652265448</v>
      </c>
      <c r="AO39" s="62">
        <f t="shared" si="36"/>
        <v>230.82970731138215</v>
      </c>
      <c r="AP39" s="16">
        <f>IF(ISNA(VLOOKUP(A39,'Données projet'!$A$61:$I$81,3,0)),0,VLOOKUP(A39,'Données projet'!$A$61:$I$81,3,0))</f>
        <v>3</v>
      </c>
      <c r="AQ39" s="16">
        <f>IF(ISNA(VLOOKUP(A39,'Données projet'!$A$61:$I$81,4,0)),0,VLOOKUP(A39,'Données projet'!$A$61:$I$81,4,0))</f>
        <v>60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11.340000000000003</v>
      </c>
      <c r="BD39" s="13">
        <f>IF('Données projet'!$A$88&gt;35,BD38+BC39-BL38,IF(A39&lt;'Données projet'!$A$88,$BA$205^A39,IF(A39='Données projet'!$A$88,'Données projet'!$B$88,BD38+BC39-BL38)))</f>
        <v>217.7399999999999</v>
      </c>
      <c r="BE39" s="14">
        <f>BD39*VLOOKUP('Données projet'!$B$11,Paramètres!$A$1:$I$89,3,0)*VLOOKUP('Données projet'!$B$11,Paramètres!$A$1:$I$89,5,0)</f>
        <v>173.23394399999992</v>
      </c>
      <c r="BF39" s="14">
        <f t="shared" si="37"/>
        <v>43.813523178063591</v>
      </c>
      <c r="BG39" s="22">
        <f t="shared" si="7"/>
        <v>378.02433866846064</v>
      </c>
      <c r="BH39" s="62">
        <f t="shared" si="8"/>
        <v>671.35767200179396</v>
      </c>
      <c r="BI39" s="62">
        <f ca="1">AVERAGE(OFFSET($BH$3,0,0,'Données projet'!$E$11+1,1))-AVERAGE(OFFSET($H$3,0,0,'Données projet'!$E$11+1,1))</f>
        <v>370.59298168107364</v>
      </c>
      <c r="BJ39" s="62">
        <f t="shared" si="38"/>
        <v>404.61777090709171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11.340000000000003</v>
      </c>
      <c r="BY39" s="13">
        <f>IF('Données projet'!$A$114&gt;35,BY38+BX39-CG38,IF(A39&lt;'Données projet'!$A$114,$BV$205^A39,IF(A39='Données projet'!$A$114,'Données projet'!$B$114,BY38+BX39-CG38)))</f>
        <v>217.7399999999999</v>
      </c>
      <c r="BZ39" s="14">
        <f>BY39*VLOOKUP('Données projet'!$B$12,Paramètres!$A$1:$I$89,3,0)*VLOOKUP('Données projet'!$B$12,Paramètres!$A$1:$I$89,5,0)</f>
        <v>159.64696799999993</v>
      </c>
      <c r="CA39" s="14">
        <f t="shared" si="39"/>
        <v>40.762877819882384</v>
      </c>
      <c r="CB39" s="22">
        <f t="shared" si="10"/>
        <v>349.04714813629499</v>
      </c>
      <c r="CC39" s="62">
        <f t="shared" si="11"/>
        <v>642.38048146962831</v>
      </c>
      <c r="CD39" s="62">
        <f ca="1">AVERAGE(OFFSET($CC$3,0,0,'Données projet'!$E$12+1,1))-AVERAGE(OFFSET($H$3,0,0,'Données projet'!$E$12+1,1))</f>
        <v>344.45199703750711</v>
      </c>
      <c r="CE39" s="62">
        <f t="shared" si="40"/>
        <v>376.41441893222185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8.8000000000000007</v>
      </c>
      <c r="CT39" s="13">
        <f>IF('Données projet'!$A$140&gt;35,CT38+CS39-DB38,IF(A39&lt;'Données projet'!$A$140,$CQ$205^A39,IF(A39='Données projet'!$A$140,'Données projet'!$B$140,CT38+CS39-DB38)))</f>
        <v>188.79999999999998</v>
      </c>
      <c r="CU39" s="18">
        <f>CT39*VLOOKUP('Données projet'!$B$13,Paramètres!$A$1:$I$89,3,0)*VLOOKUP('Données projet'!$B$13,Paramètres!$A$1:$I$89,5,0)</f>
        <v>123.70175999999999</v>
      </c>
      <c r="CV39" s="14">
        <f t="shared" si="41"/>
        <v>32.536841470486884</v>
      </c>
      <c r="CW39" s="22">
        <f t="shared" si="13"/>
        <v>272.11556422776465</v>
      </c>
      <c r="CX39" s="62">
        <f t="shared" si="14"/>
        <v>565.44889756109797</v>
      </c>
      <c r="CY39" s="62">
        <f ca="1">AVERAGE(OFFSET($CX$3,0,0,'Données projet'!$E$13+1,1))-AVERAGE(OFFSET($H$3,0,0,'Données projet'!$E$13+1,1))</f>
        <v>311.53750850588153</v>
      </c>
      <c r="CZ39" s="62">
        <f t="shared" si="42"/>
        <v>304.84379909635476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7.6</v>
      </c>
      <c r="DO39" s="13">
        <f>IF('Données projet'!$A$166&gt;35,DO38+DN39-DW38,IF(A39&lt;'Données projet'!$A$166,$DL$205^A39,IF(A39='Données projet'!$A$166,'Données projet'!$B$166,DO38+DN39-DW38)))</f>
        <v>121.60000000000005</v>
      </c>
      <c r="DP39" s="18">
        <f>DO39*VLOOKUP('Données projet'!$B$14,Paramètres!$A$1:$I$89,3,0)*VLOOKUP('Données projet'!$B$14,Paramètres!$A$1:$I$89,5,0)</f>
        <v>98.641920000000042</v>
      </c>
      <c r="DQ39" s="14">
        <f t="shared" si="43"/>
        <v>26.638196684151392</v>
      </c>
      <c r="DR39" s="22">
        <f t="shared" si="16"/>
        <v>218.19620322489709</v>
      </c>
      <c r="DS39" s="62">
        <f t="shared" si="17"/>
        <v>511.5295365582304</v>
      </c>
      <c r="DT39" s="62">
        <f ca="1">AVERAGE(OFFSET($DS$3,0,0,'Données projet'!$E$14+1,1))-AVERAGE(OFFSET($H$3,0,0,'Données projet'!$E$14+1,1))</f>
        <v>256.19915261735281</v>
      </c>
      <c r="DU39" s="62">
        <f t="shared" si="44"/>
        <v>297.47246687305056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6.7948717948717956</v>
      </c>
      <c r="EJ39" s="13">
        <f>IF('Données projet'!$A$192&gt;35,EJ38+EI39-ER38,IF(A39&lt;'Données projet'!$A$192,$EG$205^A39,IF(A39='Données projet'!$A$192,'Données projet'!$B$192,EJ38+EI39-ER38)))</f>
        <v>133.07692307692307</v>
      </c>
      <c r="EK39" s="18">
        <f>EJ39*VLOOKUP('Données projet'!$B$15,Paramètres!$A$1:$I$89,3,0)*VLOOKUP('Données projet'!$B$15,Paramètres!$A$1:$I$89,5,0)</f>
        <v>126.636</v>
      </c>
      <c r="EL39" s="14">
        <f t="shared" si="45"/>
        <v>33.217855596652925</v>
      </c>
      <c r="EM39" s="22">
        <f t="shared" si="19"/>
        <v>278.41213183083715</v>
      </c>
      <c r="EN39" s="62">
        <f t="shared" si="20"/>
        <v>571.74546516417047</v>
      </c>
      <c r="EO39" s="62">
        <f ca="1">AVERAGE(OFFSET($EN$3,0,0,'Données projet'!$E$15+1,1))-AVERAGE(OFFSET($H$3,0,0,'Données projet'!$E$15+1,1))</f>
        <v>406.24139966722936</v>
      </c>
      <c r="EP39" s="62">
        <f t="shared" si="46"/>
        <v>295.95724296920577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11.5</v>
      </c>
      <c r="FE39" s="13">
        <f>IF('Données projet'!$A$218&gt;35,FE38+FD39-FM38,IF(A39&lt;'Données projet'!$A$218,$FB$205^A39,IF(A39='Données projet'!$A$218,'Données projet'!$B$218,FE38+FD39-FM38)))</f>
        <v>176.49999999999997</v>
      </c>
      <c r="FF39" s="18">
        <f>FE39*VLOOKUP('Données projet'!$B$16,Paramètres!$A$1:$I$89,3,0)*VLOOKUP('Données projet'!$B$16,Paramètres!$A$1:$I$89,5,0)</f>
        <v>137.66999999999999</v>
      </c>
      <c r="FG39" s="14">
        <f t="shared" si="47"/>
        <v>35.762714965854656</v>
      </c>
      <c r="FH39" s="22">
        <f t="shared" si="22"/>
        <v>302.06197856553018</v>
      </c>
      <c r="FI39" s="62">
        <f t="shared" si="23"/>
        <v>595.3953118988635</v>
      </c>
      <c r="FJ39" s="62">
        <f ca="1">AVERAGE(OFFSET($FI$3,0,0,'Données projet'!$E$16+1,1))-AVERAGE(OFFSET($H$3,0,0,'Données projet'!$E$16+1,1))</f>
        <v>292.57482726862594</v>
      </c>
      <c r="FK39" s="62">
        <f t="shared" si="48"/>
        <v>283.48738729114024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11.2</v>
      </c>
      <c r="FZ39" s="13">
        <f>IF('Données projet'!$A$244&gt;35,FZ38+FY39-GH38,IF(A39&lt;'Données projet'!$A$244,$FW$205^A39,IF(A39='Données projet'!$A$244,'Données projet'!$B$244,FZ38+FY39-GH38)))</f>
        <v>130.20000000000007</v>
      </c>
      <c r="GA39" s="18">
        <f>FZ39*VLOOKUP('Données projet'!$B$17,Paramètres!$A$1:$I$89,3,0)*VLOOKUP('Données projet'!$B$17,Paramètres!$A$1:$I$89,5,0)</f>
        <v>125.92944000000007</v>
      </c>
      <c r="GB39" s="14">
        <f t="shared" si="49"/>
        <v>33.054038034052077</v>
      </c>
      <c r="GC39" s="22">
        <f t="shared" si="25"/>
        <v>276.89622424264081</v>
      </c>
      <c r="GD39" s="62">
        <f t="shared" si="26"/>
        <v>570.22955757597413</v>
      </c>
      <c r="GE39" s="62">
        <f ca="1">AVERAGE(OFFSET($GD$3,0,0,'Données projet'!$E$17+1,1))-AVERAGE(OFFSET($H$3,0,0,'Données projet'!$E$17+1,1))</f>
        <v>562.69380557620775</v>
      </c>
      <c r="GF39" s="62">
        <f t="shared" si="50"/>
        <v>294.45557293177131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141.40000000000006</v>
      </c>
      <c r="O40" s="14">
        <f>N40*VLOOKUP('Données projet'!$B$9,Paramètres!$A$1:$I$89,3,0)*VLOOKUP('Données projet'!$B$9,Paramètres!$A$1:$I$89,5,0)</f>
        <v>127.93872000000005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529.25712986118265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15.166666666666666</v>
      </c>
      <c r="AI40" s="14">
        <f>IF('Données projet'!$A$62&gt;35,AI39+AH40-AQ39,IF(A40&lt;'Données projet'!$A$62,$AF$205^A40,IF(A40='Données projet'!$A$62,'Données projet'!$B$62,AI39+AH40-AQ39)))</f>
        <v>129.16666666666663</v>
      </c>
      <c r="AJ40" s="14">
        <f>AI40*VLOOKUP('Données projet'!$B$10,Paramètres!$A$1:$I$89,3,0)*VLOOKUP('Données projet'!$B$10,Paramètres!$A$1:$I$89,5,0)</f>
        <v>110.82499999999999</v>
      </c>
      <c r="AK40" s="14">
        <f t="shared" si="35"/>
        <v>29.525276397875576</v>
      </c>
      <c r="AL40" s="22">
        <f t="shared" si="4"/>
        <v>244.44339805963327</v>
      </c>
      <c r="AM40" s="62">
        <f t="shared" si="5"/>
        <v>537.77673139296655</v>
      </c>
      <c r="AN40" s="62">
        <f ca="1">AVERAGE(OFFSET($AM$3,0,0,'Données projet'!$E$10+1,1))-AVERAGE(OFFSET($H$3,0,0,'Données projet'!$E$10+1,1))</f>
        <v>446.86777652265448</v>
      </c>
      <c r="AO40" s="62">
        <f t="shared" si="36"/>
        <v>230.82970731138215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11.340000000000003</v>
      </c>
      <c r="BD40" s="13">
        <f>IF('Données projet'!$A$88&gt;35,BD39+BC40-BL39,IF(A40&lt;'Données projet'!$A$88,$BA$205^A40,IF(A40='Données projet'!$A$88,'Données projet'!$B$88,BD39+BC40-BL39)))</f>
        <v>229.0799999999999</v>
      </c>
      <c r="BE40" s="14">
        <f>BD40*VLOOKUP('Données projet'!$B$11,Paramètres!$A$1:$I$89,3,0)*VLOOKUP('Données projet'!$B$11,Paramètres!$A$1:$I$89,5,0)</f>
        <v>182.25604799999994</v>
      </c>
      <c r="BF40" s="14">
        <f t="shared" si="37"/>
        <v>45.823750842861273</v>
      </c>
      <c r="BG40" s="22">
        <f t="shared" si="7"/>
        <v>397.23898298464991</v>
      </c>
      <c r="BH40" s="62">
        <f t="shared" si="8"/>
        <v>690.57231631798322</v>
      </c>
      <c r="BI40" s="62">
        <f ca="1">AVERAGE(OFFSET($BH$3,0,0,'Données projet'!$E$11+1,1))-AVERAGE(OFFSET($H$3,0,0,'Données projet'!$E$11+1,1))</f>
        <v>370.59298168107364</v>
      </c>
      <c r="BJ40" s="62">
        <f t="shared" si="38"/>
        <v>404.61777090709171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11.340000000000003</v>
      </c>
      <c r="BY40" s="13">
        <f>IF('Données projet'!$A$114&gt;35,BY39+BX40-CG39,IF(A40&lt;'Données projet'!$A$114,$BV$205^A40,IF(A40='Données projet'!$A$114,'Données projet'!$B$114,BY39+BX40-CG39)))</f>
        <v>229.0799999999999</v>
      </c>
      <c r="BZ40" s="14">
        <f>BY40*VLOOKUP('Données projet'!$B$12,Paramètres!$A$1:$I$89,3,0)*VLOOKUP('Données projet'!$B$12,Paramètres!$A$1:$I$89,5,0)</f>
        <v>167.96145599999994</v>
      </c>
      <c r="CA40" s="14">
        <f t="shared" si="39"/>
        <v>42.633137473671702</v>
      </c>
      <c r="CB40" s="22">
        <f t="shared" si="10"/>
        <v>366.78558363331143</v>
      </c>
      <c r="CC40" s="62">
        <f t="shared" si="11"/>
        <v>660.11891696664475</v>
      </c>
      <c r="CD40" s="62">
        <f ca="1">AVERAGE(OFFSET($CC$3,0,0,'Données projet'!$E$12+1,1))-AVERAGE(OFFSET($H$3,0,0,'Données projet'!$E$12+1,1))</f>
        <v>344.45199703750711</v>
      </c>
      <c r="CE40" s="62">
        <f t="shared" si="40"/>
        <v>376.41441893222185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8.8000000000000007</v>
      </c>
      <c r="CT40" s="13">
        <f>IF('Données projet'!$A$140&gt;35,CT39+CS40-DB39,IF(A40&lt;'Données projet'!$A$140,$CQ$205^A40,IF(A40='Données projet'!$A$140,'Données projet'!$B$140,CT39+CS40-DB39)))</f>
        <v>197.6</v>
      </c>
      <c r="CU40" s="18">
        <f>CT40*VLOOKUP('Données projet'!$B$13,Paramètres!$A$1:$I$89,3,0)*VLOOKUP('Données projet'!$B$13,Paramètres!$A$1:$I$89,5,0)</f>
        <v>129.46751999999998</v>
      </c>
      <c r="CV40" s="14">
        <f t="shared" si="41"/>
        <v>33.873289462262882</v>
      </c>
      <c r="CW40" s="22">
        <f t="shared" si="13"/>
        <v>284.48524314677445</v>
      </c>
      <c r="CX40" s="62">
        <f t="shared" si="14"/>
        <v>577.81857648010782</v>
      </c>
      <c r="CY40" s="62">
        <f ca="1">AVERAGE(OFFSET($CX$3,0,0,'Données projet'!$E$13+1,1))-AVERAGE(OFFSET($H$3,0,0,'Données projet'!$E$13+1,1))</f>
        <v>311.53750850588153</v>
      </c>
      <c r="CZ40" s="62">
        <f t="shared" si="42"/>
        <v>304.84379909635476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7.6</v>
      </c>
      <c r="DO40" s="13">
        <f>IF('Données projet'!$A$166&gt;35,DO39+DN40-DW39,IF(A40&lt;'Données projet'!$A$166,$DL$205^A40,IF(A40='Données projet'!$A$166,'Données projet'!$B$166,DO39+DN40-DW39)))</f>
        <v>129.20000000000005</v>
      </c>
      <c r="DP40" s="18">
        <f>DO40*VLOOKUP('Données projet'!$B$14,Paramètres!$A$1:$I$89,3,0)*VLOOKUP('Données projet'!$B$14,Paramètres!$A$1:$I$89,5,0)</f>
        <v>104.80704000000004</v>
      </c>
      <c r="DQ40" s="14">
        <f t="shared" si="43"/>
        <v>28.104060486002457</v>
      </c>
      <c r="DR40" s="22">
        <f t="shared" si="16"/>
        <v>231.48683334645435</v>
      </c>
      <c r="DS40" s="62">
        <f t="shared" si="17"/>
        <v>524.82016667978769</v>
      </c>
      <c r="DT40" s="62">
        <f ca="1">AVERAGE(OFFSET($DS$3,0,0,'Données projet'!$E$14+1,1))-AVERAGE(OFFSET($H$3,0,0,'Données projet'!$E$14+1,1))</f>
        <v>256.19915261735281</v>
      </c>
      <c r="DU40" s="62">
        <f t="shared" si="44"/>
        <v>297.47246687305056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6.7948717948717956</v>
      </c>
      <c r="EJ40" s="13">
        <f>IF('Données projet'!$A$192&gt;35,EJ39+EI40-ER39,IF(A40&lt;'Données projet'!$A$192,$EG$205^A40,IF(A40='Données projet'!$A$192,'Données projet'!$B$192,EJ39+EI40-ER39)))</f>
        <v>139.87179487179486</v>
      </c>
      <c r="EK40" s="18">
        <f>EJ40*VLOOKUP('Données projet'!$B$15,Paramètres!$A$1:$I$89,3,0)*VLOOKUP('Données projet'!$B$15,Paramètres!$A$1:$I$89,5,0)</f>
        <v>133.102</v>
      </c>
      <c r="EL40" s="14">
        <f t="shared" si="45"/>
        <v>34.712153760745615</v>
      </c>
      <c r="EM40" s="22">
        <f t="shared" si="19"/>
        <v>292.27631779996528</v>
      </c>
      <c r="EN40" s="62">
        <f t="shared" si="20"/>
        <v>585.6096511332986</v>
      </c>
      <c r="EO40" s="62">
        <f ca="1">AVERAGE(OFFSET($EN$3,0,0,'Données projet'!$E$15+1,1))-AVERAGE(OFFSET($H$3,0,0,'Données projet'!$E$15+1,1))</f>
        <v>406.24139966722936</v>
      </c>
      <c r="EP40" s="62">
        <f t="shared" si="46"/>
        <v>295.95724296920577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>
        <f>VLOOKUP(A40,'Données projet'!$A$217:$I$237,2,0)</f>
        <v>188</v>
      </c>
      <c r="FC40" s="13">
        <f>VLOOKUP(A40,'Données projet'!$A$217:$I$237,9,0)</f>
        <v>11.5</v>
      </c>
      <c r="FD40" s="13">
        <f t="array" ref="FD40">INDEX(FC:FC,MIN(IF(ISNUMBER(FC40:FC236),ROW(FC40:FC236),"")))</f>
        <v>11.5</v>
      </c>
      <c r="FE40" s="13">
        <f>IF('Données projet'!$A$218&gt;35,FE39+FD40-FM39,IF(A40&lt;'Données projet'!$A$218,$FB$205^A40,IF(A40='Données projet'!$A$218,'Données projet'!$B$218,FE39+FD40-FM39)))</f>
        <v>187.99999999999997</v>
      </c>
      <c r="FF40" s="18">
        <f>FE40*VLOOKUP('Données projet'!$B$16,Paramètres!$A$1:$I$89,3,0)*VLOOKUP('Données projet'!$B$16,Paramètres!$A$1:$I$89,5,0)</f>
        <v>146.63999999999999</v>
      </c>
      <c r="FG40" s="14">
        <f t="shared" si="47"/>
        <v>37.814009712703026</v>
      </c>
      <c r="FH40" s="22">
        <f t="shared" si="22"/>
        <v>321.25740024962437</v>
      </c>
      <c r="FI40" s="62">
        <f t="shared" si="23"/>
        <v>614.59073358295768</v>
      </c>
      <c r="FJ40" s="62">
        <f ca="1">AVERAGE(OFFSET($FI$3,0,0,'Données projet'!$E$16+1,1))-AVERAGE(OFFSET($H$3,0,0,'Données projet'!$E$16+1,1))</f>
        <v>292.57482726862594</v>
      </c>
      <c r="FK40" s="62">
        <f t="shared" si="48"/>
        <v>283.48738729114024</v>
      </c>
      <c r="FL40" s="16">
        <f>IF(ISNA(VLOOKUP(A40,'Données projet'!$A$217:$I$237,3,0)),0,VLOOKUP(A40,'Données projet'!$A$217:$I$237,3,0))</f>
        <v>3</v>
      </c>
      <c r="FM40" s="16">
        <f>IF(ISNA(VLOOKUP(A40,'Données projet'!$A$217:$I$237,4,0)),0,VLOOKUP(A40,'Données projet'!$A$217:$I$237,4,0))</f>
        <v>36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11.2</v>
      </c>
      <c r="FZ40" s="13">
        <f>IF('Données projet'!$A$244&gt;35,FZ39+FY40-GH39,IF(A40&lt;'Données projet'!$A$244,$FW$205^A40,IF(A40='Données projet'!$A$244,'Données projet'!$B$244,FZ39+FY40-GH39)))</f>
        <v>141.40000000000006</v>
      </c>
      <c r="GA40" s="18">
        <f>FZ40*VLOOKUP('Données projet'!$B$17,Paramètres!$A$1:$I$89,3,0)*VLOOKUP('Données projet'!$B$17,Paramètres!$A$1:$I$89,5,0)</f>
        <v>136.76208000000005</v>
      </c>
      <c r="GB40" s="14">
        <f t="shared" si="49"/>
        <v>35.554236342883392</v>
      </c>
      <c r="GC40" s="22">
        <f t="shared" si="25"/>
        <v>300.11758429718867</v>
      </c>
      <c r="GD40" s="62">
        <f t="shared" si="26"/>
        <v>593.45091763052199</v>
      </c>
      <c r="GE40" s="62">
        <f ca="1">AVERAGE(OFFSET($GD$3,0,0,'Données projet'!$E$17+1,1))-AVERAGE(OFFSET($H$3,0,0,'Données projet'!$E$17+1,1))</f>
        <v>562.69380557620775</v>
      </c>
      <c r="GF40" s="62">
        <f t="shared" si="50"/>
        <v>294.45557293177131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152.60000000000005</v>
      </c>
      <c r="O41" s="14">
        <f>N41*VLOOKUP('Données projet'!$B$9,Paramètres!$A$1:$I$89,3,0)*VLOOKUP('Données projet'!$B$9,Paramètres!$A$1:$I$89,5,0)</f>
        <v>138.07248000000004</v>
      </c>
      <c r="P41" s="14">
        <f t="shared" si="33"/>
        <v>35.85508207677799</v>
      </c>
      <c r="Q41" s="22">
        <f t="shared" si="53"/>
        <v>302.92383728372175</v>
      </c>
      <c r="R41" s="62">
        <f t="shared" si="0"/>
        <v>596.25717061705507</v>
      </c>
      <c r="S41" s="62">
        <f ca="1">AVERAGE(OFFSET($R$3,0,0,'Données projet'!$E$9+1,1))-AVERAGE(OFFSET($H$3,0,0,'Données projet'!$E$9+1,1))</f>
        <v>529.25712986118265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15.166666666666666</v>
      </c>
      <c r="AI41" s="14">
        <f>IF('Données projet'!$A$62&gt;35,AI40+AH41-AQ40,IF(A41&lt;'Données projet'!$A$62,$AF$205^A41,IF(A41='Données projet'!$A$62,'Données projet'!$B$62,AI40+AH41-AQ40)))</f>
        <v>144.33333333333329</v>
      </c>
      <c r="AJ41" s="14">
        <f>AI41*VLOOKUP('Données projet'!$B$10,Paramètres!$A$1:$I$89,3,0)*VLOOKUP('Données projet'!$B$10,Paramètres!$A$1:$I$89,5,0)</f>
        <v>123.83799999999997</v>
      </c>
      <c r="AK41" s="14">
        <f t="shared" si="35"/>
        <v>32.568503009939569</v>
      </c>
      <c r="AL41" s="22">
        <f t="shared" si="4"/>
        <v>272.40799274231136</v>
      </c>
      <c r="AM41" s="62">
        <f t="shared" si="5"/>
        <v>565.74132607564468</v>
      </c>
      <c r="AN41" s="62">
        <f ca="1">AVERAGE(OFFSET($AM$3,0,0,'Données projet'!$E$10+1,1))-AVERAGE(OFFSET($H$3,0,0,'Données projet'!$E$10+1,1))</f>
        <v>446.86777652265448</v>
      </c>
      <c r="AO41" s="62">
        <f t="shared" si="36"/>
        <v>230.82970731138215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11.340000000000003</v>
      </c>
      <c r="BD41" s="13">
        <f>IF('Données projet'!$A$88&gt;35,BD40+BC41-BL40,IF(A41&lt;'Données projet'!$A$88,$BA$205^A41,IF(A41='Données projet'!$A$88,'Données projet'!$B$88,BD40+BC41-BL40)))</f>
        <v>240.4199999999999</v>
      </c>
      <c r="BE41" s="14">
        <f>BD41*VLOOKUP('Données projet'!$B$11,Paramètres!$A$1:$I$89,3,0)*VLOOKUP('Données projet'!$B$11,Paramètres!$A$1:$I$89,5,0)</f>
        <v>191.27815199999995</v>
      </c>
      <c r="BF41" s="14">
        <f t="shared" si="37"/>
        <v>47.822423751245466</v>
      </c>
      <c r="BG41" s="22">
        <f t="shared" si="7"/>
        <v>416.43350276675238</v>
      </c>
      <c r="BH41" s="62">
        <f t="shared" si="8"/>
        <v>709.7668361000857</v>
      </c>
      <c r="BI41" s="62">
        <f ca="1">AVERAGE(OFFSET($BH$3,0,0,'Données projet'!$E$11+1,1))-AVERAGE(OFFSET($H$3,0,0,'Données projet'!$E$11+1,1))</f>
        <v>370.59298168107364</v>
      </c>
      <c r="BJ41" s="62">
        <f t="shared" si="38"/>
        <v>404.61777090709171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11.340000000000003</v>
      </c>
      <c r="BY41" s="13">
        <f>IF('Données projet'!$A$114&gt;35,BY40+BX41-CG40,IF(A41&lt;'Données projet'!$A$114,$BV$205^A41,IF(A41='Données projet'!$A$114,'Données projet'!$B$114,BY40+BX41-CG40)))</f>
        <v>240.4199999999999</v>
      </c>
      <c r="BZ41" s="14">
        <f>BY41*VLOOKUP('Données projet'!$B$12,Paramètres!$A$1:$I$89,3,0)*VLOOKUP('Données projet'!$B$12,Paramètres!$A$1:$I$89,5,0)</f>
        <v>176.27594399999992</v>
      </c>
      <c r="CA41" s="14">
        <f t="shared" si="39"/>
        <v>44.492646904932492</v>
      </c>
      <c r="CB41" s="22">
        <f t="shared" si="10"/>
        <v>384.50529582609062</v>
      </c>
      <c r="CC41" s="62">
        <f t="shared" si="11"/>
        <v>677.83862915942393</v>
      </c>
      <c r="CD41" s="62">
        <f ca="1">AVERAGE(OFFSET($CC$3,0,0,'Données projet'!$E$12+1,1))-AVERAGE(OFFSET($H$3,0,0,'Données projet'!$E$12+1,1))</f>
        <v>344.45199703750711</v>
      </c>
      <c r="CE41" s="62">
        <f t="shared" si="40"/>
        <v>376.41441893222185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8.8000000000000007</v>
      </c>
      <c r="CT41" s="13">
        <f>IF('Données projet'!$A$140&gt;35,CT40+CS41-DB40,IF(A41&lt;'Données projet'!$A$140,$CQ$205^A41,IF(A41='Données projet'!$A$140,'Données projet'!$B$140,CT40+CS41-DB40)))</f>
        <v>206.4</v>
      </c>
      <c r="CU41" s="18">
        <f>CT41*VLOOKUP('Données projet'!$B$13,Paramètres!$A$1:$I$89,3,0)*VLOOKUP('Données projet'!$B$13,Paramètres!$A$1:$I$89,5,0)</f>
        <v>135.23328000000001</v>
      </c>
      <c r="CV41" s="14">
        <f t="shared" si="41"/>
        <v>35.202825080004438</v>
      </c>
      <c r="CW41" s="22">
        <f t="shared" si="13"/>
        <v>296.842883014341</v>
      </c>
      <c r="CX41" s="62">
        <f t="shared" si="14"/>
        <v>590.17621634767431</v>
      </c>
      <c r="CY41" s="62">
        <f ca="1">AVERAGE(OFFSET($CX$3,0,0,'Données projet'!$E$13+1,1))-AVERAGE(OFFSET($H$3,0,0,'Données projet'!$E$13+1,1))</f>
        <v>311.53750850588153</v>
      </c>
      <c r="CZ41" s="62">
        <f t="shared" si="42"/>
        <v>304.84379909635476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7.6</v>
      </c>
      <c r="DO41" s="13">
        <f>IF('Données projet'!$A$166&gt;35,DO40+DN41-DW40,IF(A41&lt;'Données projet'!$A$166,$DL$205^A41,IF(A41='Données projet'!$A$166,'Données projet'!$B$166,DO40+DN41-DW40)))</f>
        <v>136.80000000000004</v>
      </c>
      <c r="DP41" s="18">
        <f>DO41*VLOOKUP('Données projet'!$B$14,Paramètres!$A$1:$I$89,3,0)*VLOOKUP('Données projet'!$B$14,Paramètres!$A$1:$I$89,5,0)</f>
        <v>110.97216000000004</v>
      </c>
      <c r="DQ41" s="14">
        <f t="shared" si="43"/>
        <v>29.559915623187329</v>
      </c>
      <c r="DR41" s="22">
        <f t="shared" si="16"/>
        <v>244.76003171038471</v>
      </c>
      <c r="DS41" s="62">
        <f t="shared" si="17"/>
        <v>538.09336504371799</v>
      </c>
      <c r="DT41" s="62">
        <f ca="1">AVERAGE(OFFSET($DS$3,0,0,'Données projet'!$E$14+1,1))-AVERAGE(OFFSET($H$3,0,0,'Données projet'!$E$14+1,1))</f>
        <v>256.19915261735281</v>
      </c>
      <c r="DU41" s="62">
        <f t="shared" si="44"/>
        <v>297.47246687305056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6.7948717948717956</v>
      </c>
      <c r="EJ41" s="13">
        <f>IF('Données projet'!$A$192&gt;35,EJ40+EI41-ER40,IF(A41&lt;'Données projet'!$A$192,$EG$205^A41,IF(A41='Données projet'!$A$192,'Données projet'!$B$192,EJ40+EI41-ER40)))</f>
        <v>146.66666666666666</v>
      </c>
      <c r="EK41" s="18">
        <f>EJ41*VLOOKUP('Données projet'!$B$15,Paramètres!$A$1:$I$89,3,0)*VLOOKUP('Données projet'!$B$15,Paramètres!$A$1:$I$89,5,0)</f>
        <v>139.56799999999998</v>
      </c>
      <c r="EL41" s="14">
        <f t="shared" si="45"/>
        <v>36.198022567902299</v>
      </c>
      <c r="EM41" s="22">
        <f t="shared" si="19"/>
        <v>306.12582263909644</v>
      </c>
      <c r="EN41" s="62">
        <f t="shared" si="20"/>
        <v>599.4591559724297</v>
      </c>
      <c r="EO41" s="62">
        <f ca="1">AVERAGE(OFFSET($EN$3,0,0,'Données projet'!$E$15+1,1))-AVERAGE(OFFSET($H$3,0,0,'Données projet'!$E$15+1,1))</f>
        <v>406.24139966722936</v>
      </c>
      <c r="EP41" s="62">
        <f t="shared" si="46"/>
        <v>295.95724296920577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11.142857142857142</v>
      </c>
      <c r="FE41" s="13">
        <f>IF('Données projet'!$A$218&gt;35,FE40+FD41-FM40,IF(A41&lt;'Données projet'!$A$218,$FB$205^A41,IF(A41='Données projet'!$A$218,'Données projet'!$B$218,FE40+FD41-FM40)))</f>
        <v>163.14285714285711</v>
      </c>
      <c r="FF41" s="18">
        <f>FE41*VLOOKUP('Données projet'!$B$16,Paramètres!$A$1:$I$89,3,0)*VLOOKUP('Données projet'!$B$16,Paramètres!$A$1:$I$89,5,0)</f>
        <v>127.25142857142855</v>
      </c>
      <c r="FG41" s="14">
        <f t="shared" si="47"/>
        <v>33.360457439554281</v>
      </c>
      <c r="FH41" s="22">
        <f t="shared" si="22"/>
        <v>279.73236813579507</v>
      </c>
      <c r="FI41" s="62">
        <f t="shared" si="23"/>
        <v>573.06570146912838</v>
      </c>
      <c r="FJ41" s="62">
        <f ca="1">AVERAGE(OFFSET($FI$3,0,0,'Données projet'!$E$16+1,1))-AVERAGE(OFFSET($H$3,0,0,'Données projet'!$E$16+1,1))</f>
        <v>292.57482726862594</v>
      </c>
      <c r="FK41" s="62">
        <f t="shared" si="48"/>
        <v>283.48738729114024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11.2</v>
      </c>
      <c r="FZ41" s="13">
        <f>IF('Données projet'!$A$244&gt;35,FZ40+FY41-GH40,IF(A41&lt;'Données projet'!$A$244,$FW$205^A41,IF(A41='Données projet'!$A$244,'Données projet'!$B$244,FZ40+FY41-GH40)))</f>
        <v>152.60000000000005</v>
      </c>
      <c r="GA41" s="18">
        <f>FZ41*VLOOKUP('Données projet'!$B$17,Paramètres!$A$1:$I$89,3,0)*VLOOKUP('Données projet'!$B$17,Paramètres!$A$1:$I$89,5,0)</f>
        <v>147.59472000000005</v>
      </c>
      <c r="GB41" s="14">
        <f t="shared" si="49"/>
        <v>38.031463918082679</v>
      </c>
      <c r="GC41" s="22">
        <f t="shared" si="25"/>
        <v>323.29893699066071</v>
      </c>
      <c r="GD41" s="62">
        <f t="shared" si="26"/>
        <v>616.63227032399402</v>
      </c>
      <c r="GE41" s="62">
        <f ca="1">AVERAGE(OFFSET($GD$3,0,0,'Données projet'!$E$17+1,1))-AVERAGE(OFFSET($H$3,0,0,'Données projet'!$E$17+1,1))</f>
        <v>562.69380557620775</v>
      </c>
      <c r="GF41" s="62">
        <f t="shared" si="50"/>
        <v>294.45557293177131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163.80000000000004</v>
      </c>
      <c r="O42" s="14">
        <f>N42*VLOOKUP('Données projet'!$B$9,Paramètres!$A$1:$I$89,3,0)*VLOOKUP('Données projet'!$B$9,Paramètres!$A$1:$I$89,5,0)</f>
        <v>148.20624000000004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529.25712986118265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15.166666666666666</v>
      </c>
      <c r="AI42" s="14">
        <f>IF('Données projet'!$A$62&gt;35,AI41+AH42-AQ41,IF(A42&lt;'Données projet'!$A$62,$AF$205^A42,IF(A42='Données projet'!$A$62,'Données projet'!$B$62,AI41+AH42-AQ41)))</f>
        <v>159.49999999999994</v>
      </c>
      <c r="AJ42" s="14">
        <f>AI42*VLOOKUP('Données projet'!$B$10,Paramètres!$A$1:$I$89,3,0)*VLOOKUP('Données projet'!$B$10,Paramètres!$A$1:$I$89,5,0)</f>
        <v>136.85099999999997</v>
      </c>
      <c r="AK42" s="14">
        <f t="shared" si="35"/>
        <v>35.574661452157265</v>
      </c>
      <c r="AL42" s="22">
        <f t="shared" si="4"/>
        <v>300.30802702917384</v>
      </c>
      <c r="AM42" s="62">
        <f t="shared" si="5"/>
        <v>593.64136036250716</v>
      </c>
      <c r="AN42" s="62">
        <f ca="1">AVERAGE(OFFSET($AM$3,0,0,'Données projet'!$E$10+1,1))-AVERAGE(OFFSET($H$3,0,0,'Données projet'!$E$10+1,1))</f>
        <v>446.86777652265448</v>
      </c>
      <c r="AO42" s="62">
        <f t="shared" si="36"/>
        <v>230.82970731138215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11.340000000000003</v>
      </c>
      <c r="BD42" s="13">
        <f>IF('Données projet'!$A$88&gt;35,BD41+BC42-BL41,IF(A42&lt;'Données projet'!$A$88,$BA$205^A42,IF(A42='Données projet'!$A$88,'Données projet'!$B$88,BD41+BC42-BL41)))</f>
        <v>251.75999999999991</v>
      </c>
      <c r="BE42" s="14">
        <f>BD42*VLOOKUP('Données projet'!$B$11,Paramètres!$A$1:$I$89,3,0)*VLOOKUP('Données projet'!$B$11,Paramètres!$A$1:$I$89,5,0)</f>
        <v>200.30025599999993</v>
      </c>
      <c r="BF42" s="14">
        <f t="shared" si="37"/>
        <v>49.810149143959919</v>
      </c>
      <c r="BG42" s="22">
        <f t="shared" si="7"/>
        <v>435.60895562573</v>
      </c>
      <c r="BH42" s="62">
        <f t="shared" si="8"/>
        <v>728.94228895906326</v>
      </c>
      <c r="BI42" s="62">
        <f ca="1">AVERAGE(OFFSET($BH$3,0,0,'Données projet'!$E$11+1,1))-AVERAGE(OFFSET($H$3,0,0,'Données projet'!$E$11+1,1))</f>
        <v>370.59298168107364</v>
      </c>
      <c r="BJ42" s="62">
        <f t="shared" si="38"/>
        <v>404.61777090709171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11.340000000000003</v>
      </c>
      <c r="BY42" s="13">
        <f>IF('Données projet'!$A$114&gt;35,BY41+BX42-CG41,IF(A42&lt;'Données projet'!$A$114,$BV$205^A42,IF(A42='Données projet'!$A$114,'Données projet'!$B$114,BY41+BX42-CG41)))</f>
        <v>251.75999999999991</v>
      </c>
      <c r="BZ42" s="14">
        <f>BY42*VLOOKUP('Données projet'!$B$12,Paramètres!$A$1:$I$89,3,0)*VLOOKUP('Données projet'!$B$12,Paramètres!$A$1:$I$89,5,0)</f>
        <v>184.59043199999994</v>
      </c>
      <c r="CA42" s="14">
        <f t="shared" si="39"/>
        <v>46.341971073486597</v>
      </c>
      <c r="CB42" s="22">
        <f t="shared" si="10"/>
        <v>402.20726868632238</v>
      </c>
      <c r="CC42" s="62">
        <f t="shared" si="11"/>
        <v>695.54060201965569</v>
      </c>
      <c r="CD42" s="62">
        <f ca="1">AVERAGE(OFFSET($CC$3,0,0,'Données projet'!$E$12+1,1))-AVERAGE(OFFSET($H$3,0,0,'Données projet'!$E$12+1,1))</f>
        <v>344.45199703750711</v>
      </c>
      <c r="CE42" s="62">
        <f t="shared" si="40"/>
        <v>376.41441893222185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8.8000000000000007</v>
      </c>
      <c r="CT42" s="13">
        <f>IF('Données projet'!$A$140&gt;35,CT41+CS42-DB41,IF(A42&lt;'Données projet'!$A$140,$CQ$205^A42,IF(A42='Données projet'!$A$140,'Données projet'!$B$140,CT41+CS42-DB41)))</f>
        <v>215.20000000000002</v>
      </c>
      <c r="CU42" s="18">
        <f>CT42*VLOOKUP('Données projet'!$B$13,Paramètres!$A$1:$I$89,3,0)*VLOOKUP('Données projet'!$B$13,Paramètres!$A$1:$I$89,5,0)</f>
        <v>140.99904000000001</v>
      </c>
      <c r="CV42" s="14">
        <f t="shared" si="41"/>
        <v>36.525776729948824</v>
      </c>
      <c r="CW42" s="22">
        <f t="shared" si="13"/>
        <v>309.18905580466088</v>
      </c>
      <c r="CX42" s="62">
        <f t="shared" si="14"/>
        <v>602.5223891379942</v>
      </c>
      <c r="CY42" s="62">
        <f ca="1">AVERAGE(OFFSET($CX$3,0,0,'Données projet'!$E$13+1,1))-AVERAGE(OFFSET($H$3,0,0,'Données projet'!$E$13+1,1))</f>
        <v>311.53750850588153</v>
      </c>
      <c r="CZ42" s="62">
        <f t="shared" si="42"/>
        <v>304.84379909635476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7.6</v>
      </c>
      <c r="DO42" s="13">
        <f>IF('Données projet'!$A$166&gt;35,DO41+DN42-DW41,IF(A42&lt;'Données projet'!$A$166,$DL$205^A42,IF(A42='Données projet'!$A$166,'Données projet'!$B$166,DO41+DN42-DW41)))</f>
        <v>144.40000000000003</v>
      </c>
      <c r="DP42" s="18">
        <f>DO42*VLOOKUP('Données projet'!$B$14,Paramètres!$A$1:$I$89,3,0)*VLOOKUP('Données projet'!$B$14,Paramètres!$A$1:$I$89,5,0)</f>
        <v>117.13728000000003</v>
      </c>
      <c r="DQ42" s="14">
        <f t="shared" si="43"/>
        <v>31.006381507018595</v>
      </c>
      <c r="DR42" s="22">
        <f t="shared" si="16"/>
        <v>258.01687712472409</v>
      </c>
      <c r="DS42" s="62">
        <f t="shared" si="17"/>
        <v>551.3502104580574</v>
      </c>
      <c r="DT42" s="62">
        <f ca="1">AVERAGE(OFFSET($DS$3,0,0,'Données projet'!$E$14+1,1))-AVERAGE(OFFSET($H$3,0,0,'Données projet'!$E$14+1,1))</f>
        <v>256.19915261735281</v>
      </c>
      <c r="DU42" s="62">
        <f t="shared" si="44"/>
        <v>297.47246687305056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6.7948717948717956</v>
      </c>
      <c r="EJ42" s="13">
        <f>IF('Données projet'!$A$192&gt;35,EJ41+EI42-ER41,IF(A42&lt;'Données projet'!$A$192,$EG$205^A42,IF(A42='Données projet'!$A$192,'Données projet'!$B$192,EJ41+EI42-ER41)))</f>
        <v>153.46153846153845</v>
      </c>
      <c r="EK42" s="18">
        <f>EJ42*VLOOKUP('Données projet'!$B$15,Paramètres!$A$1:$I$89,3,0)*VLOOKUP('Données projet'!$B$15,Paramètres!$A$1:$I$89,5,0)</f>
        <v>146.03399999999999</v>
      </c>
      <c r="EL42" s="14">
        <f t="shared" si="45"/>
        <v>37.675897140446111</v>
      </c>
      <c r="EM42" s="22">
        <f t="shared" si="19"/>
        <v>319.96140418627698</v>
      </c>
      <c r="EN42" s="62">
        <f t="shared" si="20"/>
        <v>613.29473751961029</v>
      </c>
      <c r="EO42" s="62">
        <f ca="1">AVERAGE(OFFSET($EN$3,0,0,'Données projet'!$E$15+1,1))-AVERAGE(OFFSET($H$3,0,0,'Données projet'!$E$15+1,1))</f>
        <v>406.24139966722936</v>
      </c>
      <c r="EP42" s="62">
        <f t="shared" si="46"/>
        <v>295.95724296920577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11.142857142857142</v>
      </c>
      <c r="FE42" s="13">
        <f>IF('Données projet'!$A$218&gt;35,FE41+FD42-FM41,IF(A42&lt;'Données projet'!$A$218,$FB$205^A42,IF(A42='Données projet'!$A$218,'Données projet'!$B$218,FE41+FD42-FM41)))</f>
        <v>174.28571428571425</v>
      </c>
      <c r="FF42" s="18">
        <f>FE42*VLOOKUP('Données projet'!$B$16,Paramètres!$A$1:$I$89,3,0)*VLOOKUP('Données projet'!$B$16,Paramètres!$A$1:$I$89,5,0)</f>
        <v>135.94285714285712</v>
      </c>
      <c r="FG42" s="14">
        <f t="shared" si="47"/>
        <v>35.365986273808367</v>
      </c>
      <c r="FH42" s="22">
        <f t="shared" si="22"/>
        <v>298.36290228402572</v>
      </c>
      <c r="FI42" s="62">
        <f t="shared" si="23"/>
        <v>591.69623561735898</v>
      </c>
      <c r="FJ42" s="62">
        <f ca="1">AVERAGE(OFFSET($FI$3,0,0,'Données projet'!$E$16+1,1))-AVERAGE(OFFSET($H$3,0,0,'Données projet'!$E$16+1,1))</f>
        <v>292.57482726862594</v>
      </c>
      <c r="FK42" s="62">
        <f t="shared" si="48"/>
        <v>283.48738729114024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11.2</v>
      </c>
      <c r="FZ42" s="13">
        <f>IF('Données projet'!$A$244&gt;35,FZ41+FY42-GH41,IF(A42&lt;'Données projet'!$A$244,$FW$205^A42,IF(A42='Données projet'!$A$244,'Données projet'!$B$244,FZ41+FY42-GH41)))</f>
        <v>163.80000000000004</v>
      </c>
      <c r="GA42" s="18">
        <f>FZ42*VLOOKUP('Données projet'!$B$17,Paramètres!$A$1:$I$89,3,0)*VLOOKUP('Données projet'!$B$17,Paramètres!$A$1:$I$89,5,0)</f>
        <v>158.42736000000005</v>
      </c>
      <c r="GB42" s="14">
        <f t="shared" si="49"/>
        <v>40.487598405868248</v>
      </c>
      <c r="GC42" s="22">
        <f t="shared" si="25"/>
        <v>346.44355255688725</v>
      </c>
      <c r="GD42" s="62">
        <f t="shared" si="26"/>
        <v>639.77688589022057</v>
      </c>
      <c r="GE42" s="62">
        <f ca="1">AVERAGE(OFFSET($GD$3,0,0,'Données projet'!$E$17+1,1))-AVERAGE(OFFSET($H$3,0,0,'Données projet'!$E$17+1,1))</f>
        <v>562.69380557620775</v>
      </c>
      <c r="GF42" s="62">
        <f t="shared" si="50"/>
        <v>294.45557293177131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175.00000000000003</v>
      </c>
      <c r="O43" s="14">
        <f>N43*VLOOKUP('Données projet'!$B$9,Paramètres!$A$1:$I$89,3,0)*VLOOKUP('Données projet'!$B$9,Paramètres!$A$1:$I$89,5,0)</f>
        <v>158.34000000000003</v>
      </c>
      <c r="P43" s="14">
        <f t="shared" si="33"/>
        <v>40.467870812652819</v>
      </c>
      <c r="Q43" s="22">
        <f t="shared" si="53"/>
        <v>346.25704166537042</v>
      </c>
      <c r="R43" s="62">
        <f t="shared" si="0"/>
        <v>639.59037499870374</v>
      </c>
      <c r="S43" s="62">
        <f ca="1">AVERAGE(OFFSET($R$3,0,0,'Données projet'!$E$9+1,1))-AVERAGE(OFFSET($H$3,0,0,'Données projet'!$E$9+1,1))</f>
        <v>529.25712986118265</v>
      </c>
      <c r="T43" s="62">
        <f t="shared" si="34"/>
        <v>278.21741231699929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15.166666666666666</v>
      </c>
      <c r="AI43" s="14">
        <f>IF('Données projet'!$A$62&gt;35,AI42+AH43-AQ42,IF(A43&lt;'Données projet'!$A$62,$AF$205^A43,IF(A43='Données projet'!$A$62,'Données projet'!$B$62,AI42+AH43-AQ42)))</f>
        <v>174.6666666666666</v>
      </c>
      <c r="AJ43" s="14">
        <f>AI43*VLOOKUP('Données projet'!$B$10,Paramètres!$A$1:$I$89,3,0)*VLOOKUP('Données projet'!$B$10,Paramètres!$A$1:$I$89,5,0)</f>
        <v>149.86399999999995</v>
      </c>
      <c r="AK43" s="14">
        <f t="shared" si="35"/>
        <v>38.547677501412096</v>
      </c>
      <c r="AL43" s="22">
        <f t="shared" si="4"/>
        <v>328.1503383149593</v>
      </c>
      <c r="AM43" s="62">
        <f t="shared" si="5"/>
        <v>621.48367164829256</v>
      </c>
      <c r="AN43" s="62">
        <f ca="1">AVERAGE(OFFSET($AM$3,0,0,'Données projet'!$E$10+1,1))-AVERAGE(OFFSET($H$3,0,0,'Données projet'!$E$10+1,1))</f>
        <v>446.86777652265448</v>
      </c>
      <c r="AO43" s="62">
        <f t="shared" si="36"/>
        <v>230.82970731138215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263.10000000000002</v>
      </c>
      <c r="BB43" s="13">
        <f>VLOOKUP(A43,'Données projet'!$A$87:$I$107,9,0)</f>
        <v>11.340000000000003</v>
      </c>
      <c r="BC43" s="13">
        <f t="array" ref="BC43">INDEX(BB:BB,MIN(IF(ISNUMBER(BB43:BB239),ROW(BB43:BB239),"")))</f>
        <v>11.340000000000003</v>
      </c>
      <c r="BD43" s="13">
        <f>IF('Données projet'!$A$88&gt;35,BD42+BC43-BL42,IF(A43&lt;'Données projet'!$A$88,$BA$205^A43,IF(A43='Données projet'!$A$88,'Données projet'!$B$88,BD42+BC43-BL42)))</f>
        <v>263.09999999999991</v>
      </c>
      <c r="BE43" s="14">
        <f>BD43*VLOOKUP('Données projet'!$B$11,Paramètres!$A$1:$I$89,3,0)*VLOOKUP('Données projet'!$B$11,Paramètres!$A$1:$I$89,5,0)</f>
        <v>209.32235999999995</v>
      </c>
      <c r="BF43" s="14">
        <f t="shared" si="37"/>
        <v>51.78747646553299</v>
      </c>
      <c r="BG43" s="22">
        <f t="shared" si="7"/>
        <v>454.7662985108031</v>
      </c>
      <c r="BH43" s="62">
        <f t="shared" si="8"/>
        <v>748.09963184413641</v>
      </c>
      <c r="BI43" s="62">
        <f ca="1">AVERAGE(OFFSET($BH$3,0,0,'Données projet'!$E$11+1,1))-AVERAGE(OFFSET($H$3,0,0,'Données projet'!$E$11+1,1))</f>
        <v>370.59298168107364</v>
      </c>
      <c r="BJ43" s="62">
        <f t="shared" si="38"/>
        <v>404.61777090709171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70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263.10000000000002</v>
      </c>
      <c r="BW43" s="13">
        <f>VLOOKUP(A43,'Données projet'!$A$113:$I$133,9,0)</f>
        <v>11.340000000000003</v>
      </c>
      <c r="BX43" s="13">
        <f t="array" ref="BX43">INDEX(BW:BW,MIN(IF(ISNUMBER(BW43:BW239),ROW(BW43:BW239),"")))</f>
        <v>11.340000000000003</v>
      </c>
      <c r="BY43" s="13">
        <f>IF('Données projet'!$A$114&gt;35,BY42+BX43-CG42,IF(A43&lt;'Données projet'!$A$114,$BV$205^A43,IF(A43='Données projet'!$A$114,'Données projet'!$B$114,BY42+BX43-CG42)))</f>
        <v>263.09999999999991</v>
      </c>
      <c r="BZ43" s="14">
        <f>BY43*VLOOKUP('Données projet'!$B$12,Paramètres!$A$1:$I$89,3,0)*VLOOKUP('Données projet'!$B$12,Paramètres!$A$1:$I$89,5,0)</f>
        <v>192.90491999999995</v>
      </c>
      <c r="CA43" s="14">
        <f t="shared" si="39"/>
        <v>48.181621167171684</v>
      </c>
      <c r="CB43" s="22">
        <f t="shared" si="10"/>
        <v>419.89239253282386</v>
      </c>
      <c r="CC43" s="62">
        <f t="shared" si="11"/>
        <v>713.22572586615718</v>
      </c>
      <c r="CD43" s="62">
        <f ca="1">AVERAGE(OFFSET($CC$3,0,0,'Données projet'!$E$12+1,1))-AVERAGE(OFFSET($H$3,0,0,'Données projet'!$E$12+1,1))</f>
        <v>344.45199703750711</v>
      </c>
      <c r="CE43" s="62">
        <f t="shared" si="40"/>
        <v>376.41441893222185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70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224</v>
      </c>
      <c r="CR43" s="13">
        <f>VLOOKUP(A43,'Données projet'!$A$139:$I$159,9,0)</f>
        <v>8.8000000000000007</v>
      </c>
      <c r="CS43" s="13">
        <f t="array" ref="CS43">INDEX(CR:CR,MIN(IF(ISNUMBER(CR43:CR239),ROW(CR43:CR239),"")))</f>
        <v>8.8000000000000007</v>
      </c>
      <c r="CT43" s="13">
        <f>IF('Données projet'!$A$140&gt;35,CT42+CS43-DB42,IF(A43&lt;'Données projet'!$A$140,$CQ$205^A43,IF(A43='Données projet'!$A$140,'Données projet'!$B$140,CT42+CS43-DB42)))</f>
        <v>224.00000000000003</v>
      </c>
      <c r="CU43" s="18">
        <f>CT43*VLOOKUP('Données projet'!$B$13,Paramètres!$A$1:$I$89,3,0)*VLOOKUP('Données projet'!$B$13,Paramètres!$A$1:$I$89,5,0)</f>
        <v>146.76480000000004</v>
      </c>
      <c r="CV43" s="14">
        <f t="shared" si="41"/>
        <v>37.842444439956665</v>
      </c>
      <c r="CW43" s="22">
        <f t="shared" si="13"/>
        <v>321.52428406625791</v>
      </c>
      <c r="CX43" s="62">
        <f t="shared" si="14"/>
        <v>614.85761739959116</v>
      </c>
      <c r="CY43" s="62">
        <f ca="1">AVERAGE(OFFSET($CX$3,0,0,'Données projet'!$E$13+1,1))-AVERAGE(OFFSET($H$3,0,0,'Données projet'!$E$13+1,1))</f>
        <v>311.53750850588153</v>
      </c>
      <c r="CZ43" s="62">
        <f t="shared" si="42"/>
        <v>304.84379909635476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152</v>
      </c>
      <c r="DM43" s="13">
        <f>VLOOKUP(A43,'Données projet'!$A$165:$I$185,9,0)</f>
        <v>7.6</v>
      </c>
      <c r="DN43" s="13">
        <f t="array" ref="DN43">INDEX(DM:DM,MIN(IF(ISNUMBER(DM43:DM239),ROW(DM43:DM239),"")))</f>
        <v>7.6</v>
      </c>
      <c r="DO43" s="13">
        <f>IF('Données projet'!$A$166&gt;35,DO42+DN43-DW42,IF(A43&lt;'Données projet'!$A$166,$DL$205^A43,IF(A43='Données projet'!$A$166,'Données projet'!$B$166,DO42+DN43-DW42)))</f>
        <v>152.00000000000003</v>
      </c>
      <c r="DP43" s="18">
        <f>DO43*VLOOKUP('Données projet'!$B$14,Paramètres!$A$1:$I$89,3,0)*VLOOKUP('Données projet'!$B$14,Paramètres!$A$1:$I$89,5,0)</f>
        <v>123.30240000000003</v>
      </c>
      <c r="DQ43" s="14">
        <f t="shared" si="43"/>
        <v>32.444008665071891</v>
      </c>
      <c r="DR43" s="22">
        <f t="shared" si="16"/>
        <v>271.25832842500023</v>
      </c>
      <c r="DS43" s="62">
        <f t="shared" si="17"/>
        <v>564.59166175833354</v>
      </c>
      <c r="DT43" s="62">
        <f ca="1">AVERAGE(OFFSET($DS$3,0,0,'Données projet'!$E$14+1,1))-AVERAGE(OFFSET($H$3,0,0,'Données projet'!$E$14+1,1))</f>
        <v>256.19915261735281</v>
      </c>
      <c r="DU43" s="62">
        <f t="shared" si="44"/>
        <v>297.47246687305056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160.25641025641025</v>
      </c>
      <c r="EH43" s="13">
        <f>VLOOKUP(A43,'Données projet'!$A$191:$I$211,9,0)</f>
        <v>6.7948717948717956</v>
      </c>
      <c r="EI43" s="13">
        <f t="array" ref="EI43">INDEX(EH:EH,MIN(IF(ISNUMBER(EH43:EH239),ROW(EH43:EH239),"")))</f>
        <v>6.7948717948717956</v>
      </c>
      <c r="EJ43" s="13">
        <f>IF('Données projet'!$A$192&gt;35,EJ42+EI43-ER42,IF(A43&lt;'Données projet'!$A$192,$EG$205^A43,IF(A43='Données projet'!$A$192,'Données projet'!$B$192,EJ42+EI43-ER42)))</f>
        <v>160.25641025641025</v>
      </c>
      <c r="EK43" s="18">
        <f>EJ43*VLOOKUP('Données projet'!$B$15,Paramètres!$A$1:$I$89,3,0)*VLOOKUP('Données projet'!$B$15,Paramètres!$A$1:$I$89,5,0)</f>
        <v>152.5</v>
      </c>
      <c r="EL43" s="14">
        <f t="shared" si="45"/>
        <v>39.146171889962673</v>
      </c>
      <c r="EM43" s="22">
        <f t="shared" si="19"/>
        <v>333.78374937501832</v>
      </c>
      <c r="EN43" s="62">
        <f t="shared" si="20"/>
        <v>627.11708270835163</v>
      </c>
      <c r="EO43" s="62">
        <f ca="1">AVERAGE(OFFSET($EN$3,0,0,'Données projet'!$E$15+1,1))-AVERAGE(OFFSET($H$3,0,0,'Données projet'!$E$15+1,1))</f>
        <v>406.24139966722936</v>
      </c>
      <c r="EP43" s="62">
        <f t="shared" si="46"/>
        <v>295.95724296920577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11.142857142857142</v>
      </c>
      <c r="FE43" s="13">
        <f>IF('Données projet'!$A$218&gt;35,FE42+FD43-FM42,IF(A43&lt;'Données projet'!$A$218,$FB$205^A43,IF(A43='Données projet'!$A$218,'Données projet'!$B$218,FE42+FD43-FM42)))</f>
        <v>185.42857142857139</v>
      </c>
      <c r="FF43" s="18">
        <f>FE43*VLOOKUP('Données projet'!$B$16,Paramètres!$A$1:$I$89,3,0)*VLOOKUP('Données projet'!$B$16,Paramètres!$A$1:$I$89,5,0)</f>
        <v>144.63428571428568</v>
      </c>
      <c r="FG43" s="14">
        <f t="shared" si="47"/>
        <v>37.356634728420524</v>
      </c>
      <c r="FH43" s="22">
        <f t="shared" si="22"/>
        <v>316.96751977104663</v>
      </c>
      <c r="FI43" s="62">
        <f t="shared" si="23"/>
        <v>610.30085310437994</v>
      </c>
      <c r="FJ43" s="62">
        <f ca="1">AVERAGE(OFFSET($FI$3,0,0,'Données projet'!$E$16+1,1))-AVERAGE(OFFSET($H$3,0,0,'Données projet'!$E$16+1,1))</f>
        <v>292.57482726862594</v>
      </c>
      <c r="FK43" s="62">
        <f t="shared" si="48"/>
        <v>283.48738729114024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175</v>
      </c>
      <c r="FX43" s="13">
        <f>VLOOKUP(A43,'Données projet'!$A$243:$I$263,9,0)</f>
        <v>11.2</v>
      </c>
      <c r="FY43" s="13">
        <f t="array" ref="FY43">INDEX(FX:FX,MIN(IF(ISNUMBER(FX43:FX239),ROW(FX43:FX239),"")))</f>
        <v>11.2</v>
      </c>
      <c r="FZ43" s="13">
        <f>IF('Données projet'!$A$244&gt;35,FZ42+FY43-GH42,IF(A43&lt;'Données projet'!$A$244,$FW$205^A43,IF(A43='Données projet'!$A$244,'Données projet'!$B$244,FZ42+FY43-GH42)))</f>
        <v>175.00000000000003</v>
      </c>
      <c r="GA43" s="18">
        <f>FZ43*VLOOKUP('Données projet'!$B$17,Paramètres!$A$1:$I$89,3,0)*VLOOKUP('Données projet'!$B$17,Paramètres!$A$1:$I$89,5,0)</f>
        <v>169.26000000000002</v>
      </c>
      <c r="GB43" s="14">
        <f t="shared" si="49"/>
        <v>42.924246146122272</v>
      </c>
      <c r="GC43" s="22">
        <f t="shared" si="25"/>
        <v>369.55422870449632</v>
      </c>
      <c r="GD43" s="62">
        <f t="shared" si="26"/>
        <v>662.88756203782964</v>
      </c>
      <c r="GE43" s="62">
        <f ca="1">AVERAGE(OFFSET($GD$3,0,0,'Données projet'!$E$17+1,1))-AVERAGE(OFFSET($H$3,0,0,'Données projet'!$E$17+1,1))</f>
        <v>562.69380557620775</v>
      </c>
      <c r="GF43" s="62">
        <f t="shared" si="50"/>
        <v>294.45557293177131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186.40000000000003</v>
      </c>
      <c r="O44" s="14">
        <f>N44*VLOOKUP('Données projet'!$B$9,Paramètres!$A$1:$I$89,3,0)*VLOOKUP('Données projet'!$B$9,Paramètres!$A$1:$I$89,5,0)</f>
        <v>168.65472000000003</v>
      </c>
      <c r="P44" s="14">
        <f t="shared" si="33"/>
        <v>42.78858644059585</v>
      </c>
      <c r="Q44" s="22">
        <f t="shared" si="53"/>
        <v>368.2637587173711</v>
      </c>
      <c r="R44" s="62">
        <f t="shared" si="0"/>
        <v>661.59709205070442</v>
      </c>
      <c r="S44" s="62">
        <f ca="1">AVERAGE(OFFSET($R$3,0,0,'Données projet'!$E$9+1,1))-AVERAGE(OFFSET($H$3,0,0,'Données projet'!$E$9+1,1))</f>
        <v>529.25712986118265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15.166666666666666</v>
      </c>
      <c r="AI44" s="14">
        <f>IF('Données projet'!$A$62&gt;35,AI43+AH44-AQ43,IF(A44&lt;'Données projet'!$A$62,$AF$205^A44,IF(A44='Données projet'!$A$62,'Données projet'!$B$62,AI43+AH44-AQ43)))</f>
        <v>189.83333333333326</v>
      </c>
      <c r="AJ44" s="14">
        <f>AI44*VLOOKUP('Données projet'!$B$10,Paramètres!$A$1:$I$89,3,0)*VLOOKUP('Données projet'!$B$10,Paramètres!$A$1:$I$89,5,0)</f>
        <v>162.87699999999995</v>
      </c>
      <c r="AK44" s="14">
        <f t="shared" si="35"/>
        <v>41.490756193100523</v>
      </c>
      <c r="AL44" s="22">
        <f t="shared" si="4"/>
        <v>355.94050870298332</v>
      </c>
      <c r="AM44" s="62">
        <f t="shared" si="5"/>
        <v>649.27384203631664</v>
      </c>
      <c r="AN44" s="62">
        <f ca="1">AVERAGE(OFFSET($AM$3,0,0,'Données projet'!$E$10+1,1))-AVERAGE(OFFSET($H$3,0,0,'Données projet'!$E$10+1,1))</f>
        <v>446.86777652265448</v>
      </c>
      <c r="AO44" s="62">
        <f t="shared" si="36"/>
        <v>230.82970731138215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9.8199999999999932</v>
      </c>
      <c r="BD44" s="13">
        <f>IF('Données projet'!$A$88&gt;35,BD43+BC44-BL43,IF(A44&lt;'Données projet'!$A$88,$BA$205^A44,IF(A44='Données projet'!$A$88,'Données projet'!$B$88,BD43+BC44-BL43)))</f>
        <v>202.9199999999999</v>
      </c>
      <c r="BE44" s="14">
        <f>BD44*VLOOKUP('Données projet'!$B$11,Paramètres!$A$1:$I$89,3,0)*VLOOKUP('Données projet'!$B$11,Paramètres!$A$1:$I$89,5,0)</f>
        <v>161.44315199999994</v>
      </c>
      <c r="BF44" s="14">
        <f t="shared" si="37"/>
        <v>41.167852065682119</v>
      </c>
      <c r="BG44" s="22">
        <f t="shared" si="7"/>
        <v>352.88083208106292</v>
      </c>
      <c r="BH44" s="62">
        <f t="shared" si="8"/>
        <v>646.21416541439623</v>
      </c>
      <c r="BI44" s="62">
        <f ca="1">AVERAGE(OFFSET($BH$3,0,0,'Données projet'!$E$11+1,1))-AVERAGE(OFFSET($H$3,0,0,'Données projet'!$E$11+1,1))</f>
        <v>370.59298168107364</v>
      </c>
      <c r="BJ44" s="62">
        <f t="shared" si="38"/>
        <v>404.61777090709171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9.8199999999999932</v>
      </c>
      <c r="BY44" s="13">
        <f>IF('Données projet'!$A$114&gt;35,BY43+BX44-CG43,IF(A44&lt;'Données projet'!$A$114,$BV$205^A44,IF(A44='Données projet'!$A$114,'Données projet'!$B$114,BY43+BX44-CG43)))</f>
        <v>202.9199999999999</v>
      </c>
      <c r="BZ44" s="14">
        <f>BY44*VLOOKUP('Données projet'!$B$12,Paramètres!$A$1:$I$89,3,0)*VLOOKUP('Données projet'!$B$12,Paramètres!$A$1:$I$89,5,0)</f>
        <v>148.78094399999992</v>
      </c>
      <c r="CA44" s="14">
        <f t="shared" si="39"/>
        <v>38.301419336680702</v>
      </c>
      <c r="CB44" s="22">
        <f t="shared" si="10"/>
        <v>325.83511614471871</v>
      </c>
      <c r="CC44" s="62">
        <f t="shared" si="11"/>
        <v>619.16844947805203</v>
      </c>
      <c r="CD44" s="62">
        <f ca="1">AVERAGE(OFFSET($CC$3,0,0,'Données projet'!$E$12+1,1))-AVERAGE(OFFSET($H$3,0,0,'Données projet'!$E$12+1,1))</f>
        <v>344.45199703750711</v>
      </c>
      <c r="CE44" s="62">
        <f t="shared" si="40"/>
        <v>376.41441893222185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8.1999999999999993</v>
      </c>
      <c r="CT44" s="13">
        <f>IF('Données projet'!$A$140&gt;35,CT43+CS44-DB43,IF(A44&lt;'Données projet'!$A$140,$CQ$205^A44,IF(A44='Données projet'!$A$140,'Données projet'!$B$140,CT43+CS44-DB43)))</f>
        <v>232.20000000000002</v>
      </c>
      <c r="CU44" s="18">
        <f>CT44*VLOOKUP('Données projet'!$B$13,Paramètres!$A$1:$I$89,3,0)*VLOOKUP('Données projet'!$B$13,Paramètres!$A$1:$I$89,5,0)</f>
        <v>152.13744</v>
      </c>
      <c r="CV44" s="14">
        <f t="shared" si="41"/>
        <v>39.063925813036093</v>
      </c>
      <c r="CW44" s="22">
        <f t="shared" si="13"/>
        <v>333.00904545770453</v>
      </c>
      <c r="CX44" s="62">
        <f t="shared" si="14"/>
        <v>626.34237879103785</v>
      </c>
      <c r="CY44" s="62">
        <f ca="1">AVERAGE(OFFSET($CX$3,0,0,'Données projet'!$E$13+1,1))-AVERAGE(OFFSET($H$3,0,0,'Données projet'!$E$13+1,1))</f>
        <v>311.53750850588153</v>
      </c>
      <c r="CZ44" s="62">
        <f t="shared" si="42"/>
        <v>304.84379909635476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7.6</v>
      </c>
      <c r="DO44" s="13">
        <f>IF('Données projet'!$A$166&gt;35,DO43+DN44-DW43,IF(A44&lt;'Données projet'!$A$166,$DL$205^A44,IF(A44='Données projet'!$A$166,'Données projet'!$B$166,DO43+DN44-DW43)))</f>
        <v>159.60000000000002</v>
      </c>
      <c r="DP44" s="18">
        <f>DO44*VLOOKUP('Données projet'!$B$14,Paramètres!$A$1:$I$89,3,0)*VLOOKUP('Données projet'!$B$14,Paramètres!$A$1:$I$89,5,0)</f>
        <v>129.46752000000004</v>
      </c>
      <c r="DQ44" s="14">
        <f t="shared" si="43"/>
        <v>33.873289462262882</v>
      </c>
      <c r="DR44" s="22">
        <f t="shared" si="16"/>
        <v>284.48524314677451</v>
      </c>
      <c r="DS44" s="62">
        <f t="shared" si="17"/>
        <v>577.81857648010782</v>
      </c>
      <c r="DT44" s="62">
        <f ca="1">AVERAGE(OFFSET($DS$3,0,0,'Données projet'!$E$14+1,1))-AVERAGE(OFFSET($H$3,0,0,'Données projet'!$E$14+1,1))</f>
        <v>256.19915261735281</v>
      </c>
      <c r="DU44" s="62">
        <f t="shared" si="44"/>
        <v>297.47246687305056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6.2820512820512819</v>
      </c>
      <c r="EJ44" s="13">
        <f>IF('Données projet'!$A$192&gt;35,EJ43+EI44-ER43,IF(A44&lt;'Données projet'!$A$192,$EG$205^A44,IF(A44='Données projet'!$A$192,'Données projet'!$B$192,EJ43+EI44-ER43)))</f>
        <v>166.53846153846152</v>
      </c>
      <c r="EK44" s="18">
        <f>EJ44*VLOOKUP('Données projet'!$B$15,Paramètres!$A$1:$I$89,3,0)*VLOOKUP('Données projet'!$B$15,Paramètres!$A$1:$I$89,5,0)</f>
        <v>158.47799999999998</v>
      </c>
      <c r="EL44" s="14">
        <f t="shared" si="45"/>
        <v>40.499033326567876</v>
      </c>
      <c r="EM44" s="22">
        <f t="shared" si="19"/>
        <v>346.55166637710568</v>
      </c>
      <c r="EN44" s="62">
        <f t="shared" si="20"/>
        <v>639.88499971043893</v>
      </c>
      <c r="EO44" s="62">
        <f ca="1">AVERAGE(OFFSET($EN$3,0,0,'Données projet'!$E$15+1,1))-AVERAGE(OFFSET($H$3,0,0,'Données projet'!$E$15+1,1))</f>
        <v>406.24139966722936</v>
      </c>
      <c r="EP44" s="62">
        <f t="shared" si="46"/>
        <v>295.95724296920577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11.142857142857142</v>
      </c>
      <c r="FE44" s="13">
        <f>IF('Données projet'!$A$218&gt;35,FE43+FD44-FM43,IF(A44&lt;'Données projet'!$A$218,$FB$205^A44,IF(A44='Données projet'!$A$218,'Données projet'!$B$218,FE43+FD44-FM43)))</f>
        <v>196.57142857142853</v>
      </c>
      <c r="FF44" s="18">
        <f>FE44*VLOOKUP('Données projet'!$B$16,Paramètres!$A$1:$I$89,3,0)*VLOOKUP('Données projet'!$B$16,Paramètres!$A$1:$I$89,5,0)</f>
        <v>153.32571428571427</v>
      </c>
      <c r="FG44" s="14">
        <f t="shared" si="47"/>
        <v>39.33339883761419</v>
      </c>
      <c r="FH44" s="22">
        <f t="shared" si="22"/>
        <v>335.54795535646372</v>
      </c>
      <c r="FI44" s="62">
        <f t="shared" si="23"/>
        <v>628.88128868979697</v>
      </c>
      <c r="FJ44" s="62">
        <f ca="1">AVERAGE(OFFSET($FI$3,0,0,'Données projet'!$E$16+1,1))-AVERAGE(OFFSET($H$3,0,0,'Données projet'!$E$16+1,1))</f>
        <v>292.57482726862594</v>
      </c>
      <c r="FK44" s="62">
        <f t="shared" si="48"/>
        <v>283.48738729114024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11.4</v>
      </c>
      <c r="FZ44" s="13">
        <f>IF('Données projet'!$A$244&gt;35,FZ43+FY44-GH43,IF(A44&lt;'Données projet'!$A$244,$FW$205^A44,IF(A44='Données projet'!$A$244,'Données projet'!$B$244,FZ43+FY44-GH43)))</f>
        <v>186.40000000000003</v>
      </c>
      <c r="GA44" s="18">
        <f>FZ44*VLOOKUP('Données projet'!$B$17,Paramètres!$A$1:$I$89,3,0)*VLOOKUP('Données projet'!$B$17,Paramètres!$A$1:$I$89,5,0)</f>
        <v>180.28608000000006</v>
      </c>
      <c r="GB44" s="14">
        <f t="shared" si="49"/>
        <v>45.38582781198636</v>
      </c>
      <c r="GC44" s="22">
        <f t="shared" si="25"/>
        <v>393.04523943920964</v>
      </c>
      <c r="GD44" s="62">
        <f t="shared" si="26"/>
        <v>686.37857277254295</v>
      </c>
      <c r="GE44" s="62">
        <f ca="1">AVERAGE(OFFSET($GD$3,0,0,'Données projet'!$E$17+1,1))-AVERAGE(OFFSET($H$3,0,0,'Données projet'!$E$17+1,1))</f>
        <v>562.69380557620775</v>
      </c>
      <c r="GF44" s="62">
        <f t="shared" si="50"/>
        <v>294.45557293177131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197.80000000000004</v>
      </c>
      <c r="O45" s="14">
        <f>N45*VLOOKUP('Données projet'!$B$9,Paramètres!$A$1:$I$89,3,0)*VLOOKUP('Données projet'!$B$9,Paramètres!$A$1:$I$89,5,0)</f>
        <v>178.96944000000002</v>
      </c>
      <c r="P45" s="14">
        <f t="shared" si="33"/>
        <v>45.092828990632619</v>
      </c>
      <c r="Q45" s="22">
        <f t="shared" si="53"/>
        <v>390.24178515868516</v>
      </c>
      <c r="R45" s="62">
        <f t="shared" si="0"/>
        <v>683.57511849201842</v>
      </c>
      <c r="S45" s="62">
        <f ca="1">AVERAGE(OFFSET($R$3,0,0,'Données projet'!$E$9+1,1))-AVERAGE(OFFSET($H$3,0,0,'Données projet'!$E$9+1,1))</f>
        <v>529.25712986118265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205</v>
      </c>
      <c r="AG45" s="13">
        <f>VLOOKUP(A45,'Données projet'!$A$61:$I$81,9,0)</f>
        <v>15.166666666666666</v>
      </c>
      <c r="AH45" s="13">
        <f t="array" ref="AH45">INDEX(AG:AG,MIN(IF(ISNUMBER(AG45:AG241),ROW(AG45:AG241),"")))</f>
        <v>15.166666666666666</v>
      </c>
      <c r="AI45" s="14">
        <f>IF('Données projet'!$A$62&gt;35,AI44+AH45-AQ44,IF(A45&lt;'Données projet'!$A$62,$AF$205^A45,IF(A45='Données projet'!$A$62,'Données projet'!$B$62,AI44+AH45-AQ44)))</f>
        <v>204.99999999999991</v>
      </c>
      <c r="AJ45" s="14">
        <f>AI45*VLOOKUP('Données projet'!$B$10,Paramètres!$A$1:$I$89,3,0)*VLOOKUP('Données projet'!$B$10,Paramètres!$A$1:$I$89,5,0)</f>
        <v>175.88999999999993</v>
      </c>
      <c r="AK45" s="14">
        <f t="shared" si="35"/>
        <v>44.406561291935212</v>
      </c>
      <c r="AL45" s="22">
        <f t="shared" si="4"/>
        <v>383.6831775834537</v>
      </c>
      <c r="AM45" s="62">
        <f t="shared" si="5"/>
        <v>677.01651091678696</v>
      </c>
      <c r="AN45" s="62">
        <f ca="1">AVERAGE(OFFSET($AM$3,0,0,'Données projet'!$E$10+1,1))-AVERAGE(OFFSET($H$3,0,0,'Données projet'!$E$10+1,1))</f>
        <v>446.86777652265448</v>
      </c>
      <c r="AO45" s="62">
        <f t="shared" si="36"/>
        <v>230.82970731138215</v>
      </c>
      <c r="AP45" s="16">
        <f>IF(ISNA(VLOOKUP(A45,'Données projet'!$A$61:$I$81,3,0)),0,VLOOKUP(A45,'Données projet'!$A$61:$I$81,3,0))</f>
        <v>4</v>
      </c>
      <c r="AQ45" s="16">
        <f>IF(ISNA(VLOOKUP(A45,'Données projet'!$A$61:$I$81,4,0)),0,VLOOKUP(A45,'Données projet'!$A$61:$I$81,4,0))</f>
        <v>59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9.8199999999999932</v>
      </c>
      <c r="BD45" s="13">
        <f>IF('Données projet'!$A$88&gt;35,BD44+BC45-BL44,IF(A45&lt;'Données projet'!$A$88,$BA$205^A45,IF(A45='Données projet'!$A$88,'Données projet'!$B$88,BD44+BC45-BL44)))</f>
        <v>212.7399999999999</v>
      </c>
      <c r="BE45" s="14">
        <f>BD45*VLOOKUP('Données projet'!$B$11,Paramètres!$A$1:$I$89,3,0)*VLOOKUP('Données projet'!$B$11,Paramètres!$A$1:$I$89,5,0)</f>
        <v>169.25594399999991</v>
      </c>
      <c r="BF45" s="14">
        <f t="shared" si="37"/>
        <v>42.923337274383478</v>
      </c>
      <c r="BG45" s="22">
        <f t="shared" si="7"/>
        <v>369.54558155288436</v>
      </c>
      <c r="BH45" s="62">
        <f t="shared" si="8"/>
        <v>662.87891488621767</v>
      </c>
      <c r="BI45" s="62">
        <f ca="1">AVERAGE(OFFSET($BH$3,0,0,'Données projet'!$E$11+1,1))-AVERAGE(OFFSET($H$3,0,0,'Données projet'!$E$11+1,1))</f>
        <v>370.59298168107364</v>
      </c>
      <c r="BJ45" s="62">
        <f t="shared" si="38"/>
        <v>404.61777090709171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9.8199999999999932</v>
      </c>
      <c r="BY45" s="13">
        <f>IF('Données projet'!$A$114&gt;35,BY44+BX45-CG44,IF(A45&lt;'Données projet'!$A$114,$BV$205^A45,IF(A45='Données projet'!$A$114,'Données projet'!$B$114,BY44+BX45-CG44)))</f>
        <v>212.7399999999999</v>
      </c>
      <c r="BZ45" s="14">
        <f>BY45*VLOOKUP('Données projet'!$B$12,Paramètres!$A$1:$I$89,3,0)*VLOOKUP('Données projet'!$B$12,Paramètres!$A$1:$I$89,5,0)</f>
        <v>155.98096799999993</v>
      </c>
      <c r="CA45" s="14">
        <f t="shared" si="39"/>
        <v>39.934673726794031</v>
      </c>
      <c r="CB45" s="22">
        <f t="shared" si="10"/>
        <v>341.21974267416618</v>
      </c>
      <c r="CC45" s="62">
        <f t="shared" si="11"/>
        <v>634.5530760074995</v>
      </c>
      <c r="CD45" s="62">
        <f ca="1">AVERAGE(OFFSET($CC$3,0,0,'Données projet'!$E$12+1,1))-AVERAGE(OFFSET($H$3,0,0,'Données projet'!$E$12+1,1))</f>
        <v>344.45199703750711</v>
      </c>
      <c r="CE45" s="62">
        <f t="shared" si="40"/>
        <v>376.41441893222185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8.1999999999999993</v>
      </c>
      <c r="CT45" s="13">
        <f>IF('Données projet'!$A$140&gt;35,CT44+CS45-DB44,IF(A45&lt;'Données projet'!$A$140,$CQ$205^A45,IF(A45='Données projet'!$A$140,'Données projet'!$B$140,CT44+CS45-DB44)))</f>
        <v>240.4</v>
      </c>
      <c r="CU45" s="18">
        <f>CT45*VLOOKUP('Données projet'!$B$13,Paramètres!$A$1:$I$89,3,0)*VLOOKUP('Données projet'!$B$13,Paramètres!$A$1:$I$89,5,0)</f>
        <v>157.51008000000002</v>
      </c>
      <c r="CV45" s="14">
        <f t="shared" si="41"/>
        <v>40.280395376872832</v>
      </c>
      <c r="CW45" s="22">
        <f t="shared" si="13"/>
        <v>344.48507794805352</v>
      </c>
      <c r="CX45" s="62">
        <f t="shared" si="14"/>
        <v>637.81841128138683</v>
      </c>
      <c r="CY45" s="62">
        <f ca="1">AVERAGE(OFFSET($CX$3,0,0,'Données projet'!$E$13+1,1))-AVERAGE(OFFSET($H$3,0,0,'Données projet'!$E$13+1,1))</f>
        <v>311.53750850588153</v>
      </c>
      <c r="CZ45" s="62">
        <f t="shared" si="42"/>
        <v>304.84379909635476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7.6</v>
      </c>
      <c r="DO45" s="13">
        <f>IF('Données projet'!$A$166&gt;35,DO44+DN45-DW44,IF(A45&lt;'Données projet'!$A$166,$DL$205^A45,IF(A45='Données projet'!$A$166,'Données projet'!$B$166,DO44+DN45-DW44)))</f>
        <v>167.20000000000002</v>
      </c>
      <c r="DP45" s="18">
        <f>DO45*VLOOKUP('Données projet'!$B$14,Paramètres!$A$1:$I$89,3,0)*VLOOKUP('Données projet'!$B$14,Paramètres!$A$1:$I$89,5,0)</f>
        <v>135.63264000000004</v>
      </c>
      <c r="DQ45" s="14">
        <f t="shared" si="43"/>
        <v>35.294666721954265</v>
      </c>
      <c r="DR45" s="22">
        <f t="shared" si="16"/>
        <v>297.69839254073707</v>
      </c>
      <c r="DS45" s="62">
        <f t="shared" si="17"/>
        <v>591.03172587407039</v>
      </c>
      <c r="DT45" s="62">
        <f ca="1">AVERAGE(OFFSET($DS$3,0,0,'Données projet'!$E$14+1,1))-AVERAGE(OFFSET($H$3,0,0,'Données projet'!$E$14+1,1))</f>
        <v>256.19915261735281</v>
      </c>
      <c r="DU45" s="62">
        <f t="shared" si="44"/>
        <v>297.47246687305056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6.2820512820512819</v>
      </c>
      <c r="EJ45" s="13">
        <f>IF('Données projet'!$A$192&gt;35,EJ44+EI45-ER44,IF(A45&lt;'Données projet'!$A$192,$EG$205^A45,IF(A45='Données projet'!$A$192,'Données projet'!$B$192,EJ44+EI45-ER44)))</f>
        <v>172.82051282051279</v>
      </c>
      <c r="EK45" s="18">
        <f>EJ45*VLOOKUP('Données projet'!$B$15,Paramètres!$A$1:$I$89,3,0)*VLOOKUP('Données projet'!$B$15,Paramètres!$A$1:$I$89,5,0)</f>
        <v>164.45599999999996</v>
      </c>
      <c r="EL45" s="14">
        <f t="shared" si="45"/>
        <v>41.84596620708853</v>
      </c>
      <c r="EM45" s="22">
        <f t="shared" si="19"/>
        <v>359.30925781067913</v>
      </c>
      <c r="EN45" s="62">
        <f t="shared" si="20"/>
        <v>652.64259114401239</v>
      </c>
      <c r="EO45" s="62">
        <f ca="1">AVERAGE(OFFSET($EN$3,0,0,'Données projet'!$E$15+1,1))-AVERAGE(OFFSET($H$3,0,0,'Données projet'!$E$15+1,1))</f>
        <v>406.24139966722936</v>
      </c>
      <c r="EP45" s="62">
        <f t="shared" si="46"/>
        <v>295.95724296920577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11.142857142857142</v>
      </c>
      <c r="FE45" s="13">
        <f>IF('Données projet'!$A$218&gt;35,FE44+FD45-FM44,IF(A45&lt;'Données projet'!$A$218,$FB$205^A45,IF(A45='Données projet'!$A$218,'Données projet'!$B$218,FE44+FD45-FM44)))</f>
        <v>207.71428571428567</v>
      </c>
      <c r="FF45" s="18">
        <f>FE45*VLOOKUP('Données projet'!$B$16,Paramètres!$A$1:$I$89,3,0)*VLOOKUP('Données projet'!$B$16,Paramètres!$A$1:$I$89,5,0)</f>
        <v>162.01714285714283</v>
      </c>
      <c r="FG45" s="14">
        <f t="shared" si="47"/>
        <v>41.297155335096676</v>
      </c>
      <c r="FH45" s="22">
        <f t="shared" si="22"/>
        <v>354.10573601815048</v>
      </c>
      <c r="FI45" s="62">
        <f t="shared" si="23"/>
        <v>647.43906935148379</v>
      </c>
      <c r="FJ45" s="62">
        <f ca="1">AVERAGE(OFFSET($FI$3,0,0,'Données projet'!$E$16+1,1))-AVERAGE(OFFSET($H$3,0,0,'Données projet'!$E$16+1,1))</f>
        <v>292.57482726862594</v>
      </c>
      <c r="FK45" s="62">
        <f t="shared" si="48"/>
        <v>283.48738729114024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11.4</v>
      </c>
      <c r="FZ45" s="13">
        <f>IF('Données projet'!$A$244&gt;35,FZ44+FY45-GH44,IF(A45&lt;'Données projet'!$A$244,$FW$205^A45,IF(A45='Données projet'!$A$244,'Données projet'!$B$244,FZ44+FY45-GH44)))</f>
        <v>197.80000000000004</v>
      </c>
      <c r="GA45" s="18">
        <f>FZ45*VLOOKUP('Données projet'!$B$17,Paramètres!$A$1:$I$89,3,0)*VLOOKUP('Données projet'!$B$17,Paramètres!$A$1:$I$89,5,0)</f>
        <v>191.31216000000003</v>
      </c>
      <c r="GB45" s="14">
        <f t="shared" si="49"/>
        <v>47.829936494057677</v>
      </c>
      <c r="GC45" s="22">
        <f t="shared" si="25"/>
        <v>416.50581806048382</v>
      </c>
      <c r="GD45" s="62">
        <f t="shared" si="26"/>
        <v>709.83915139381713</v>
      </c>
      <c r="GE45" s="62">
        <f ca="1">AVERAGE(OFFSET($GD$3,0,0,'Données projet'!$E$17+1,1))-AVERAGE(OFFSET($H$3,0,0,'Données projet'!$E$17+1,1))</f>
        <v>562.69380557620775</v>
      </c>
      <c r="GF45" s="62">
        <f t="shared" si="50"/>
        <v>294.45557293177131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209.20000000000005</v>
      </c>
      <c r="O46" s="14">
        <f>N46*VLOOKUP('Données projet'!$B$9,Paramètres!$A$1:$I$89,3,0)*VLOOKUP('Données projet'!$B$9,Paramètres!$A$1:$I$89,5,0)</f>
        <v>189.28416000000001</v>
      </c>
      <c r="P46" s="14">
        <f t="shared" si="33"/>
        <v>47.381656039514027</v>
      </c>
      <c r="Q46" s="22">
        <f t="shared" si="53"/>
        <v>412.19296293548695</v>
      </c>
      <c r="R46" s="62">
        <f t="shared" si="0"/>
        <v>705.52629626882026</v>
      </c>
      <c r="S46" s="62">
        <f ca="1">AVERAGE(OFFSET($R$3,0,0,'Données projet'!$E$9+1,1))-AVERAGE(OFFSET($H$3,0,0,'Données projet'!$E$9+1,1))</f>
        <v>529.25712986118265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15.666666666666666</v>
      </c>
      <c r="AI46" s="14">
        <f>IF('Données projet'!$A$62&gt;35,AI45+AH46-AQ45,IF(A46&lt;'Données projet'!$A$62,$AF$205^A46,IF(A46='Données projet'!$A$62,'Données projet'!$B$62,AI45+AH46-AQ45)))</f>
        <v>161.66666666666657</v>
      </c>
      <c r="AJ46" s="14">
        <f>AI46*VLOOKUP('Données projet'!$B$10,Paramètres!$A$1:$I$89,3,0)*VLOOKUP('Données projet'!$B$10,Paramètres!$A$1:$I$89,5,0)</f>
        <v>138.70999999999995</v>
      </c>
      <c r="AK46" s="14">
        <f t="shared" si="35"/>
        <v>36.00132558429457</v>
      </c>
      <c r="AL46" s="22">
        <f t="shared" si="4"/>
        <v>304.2888920593129</v>
      </c>
      <c r="AM46" s="62">
        <f t="shared" si="5"/>
        <v>597.62222539264621</v>
      </c>
      <c r="AN46" s="62">
        <f ca="1">AVERAGE(OFFSET($AM$3,0,0,'Données projet'!$E$10+1,1))-AVERAGE(OFFSET($H$3,0,0,'Données projet'!$E$10+1,1))</f>
        <v>446.86777652265448</v>
      </c>
      <c r="AO46" s="62">
        <f t="shared" si="36"/>
        <v>230.82970731138215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9.8199999999999932</v>
      </c>
      <c r="BD46" s="13">
        <f>IF('Données projet'!$A$88&gt;35,BD45+BC46-BL45,IF(A46&lt;'Données projet'!$A$88,$BA$205^A46,IF(A46='Données projet'!$A$88,'Données projet'!$B$88,BD45+BC46-BL45)))</f>
        <v>222.55999999999989</v>
      </c>
      <c r="BE46" s="14">
        <f>BD46*VLOOKUP('Données projet'!$B$11,Paramètres!$A$1:$I$89,3,0)*VLOOKUP('Données projet'!$B$11,Paramètres!$A$1:$I$89,5,0)</f>
        <v>177.06873599999992</v>
      </c>
      <c r="BF46" s="14">
        <f t="shared" si="37"/>
        <v>44.669412059753448</v>
      </c>
      <c r="BG46" s="22">
        <f t="shared" si="7"/>
        <v>386.19394120407043</v>
      </c>
      <c r="BH46" s="62">
        <f t="shared" si="8"/>
        <v>679.52727453740374</v>
      </c>
      <c r="BI46" s="62">
        <f ca="1">AVERAGE(OFFSET($BH$3,0,0,'Données projet'!$E$11+1,1))-AVERAGE(OFFSET($H$3,0,0,'Données projet'!$E$11+1,1))</f>
        <v>370.59298168107364</v>
      </c>
      <c r="BJ46" s="62">
        <f t="shared" si="38"/>
        <v>404.61777090709171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9.8199999999999932</v>
      </c>
      <c r="BY46" s="13">
        <f>IF('Données projet'!$A$114&gt;35,BY45+BX46-CG45,IF(A46&lt;'Données projet'!$A$114,$BV$205^A46,IF(A46='Données projet'!$A$114,'Données projet'!$B$114,BY45+BX46-CG45)))</f>
        <v>222.55999999999989</v>
      </c>
      <c r="BZ46" s="14">
        <f>BY46*VLOOKUP('Données projet'!$B$12,Paramètres!$A$1:$I$89,3,0)*VLOOKUP('Données projet'!$B$12,Paramètres!$A$1:$I$89,5,0)</f>
        <v>163.18099199999992</v>
      </c>
      <c r="CA46" s="14">
        <f t="shared" si="39"/>
        <v>41.559172921966017</v>
      </c>
      <c r="CB46" s="22">
        <f t="shared" si="10"/>
        <v>356.58912057242401</v>
      </c>
      <c r="CC46" s="62">
        <f t="shared" si="11"/>
        <v>649.92245390575727</v>
      </c>
      <c r="CD46" s="62">
        <f ca="1">AVERAGE(OFFSET($CC$3,0,0,'Données projet'!$E$12+1,1))-AVERAGE(OFFSET($H$3,0,0,'Données projet'!$E$12+1,1))</f>
        <v>344.45199703750711</v>
      </c>
      <c r="CE46" s="62">
        <f t="shared" si="40"/>
        <v>376.41441893222185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8.1999999999999993</v>
      </c>
      <c r="CT46" s="13">
        <f>IF('Données projet'!$A$140&gt;35,CT45+CS46-DB45,IF(A46&lt;'Données projet'!$A$140,$CQ$205^A46,IF(A46='Données projet'!$A$140,'Données projet'!$B$140,CT45+CS46-DB45)))</f>
        <v>248.6</v>
      </c>
      <c r="CU46" s="18">
        <f>CT46*VLOOKUP('Données projet'!$B$13,Paramètres!$A$1:$I$89,3,0)*VLOOKUP('Données projet'!$B$13,Paramètres!$A$1:$I$89,5,0)</f>
        <v>162.88272000000001</v>
      </c>
      <c r="CV46" s="14">
        <f t="shared" si="41"/>
        <v>41.492043678868484</v>
      </c>
      <c r="CW46" s="22">
        <f t="shared" si="13"/>
        <v>355.95271340736258</v>
      </c>
      <c r="CX46" s="62">
        <f t="shared" si="14"/>
        <v>649.28604674069584</v>
      </c>
      <c r="CY46" s="62">
        <f ca="1">AVERAGE(OFFSET($CX$3,0,0,'Données projet'!$E$13+1,1))-AVERAGE(OFFSET($H$3,0,0,'Données projet'!$E$13+1,1))</f>
        <v>311.53750850588153</v>
      </c>
      <c r="CZ46" s="62">
        <f t="shared" si="42"/>
        <v>304.84379909635476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7.6</v>
      </c>
      <c r="DO46" s="13">
        <f>IF('Données projet'!$A$166&gt;35,DO45+DN46-DW45,IF(A46&lt;'Données projet'!$A$166,$DL$205^A46,IF(A46='Données projet'!$A$166,'Données projet'!$B$166,DO45+DN46-DW45)))</f>
        <v>174.8</v>
      </c>
      <c r="DP46" s="18">
        <f>DO46*VLOOKUP('Données projet'!$B$14,Paramètres!$A$1:$I$89,3,0)*VLOOKUP('Données projet'!$B$14,Paramètres!$A$1:$I$89,5,0)</f>
        <v>141.79776000000004</v>
      </c>
      <c r="DQ46" s="14">
        <f t="shared" si="43"/>
        <v>36.708540735279854</v>
      </c>
      <c r="DR46" s="22">
        <f t="shared" si="16"/>
        <v>310.89847378061245</v>
      </c>
      <c r="DS46" s="62">
        <f t="shared" si="17"/>
        <v>604.23180711394571</v>
      </c>
      <c r="DT46" s="62">
        <f ca="1">AVERAGE(OFFSET($DS$3,0,0,'Données projet'!$E$14+1,1))-AVERAGE(OFFSET($H$3,0,0,'Données projet'!$E$14+1,1))</f>
        <v>256.19915261735281</v>
      </c>
      <c r="DU46" s="62">
        <f t="shared" si="44"/>
        <v>297.47246687305056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6.2820512820512819</v>
      </c>
      <c r="EJ46" s="13">
        <f>IF('Données projet'!$A$192&gt;35,EJ45+EI46-ER45,IF(A46&lt;'Données projet'!$A$192,$EG$205^A46,IF(A46='Données projet'!$A$192,'Données projet'!$B$192,EJ45+EI46-ER45)))</f>
        <v>179.10256410256406</v>
      </c>
      <c r="EK46" s="18">
        <f>EJ46*VLOOKUP('Données projet'!$B$15,Paramètres!$A$1:$I$89,3,0)*VLOOKUP('Données projet'!$B$15,Paramètres!$A$1:$I$89,5,0)</f>
        <v>170.43399999999997</v>
      </c>
      <c r="EL46" s="14">
        <f t="shared" si="45"/>
        <v>43.187210719400916</v>
      </c>
      <c r="EM46" s="22">
        <f t="shared" si="19"/>
        <v>372.05694200295653</v>
      </c>
      <c r="EN46" s="62">
        <f t="shared" si="20"/>
        <v>665.39027533628985</v>
      </c>
      <c r="EO46" s="62">
        <f ca="1">AVERAGE(OFFSET($EN$3,0,0,'Données projet'!$E$15+1,1))-AVERAGE(OFFSET($H$3,0,0,'Données projet'!$E$15+1,1))</f>
        <v>406.24139966722936</v>
      </c>
      <c r="EP46" s="62">
        <f t="shared" si="46"/>
        <v>295.95724296920577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11.142857142857142</v>
      </c>
      <c r="FE46" s="13">
        <f>IF('Données projet'!$A$218&gt;35,FE45+FD46-FM45,IF(A46&lt;'Données projet'!$A$218,$FB$205^A46,IF(A46='Données projet'!$A$218,'Données projet'!$B$218,FE45+FD46-FM45)))</f>
        <v>218.8571428571428</v>
      </c>
      <c r="FF46" s="18">
        <f>FE46*VLOOKUP('Données projet'!$B$16,Paramètres!$A$1:$I$89,3,0)*VLOOKUP('Données projet'!$B$16,Paramètres!$A$1:$I$89,5,0)</f>
        <v>170.70857142857139</v>
      </c>
      <c r="FG46" s="14">
        <f t="shared" si="47"/>
        <v>43.248681576985412</v>
      </c>
      <c r="FH46" s="22">
        <f t="shared" si="22"/>
        <v>372.64221565134471</v>
      </c>
      <c r="FI46" s="62">
        <f t="shared" si="23"/>
        <v>665.97554898467797</v>
      </c>
      <c r="FJ46" s="62">
        <f ca="1">AVERAGE(OFFSET($FI$3,0,0,'Données projet'!$E$16+1,1))-AVERAGE(OFFSET($H$3,0,0,'Données projet'!$E$16+1,1))</f>
        <v>292.57482726862594</v>
      </c>
      <c r="FK46" s="62">
        <f t="shared" si="48"/>
        <v>283.48738729114024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11.4</v>
      </c>
      <c r="FZ46" s="13">
        <f>IF('Données projet'!$A$244&gt;35,FZ45+FY46-GH45,IF(A46&lt;'Données projet'!$A$244,$FW$205^A46,IF(A46='Données projet'!$A$244,'Données projet'!$B$244,FZ45+FY46-GH45)))</f>
        <v>209.20000000000005</v>
      </c>
      <c r="GA46" s="18">
        <f>FZ46*VLOOKUP('Données projet'!$B$17,Paramètres!$A$1:$I$89,3,0)*VLOOKUP('Données projet'!$B$17,Paramètres!$A$1:$I$89,5,0)</f>
        <v>202.33824000000007</v>
      </c>
      <c r="GB46" s="14">
        <f t="shared" si="49"/>
        <v>50.257693963357795</v>
      </c>
      <c r="GC46" s="22">
        <f t="shared" si="25"/>
        <v>439.93791831951495</v>
      </c>
      <c r="GD46" s="62">
        <f t="shared" si="26"/>
        <v>733.27125165284826</v>
      </c>
      <c r="GE46" s="62">
        <f ca="1">AVERAGE(OFFSET($GD$3,0,0,'Données projet'!$E$17+1,1))-AVERAGE(OFFSET($H$3,0,0,'Données projet'!$E$17+1,1))</f>
        <v>562.69380557620775</v>
      </c>
      <c r="GF46" s="62">
        <f t="shared" si="50"/>
        <v>294.45557293177131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220.60000000000005</v>
      </c>
      <c r="O47" s="14">
        <f>N47*VLOOKUP('Données projet'!$B$9,Paramètres!$A$1:$I$89,3,0)*VLOOKUP('Données projet'!$B$9,Paramètres!$A$1:$I$89,5,0)</f>
        <v>199.59888000000004</v>
      </c>
      <c r="P47" s="14">
        <f t="shared" si="33"/>
        <v>49.656003392529037</v>
      </c>
      <c r="Q47" s="22">
        <f t="shared" si="53"/>
        <v>434.11892190865478</v>
      </c>
      <c r="R47" s="62">
        <f t="shared" si="0"/>
        <v>727.45225524198804</v>
      </c>
      <c r="S47" s="62">
        <f ca="1">AVERAGE(OFFSET($R$3,0,0,'Données projet'!$E$9+1,1))-AVERAGE(OFFSET($H$3,0,0,'Données projet'!$E$9+1,1))</f>
        <v>529.25712986118265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15.666666666666666</v>
      </c>
      <c r="AI47" s="14">
        <f>IF('Données projet'!$A$62&gt;35,AI46+AH47-AQ46,IF(A47&lt;'Données projet'!$A$62,$AF$205^A47,IF(A47='Données projet'!$A$62,'Données projet'!$B$62,AI46+AH47-AQ46)))</f>
        <v>177.33333333333323</v>
      </c>
      <c r="AJ47" s="14">
        <f>AI47*VLOOKUP('Données projet'!$B$10,Paramètres!$A$1:$I$89,3,0)*VLOOKUP('Données projet'!$B$10,Paramètres!$A$1:$I$89,5,0)</f>
        <v>152.15199999999993</v>
      </c>
      <c r="AK47" s="14">
        <f t="shared" si="35"/>
        <v>39.067229161930634</v>
      </c>
      <c r="AL47" s="22">
        <f t="shared" si="4"/>
        <v>333.04015745702907</v>
      </c>
      <c r="AM47" s="62">
        <f t="shared" si="5"/>
        <v>626.37349079036244</v>
      </c>
      <c r="AN47" s="62">
        <f ca="1">AVERAGE(OFFSET($AM$3,0,0,'Données projet'!$E$10+1,1))-AVERAGE(OFFSET($H$3,0,0,'Données projet'!$E$10+1,1))</f>
        <v>446.86777652265448</v>
      </c>
      <c r="AO47" s="62">
        <f t="shared" si="36"/>
        <v>230.82970731138215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9.8199999999999932</v>
      </c>
      <c r="BD47" s="13">
        <f>IF('Données projet'!$A$88&gt;35,BD46+BC47-BL46,IF(A47&lt;'Données projet'!$A$88,$BA$205^A47,IF(A47='Données projet'!$A$88,'Données projet'!$B$88,BD46+BC47-BL46)))</f>
        <v>232.37999999999988</v>
      </c>
      <c r="BE47" s="14">
        <f>BD47*VLOOKUP('Données projet'!$B$11,Paramètres!$A$1:$I$89,3,0)*VLOOKUP('Données projet'!$B$11,Paramètres!$A$1:$I$89,5,0)</f>
        <v>184.88152799999992</v>
      </c>
      <c r="BF47" s="14">
        <f t="shared" si="37"/>
        <v>46.406539086581006</v>
      </c>
      <c r="BG47" s="22">
        <f t="shared" si="7"/>
        <v>402.82671684246179</v>
      </c>
      <c r="BH47" s="62">
        <f t="shared" si="8"/>
        <v>696.16005017579505</v>
      </c>
      <c r="BI47" s="62">
        <f ca="1">AVERAGE(OFFSET($BH$3,0,0,'Données projet'!$E$11+1,1))-AVERAGE(OFFSET($H$3,0,0,'Données projet'!$E$11+1,1))</f>
        <v>370.59298168107364</v>
      </c>
      <c r="BJ47" s="62">
        <f t="shared" si="38"/>
        <v>404.61777090709171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9.8199999999999932</v>
      </c>
      <c r="BY47" s="13">
        <f>IF('Données projet'!$A$114&gt;35,BY46+BX47-CG46,IF(A47&lt;'Données projet'!$A$114,$BV$205^A47,IF(A47='Données projet'!$A$114,'Données projet'!$B$114,BY46+BX47-CG46)))</f>
        <v>232.37999999999988</v>
      </c>
      <c r="BZ47" s="14">
        <f>BY47*VLOOKUP('Données projet'!$B$12,Paramètres!$A$1:$I$89,3,0)*VLOOKUP('Données projet'!$B$12,Paramètres!$A$1:$I$89,5,0)</f>
        <v>170.3810159999999</v>
      </c>
      <c r="CA47" s="14">
        <f t="shared" si="39"/>
        <v>43.17534737258952</v>
      </c>
      <c r="CB47" s="22">
        <f t="shared" si="10"/>
        <v>371.94399954059327</v>
      </c>
      <c r="CC47" s="62">
        <f t="shared" si="11"/>
        <v>665.27733287392653</v>
      </c>
      <c r="CD47" s="62">
        <f ca="1">AVERAGE(OFFSET($CC$3,0,0,'Données projet'!$E$12+1,1))-AVERAGE(OFFSET($H$3,0,0,'Données projet'!$E$12+1,1))</f>
        <v>344.45199703750711</v>
      </c>
      <c r="CE47" s="62">
        <f t="shared" si="40"/>
        <v>376.41441893222185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8.1999999999999993</v>
      </c>
      <c r="CT47" s="13">
        <f>IF('Données projet'!$A$140&gt;35,CT46+CS47-DB46,IF(A47&lt;'Données projet'!$A$140,$CQ$205^A47,IF(A47='Données projet'!$A$140,'Données projet'!$B$140,CT46+CS47-DB46)))</f>
        <v>256.8</v>
      </c>
      <c r="CU47" s="18">
        <f>CT47*VLOOKUP('Données projet'!$B$13,Paramètres!$A$1:$I$89,3,0)*VLOOKUP('Données projet'!$B$13,Paramètres!$A$1:$I$89,5,0)</f>
        <v>168.25536</v>
      </c>
      <c r="CV47" s="14">
        <f t="shared" si="41"/>
        <v>42.699047982710887</v>
      </c>
      <c r="CW47" s="22">
        <f t="shared" si="13"/>
        <v>367.41226056988808</v>
      </c>
      <c r="CX47" s="62">
        <f t="shared" si="14"/>
        <v>660.74559390322133</v>
      </c>
      <c r="CY47" s="62">
        <f ca="1">AVERAGE(OFFSET($CX$3,0,0,'Données projet'!$E$13+1,1))-AVERAGE(OFFSET($H$3,0,0,'Données projet'!$E$13+1,1))</f>
        <v>311.53750850588153</v>
      </c>
      <c r="CZ47" s="62">
        <f t="shared" si="42"/>
        <v>304.84379909635476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7.6</v>
      </c>
      <c r="DO47" s="13">
        <f>IF('Données projet'!$A$166&gt;35,DO46+DN47-DW46,IF(A47&lt;'Données projet'!$A$166,$DL$205^A47,IF(A47='Données projet'!$A$166,'Données projet'!$B$166,DO46+DN47-DW46)))</f>
        <v>182.4</v>
      </c>
      <c r="DP47" s="18">
        <f>DO47*VLOOKUP('Données projet'!$B$14,Paramètres!$A$1:$I$89,3,0)*VLOOKUP('Données projet'!$B$14,Paramètres!$A$1:$I$89,5,0)</f>
        <v>147.96288000000001</v>
      </c>
      <c r="DQ47" s="14">
        <f t="shared" si="43"/>
        <v>38.115275017059226</v>
      </c>
      <c r="DR47" s="22">
        <f t="shared" si="16"/>
        <v>324.0861199880448</v>
      </c>
      <c r="DS47" s="62">
        <f t="shared" si="17"/>
        <v>617.41945332137811</v>
      </c>
      <c r="DT47" s="62">
        <f ca="1">AVERAGE(OFFSET($DS$3,0,0,'Données projet'!$E$14+1,1))-AVERAGE(OFFSET($H$3,0,0,'Données projet'!$E$14+1,1))</f>
        <v>256.19915261735281</v>
      </c>
      <c r="DU47" s="62">
        <f t="shared" si="44"/>
        <v>297.47246687305056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6.2820512820512819</v>
      </c>
      <c r="EJ47" s="13">
        <f>IF('Données projet'!$A$192&gt;35,EJ46+EI47-ER46,IF(A47&lt;'Données projet'!$A$192,$EG$205^A47,IF(A47='Données projet'!$A$192,'Données projet'!$B$192,EJ46+EI47-ER46)))</f>
        <v>185.38461538461533</v>
      </c>
      <c r="EK47" s="18">
        <f>EJ47*VLOOKUP('Données projet'!$B$15,Paramètres!$A$1:$I$89,3,0)*VLOOKUP('Données projet'!$B$15,Paramètres!$A$1:$I$89,5,0)</f>
        <v>176.41199999999995</v>
      </c>
      <c r="EL47" s="14">
        <f t="shared" si="45"/>
        <v>44.522989246723967</v>
      </c>
      <c r="EM47" s="22">
        <f t="shared" si="19"/>
        <v>384.79510627137751</v>
      </c>
      <c r="EN47" s="62">
        <f t="shared" si="20"/>
        <v>678.12843960471082</v>
      </c>
      <c r="EO47" s="62">
        <f ca="1">AVERAGE(OFFSET($EN$3,0,0,'Données projet'!$E$15+1,1))-AVERAGE(OFFSET($H$3,0,0,'Données projet'!$E$15+1,1))</f>
        <v>406.24139966722936</v>
      </c>
      <c r="EP47" s="62">
        <f t="shared" si="46"/>
        <v>295.95724296920577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>
        <f>VLOOKUP(A47,'Données projet'!$A$217:$I$237,2,0)</f>
        <v>230</v>
      </c>
      <c r="FC47" s="13">
        <f>VLOOKUP(A47,'Données projet'!$A$217:$I$237,9,0)</f>
        <v>11.142857142857142</v>
      </c>
      <c r="FD47" s="13">
        <f t="array" ref="FD47">INDEX(FC:FC,MIN(IF(ISNUMBER(FC47:FC243),ROW(FC47:FC243),"")))</f>
        <v>11.142857142857142</v>
      </c>
      <c r="FE47" s="13">
        <f>IF('Données projet'!$A$218&gt;35,FE46+FD47-FM46,IF(A47&lt;'Données projet'!$A$218,$FB$205^A47,IF(A47='Données projet'!$A$218,'Données projet'!$B$218,FE46+FD47-FM46)))</f>
        <v>229.99999999999994</v>
      </c>
      <c r="FF47" s="18">
        <f>FE47*VLOOKUP('Données projet'!$B$16,Paramètres!$A$1:$I$89,3,0)*VLOOKUP('Données projet'!$B$16,Paramètres!$A$1:$I$89,5,0)</f>
        <v>179.39999999999995</v>
      </c>
      <c r="FG47" s="14">
        <f t="shared" si="47"/>
        <v>45.188671291872232</v>
      </c>
      <c r="FH47" s="22">
        <f t="shared" si="22"/>
        <v>391.15860250001066</v>
      </c>
      <c r="FI47" s="62">
        <f t="shared" si="23"/>
        <v>684.49193583334397</v>
      </c>
      <c r="FJ47" s="62">
        <f ca="1">AVERAGE(OFFSET($FI$3,0,0,'Données projet'!$E$16+1,1))-AVERAGE(OFFSET($H$3,0,0,'Données projet'!$E$16+1,1))</f>
        <v>292.57482726862594</v>
      </c>
      <c r="FK47" s="62">
        <f t="shared" si="48"/>
        <v>283.48738729114024</v>
      </c>
      <c r="FL47" s="16">
        <f>IF(ISNA(VLOOKUP(A47,'Données projet'!$A$217:$I$237,3,0)),0,VLOOKUP(A47,'Données projet'!$A$217:$I$237,3,0))</f>
        <v>4</v>
      </c>
      <c r="FM47" s="16">
        <f>IF(ISNA(VLOOKUP(A47,'Données projet'!$A$217:$I$237,4,0)),0,VLOOKUP(A47,'Données projet'!$A$217:$I$237,4,0))</f>
        <v>43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11.4</v>
      </c>
      <c r="FZ47" s="13">
        <f>IF('Données projet'!$A$244&gt;35,FZ46+FY47-GH46,IF(A47&lt;'Données projet'!$A$244,$FW$205^A47,IF(A47='Données projet'!$A$244,'Données projet'!$B$244,FZ46+FY47-GH46)))</f>
        <v>220.60000000000005</v>
      </c>
      <c r="GA47" s="18">
        <f>FZ47*VLOOKUP('Données projet'!$B$17,Paramètres!$A$1:$I$89,3,0)*VLOOKUP('Données projet'!$B$17,Paramètres!$A$1:$I$89,5,0)</f>
        <v>213.36432000000005</v>
      </c>
      <c r="GB47" s="14">
        <f t="shared" si="49"/>
        <v>52.670092827991724</v>
      </c>
      <c r="GC47" s="22">
        <f t="shared" si="25"/>
        <v>463.34326900875232</v>
      </c>
      <c r="GD47" s="62">
        <f t="shared" si="26"/>
        <v>756.67660234208563</v>
      </c>
      <c r="GE47" s="62">
        <f ca="1">AVERAGE(OFFSET($GD$3,0,0,'Données projet'!$E$17+1,1))-AVERAGE(OFFSET($H$3,0,0,'Données projet'!$E$17+1,1))</f>
        <v>562.69380557620775</v>
      </c>
      <c r="GF47" s="62">
        <f t="shared" si="50"/>
        <v>294.45557293177131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232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232.00000000000006</v>
      </c>
      <c r="O48" s="14">
        <f>N48*VLOOKUP('Données projet'!$B$9,Paramètres!$A$1:$I$89,3,0)*VLOOKUP('Données projet'!$B$9,Paramètres!$A$1:$I$89,5,0)</f>
        <v>209.91360000000006</v>
      </c>
      <c r="P48" s="14">
        <f t="shared" si="33"/>
        <v>51.916704672341361</v>
      </c>
      <c r="Q48" s="22">
        <f t="shared" si="53"/>
        <v>456.02111397099458</v>
      </c>
      <c r="R48" s="62">
        <f t="shared" si="0"/>
        <v>749.35444730432789</v>
      </c>
      <c r="S48" s="62">
        <f ca="1">AVERAGE(OFFSET($R$3,0,0,'Données projet'!$E$9+1,1))-AVERAGE(OFFSET($H$3,0,0,'Données projet'!$E$9+1,1))</f>
        <v>529.25712986118265</v>
      </c>
      <c r="T48" s="62">
        <f t="shared" si="34"/>
        <v>278.21741231699929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56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15.666666666666666</v>
      </c>
      <c r="AI48" s="14">
        <f>IF('Données projet'!$A$62&gt;35,AI47+AH48-AQ47,IF(A48&lt;'Données projet'!$A$62,$AF$205^A48,IF(A48='Données projet'!$A$62,'Données projet'!$B$62,AI47+AH48-AQ47)))</f>
        <v>192.99999999999989</v>
      </c>
      <c r="AJ48" s="14">
        <f>AI48*VLOOKUP('Données projet'!$B$10,Paramètres!$A$1:$I$89,3,0)*VLOOKUP('Données projet'!$B$10,Paramètres!$A$1:$I$89,5,0)</f>
        <v>165.59399999999994</v>
      </c>
      <c r="AK48" s="14">
        <f t="shared" si="35"/>
        <v>42.101723105196754</v>
      </c>
      <c r="AL48" s="22">
        <f t="shared" si="4"/>
        <v>361.73671774155088</v>
      </c>
      <c r="AM48" s="62">
        <f t="shared" si="5"/>
        <v>655.07005107488419</v>
      </c>
      <c r="AN48" s="62">
        <f ca="1">AVERAGE(OFFSET($AM$3,0,0,'Données projet'!$E$10+1,1))-AVERAGE(OFFSET($H$3,0,0,'Données projet'!$E$10+1,1))</f>
        <v>446.86777652265448</v>
      </c>
      <c r="AO48" s="62">
        <f t="shared" si="36"/>
        <v>230.82970731138215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242.2</v>
      </c>
      <c r="BB48" s="13">
        <f>VLOOKUP(A48,'Données projet'!$A$87:$I$107,9,0)</f>
        <v>9.8199999999999932</v>
      </c>
      <c r="BC48" s="13">
        <f t="array" ref="BC48">INDEX(BB:BB,MIN(IF(ISNUMBER(BB48:BB244),ROW(BB48:BB244),"")))</f>
        <v>9.8199999999999932</v>
      </c>
      <c r="BD48" s="13">
        <f>IF('Données projet'!$A$88&gt;35,BD47+BC48-BL47,IF(A48&lt;'Données projet'!$A$88,$BA$205^A48,IF(A48='Données projet'!$A$88,'Données projet'!$B$88,BD47+BC48-BL47)))</f>
        <v>242.19999999999987</v>
      </c>
      <c r="BE48" s="14">
        <f>BD48*VLOOKUP('Données projet'!$B$11,Paramètres!$A$1:$I$89,3,0)*VLOOKUP('Données projet'!$B$11,Paramètres!$A$1:$I$89,5,0)</f>
        <v>192.69431999999989</v>
      </c>
      <c r="BF48" s="14">
        <f t="shared" si="37"/>
        <v>48.13513970479886</v>
      </c>
      <c r="BG48" s="22">
        <f t="shared" si="7"/>
        <v>419.44464231919113</v>
      </c>
      <c r="BH48" s="62">
        <f t="shared" si="8"/>
        <v>712.77797565252445</v>
      </c>
      <c r="BI48" s="62">
        <f ca="1">AVERAGE(OFFSET($BH$3,0,0,'Données projet'!$E$11+1,1))-AVERAGE(OFFSET($H$3,0,0,'Données projet'!$E$11+1,1))</f>
        <v>370.59298168107364</v>
      </c>
      <c r="BJ48" s="62">
        <f t="shared" si="38"/>
        <v>404.61777090709171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242.2</v>
      </c>
      <c r="BW48" s="13">
        <f>VLOOKUP(A48,'Données projet'!$A$113:$I$133,9,0)</f>
        <v>9.8199999999999932</v>
      </c>
      <c r="BX48" s="13">
        <f t="array" ref="BX48">INDEX(BW:BW,MIN(IF(ISNUMBER(BW48:BW244),ROW(BW48:BW244),"")))</f>
        <v>9.8199999999999932</v>
      </c>
      <c r="BY48" s="13">
        <f>IF('Données projet'!$A$114&gt;35,BY47+BX48-CG47,IF(A48&lt;'Données projet'!$A$114,$BV$205^A48,IF(A48='Données projet'!$A$114,'Données projet'!$B$114,BY47+BX48-CG47)))</f>
        <v>242.19999999999987</v>
      </c>
      <c r="BZ48" s="14">
        <f>BY48*VLOOKUP('Données projet'!$B$12,Paramètres!$A$1:$I$89,3,0)*VLOOKUP('Données projet'!$B$12,Paramètres!$A$1:$I$89,5,0)</f>
        <v>177.58103999999989</v>
      </c>
      <c r="CA48" s="14">
        <f t="shared" si="39"/>
        <v>44.783589090869476</v>
      </c>
      <c r="CB48" s="22">
        <f t="shared" si="10"/>
        <v>387.28506233326408</v>
      </c>
      <c r="CC48" s="62">
        <f t="shared" si="11"/>
        <v>680.61839566659739</v>
      </c>
      <c r="CD48" s="62">
        <f ca="1">AVERAGE(OFFSET($CC$3,0,0,'Données projet'!$E$12+1,1))-AVERAGE(OFFSET($H$3,0,0,'Données projet'!$E$12+1,1))</f>
        <v>344.45199703750711</v>
      </c>
      <c r="CE48" s="62">
        <f t="shared" si="40"/>
        <v>376.41441893222185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265</v>
      </c>
      <c r="CR48" s="13">
        <f>VLOOKUP(A48,'Données projet'!$A$139:$I$159,9,0)</f>
        <v>8.1999999999999993</v>
      </c>
      <c r="CS48" s="13">
        <f t="array" ref="CS48">INDEX(CR:CR,MIN(IF(ISNUMBER(CR48:CR244),ROW(CR48:CR244),"")))</f>
        <v>8.1999999999999993</v>
      </c>
      <c r="CT48" s="13">
        <f>IF('Données projet'!$A$140&gt;35,CT47+CS48-DB47,IF(A48&lt;'Données projet'!$A$140,$CQ$205^A48,IF(A48='Données projet'!$A$140,'Données projet'!$B$140,CT47+CS48-DB47)))</f>
        <v>265</v>
      </c>
      <c r="CU48" s="18">
        <f>CT48*VLOOKUP('Données projet'!$B$13,Paramètres!$A$1:$I$89,3,0)*VLOOKUP('Données projet'!$B$13,Paramètres!$A$1:$I$89,5,0)</f>
        <v>173.62800000000001</v>
      </c>
      <c r="CV48" s="14">
        <f t="shared" si="41"/>
        <v>43.901573588714463</v>
      </c>
      <c r="CW48" s="22">
        <f t="shared" si="13"/>
        <v>378.86400733367765</v>
      </c>
      <c r="CX48" s="62">
        <f t="shared" si="14"/>
        <v>672.19734066701096</v>
      </c>
      <c r="CY48" s="62">
        <f ca="1">AVERAGE(OFFSET($CX$3,0,0,'Données projet'!$E$13+1,1))-AVERAGE(OFFSET($H$3,0,0,'Données projet'!$E$13+1,1))</f>
        <v>311.53750850588153</v>
      </c>
      <c r="CZ48" s="62">
        <f t="shared" si="42"/>
        <v>304.84379909635476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56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190</v>
      </c>
      <c r="DM48" s="13">
        <f>VLOOKUP(A48,'Données projet'!$A$165:$I$185,9,0)</f>
        <v>7.6</v>
      </c>
      <c r="DN48" s="13">
        <f t="array" ref="DN48">INDEX(DM:DM,MIN(IF(ISNUMBER(DM48:DM244),ROW(DM48:DM244),"")))</f>
        <v>7.6</v>
      </c>
      <c r="DO48" s="13">
        <f>IF('Données projet'!$A$166&gt;35,DO47+DN48-DW47,IF(A48&lt;'Données projet'!$A$166,$DL$205^A48,IF(A48='Données projet'!$A$166,'Données projet'!$B$166,DO47+DN48-DW47)))</f>
        <v>190</v>
      </c>
      <c r="DP48" s="18">
        <f>DO48*VLOOKUP('Données projet'!$B$14,Paramètres!$A$1:$I$89,3,0)*VLOOKUP('Données projet'!$B$14,Paramètres!$A$1:$I$89,5,0)</f>
        <v>154.12800000000001</v>
      </c>
      <c r="DQ48" s="14">
        <f t="shared" si="43"/>
        <v>39.515201075361155</v>
      </c>
      <c r="DR48" s="22">
        <f t="shared" si="16"/>
        <v>337.26190853958735</v>
      </c>
      <c r="DS48" s="62">
        <f t="shared" si="17"/>
        <v>630.59524187292072</v>
      </c>
      <c r="DT48" s="62">
        <f ca="1">AVERAGE(OFFSET($DS$3,0,0,'Données projet'!$E$14+1,1))-AVERAGE(OFFSET($H$3,0,0,'Données projet'!$E$14+1,1))</f>
        <v>256.19915261735281</v>
      </c>
      <c r="DU48" s="62">
        <f t="shared" si="44"/>
        <v>297.47246687305056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191.66666666666666</v>
      </c>
      <c r="EH48" s="13">
        <f>VLOOKUP(A48,'Données projet'!$A$191:$I$211,9,0)</f>
        <v>6.2820512820512819</v>
      </c>
      <c r="EI48" s="13">
        <f t="array" ref="EI48">INDEX(EH:EH,MIN(IF(ISNUMBER(EH48:EH244),ROW(EH48:EH244),"")))</f>
        <v>6.2820512820512819</v>
      </c>
      <c r="EJ48" s="13">
        <f>IF('Données projet'!$A$192&gt;35,EJ47+EI48-ER47,IF(A48&lt;'Données projet'!$A$192,$EG$205^A48,IF(A48='Données projet'!$A$192,'Données projet'!$B$192,EJ47+EI48-ER47)))</f>
        <v>191.6666666666666</v>
      </c>
      <c r="EK48" s="18">
        <f>EJ48*VLOOKUP('Données projet'!$B$15,Paramètres!$A$1:$I$89,3,0)*VLOOKUP('Données projet'!$B$15,Paramètres!$A$1:$I$89,5,0)</f>
        <v>182.38999999999996</v>
      </c>
      <c r="EL48" s="14">
        <f t="shared" si="45"/>
        <v>45.853508245632504</v>
      </c>
      <c r="EM48" s="22">
        <f t="shared" si="19"/>
        <v>397.52411019447646</v>
      </c>
      <c r="EN48" s="62">
        <f t="shared" si="20"/>
        <v>690.85744352780978</v>
      </c>
      <c r="EO48" s="62">
        <f ca="1">AVERAGE(OFFSET($EN$3,0,0,'Données projet'!$E$15+1,1))-AVERAGE(OFFSET($H$3,0,0,'Données projet'!$E$15+1,1))</f>
        <v>406.24139966722936</v>
      </c>
      <c r="EP48" s="62">
        <f t="shared" si="46"/>
        <v>295.95724296920577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34.615384615384613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10.375</v>
      </c>
      <c r="FE48" s="13">
        <f>IF('Données projet'!$A$218&gt;35,FE47+FD48-FM47,IF(A48&lt;'Données projet'!$A$218,$FB$205^A48,IF(A48='Données projet'!$A$218,'Données projet'!$B$218,FE47+FD48-FM47)))</f>
        <v>197.37499999999994</v>
      </c>
      <c r="FF48" s="18">
        <f>FE48*VLOOKUP('Données projet'!$B$16,Paramètres!$A$1:$I$89,3,0)*VLOOKUP('Données projet'!$B$16,Paramètres!$A$1:$I$89,5,0)</f>
        <v>153.95249999999996</v>
      </c>
      <c r="FG48" s="14">
        <f t="shared" si="47"/>
        <v>39.475441267837397</v>
      </c>
      <c r="FH48" s="22">
        <f t="shared" si="22"/>
        <v>336.88699770815003</v>
      </c>
      <c r="FI48" s="62">
        <f t="shared" si="23"/>
        <v>630.2203310414834</v>
      </c>
      <c r="FJ48" s="62">
        <f ca="1">AVERAGE(OFFSET($FI$3,0,0,'Données projet'!$E$16+1,1))-AVERAGE(OFFSET($H$3,0,0,'Données projet'!$E$16+1,1))</f>
        <v>292.57482726862594</v>
      </c>
      <c r="FK48" s="62">
        <f t="shared" si="48"/>
        <v>283.48738729114024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232</v>
      </c>
      <c r="FX48" s="13">
        <f>VLOOKUP(A48,'Données projet'!$A$243:$I$263,9,0)</f>
        <v>11.4</v>
      </c>
      <c r="FY48" s="13">
        <f t="array" ref="FY48">INDEX(FX:FX,MIN(IF(ISNUMBER(FX48:FX244),ROW(FX48:FX244),"")))</f>
        <v>11.4</v>
      </c>
      <c r="FZ48" s="13">
        <f>IF('Données projet'!$A$244&gt;35,FZ47+FY48-GH47,IF(A48&lt;'Données projet'!$A$244,$FW$205^A48,IF(A48='Données projet'!$A$244,'Données projet'!$B$244,FZ47+FY48-GH47)))</f>
        <v>232.00000000000006</v>
      </c>
      <c r="GA48" s="18">
        <f>FZ48*VLOOKUP('Données projet'!$B$17,Paramètres!$A$1:$I$89,3,0)*VLOOKUP('Données projet'!$B$17,Paramètres!$A$1:$I$89,5,0)</f>
        <v>224.39040000000006</v>
      </c>
      <c r="GB48" s="14">
        <f t="shared" si="49"/>
        <v>55.068017311015858</v>
      </c>
      <c r="GC48" s="22">
        <f t="shared" si="25"/>
        <v>486.72341015001939</v>
      </c>
      <c r="GD48" s="62">
        <f t="shared" si="26"/>
        <v>780.05674348335265</v>
      </c>
      <c r="GE48" s="62">
        <f ca="1">AVERAGE(OFFSET($GD$3,0,0,'Données projet'!$E$17+1,1))-AVERAGE(OFFSET($H$3,0,0,'Données projet'!$E$17+1,1))</f>
        <v>562.69380557620775</v>
      </c>
      <c r="GF48" s="62">
        <f t="shared" si="50"/>
        <v>294.45557293177131</v>
      </c>
      <c r="GG48" s="16">
        <f>IF(ISNA(VLOOKUP(A48,'Données projet'!$A$243:$I$263,3,0)),0,VLOOKUP(A48,'Données projet'!$A$243:$I$263,3,0))</f>
        <v>3</v>
      </c>
      <c r="GH48" s="16">
        <f>IF(ISNA(VLOOKUP(A48,'Données projet'!$A$243:$I$263,4,0)),0,VLOOKUP(A48,'Données projet'!$A$243:$I$263,4,0))</f>
        <v>56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187.00000000000006</v>
      </c>
      <c r="O49" s="14">
        <f>N49*VLOOKUP('Données projet'!$B$9,Paramètres!$A$1:$I$89,3,0)*VLOOKUP('Données projet'!$B$9,Paramètres!$A$1:$I$89,5,0)</f>
        <v>169.19760000000005</v>
      </c>
      <c r="P49" s="14">
        <f t="shared" si="33"/>
        <v>42.910263223432885</v>
      </c>
      <c r="Q49" s="22">
        <f t="shared" si="53"/>
        <v>369.42119511414563</v>
      </c>
      <c r="R49" s="62">
        <f t="shared" si="0"/>
        <v>662.75452844747895</v>
      </c>
      <c r="S49" s="62">
        <f ca="1">AVERAGE(OFFSET($R$3,0,0,'Données projet'!$E$9+1,1))-AVERAGE(OFFSET($H$3,0,0,'Données projet'!$E$9+1,1))</f>
        <v>529.25712986118265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15.666666666666666</v>
      </c>
      <c r="AI49" s="14">
        <f>IF('Données projet'!$A$62&gt;35,AI48+AH49-AQ48,IF(A49&lt;'Données projet'!$A$62,$AF$205^A49,IF(A49='Données projet'!$A$62,'Données projet'!$B$62,AI48+AH49-AQ48)))</f>
        <v>208.66666666666654</v>
      </c>
      <c r="AJ49" s="14">
        <f>AI49*VLOOKUP('Données projet'!$B$10,Paramètres!$A$1:$I$89,3,0)*VLOOKUP('Données projet'!$B$10,Paramètres!$A$1:$I$89,5,0)</f>
        <v>179.03599999999992</v>
      </c>
      <c r="AK49" s="14">
        <f t="shared" si="35"/>
        <v>45.1076469440343</v>
      </c>
      <c r="AL49" s="22">
        <f t="shared" si="4"/>
        <v>390.38351842752627</v>
      </c>
      <c r="AM49" s="62">
        <f t="shared" si="5"/>
        <v>683.71685176085953</v>
      </c>
      <c r="AN49" s="62">
        <f ca="1">AVERAGE(OFFSET($AM$3,0,0,'Données projet'!$E$10+1,1))-AVERAGE(OFFSET($H$3,0,0,'Données projet'!$E$10+1,1))</f>
        <v>446.86777652265448</v>
      </c>
      <c r="AO49" s="62">
        <f t="shared" si="36"/>
        <v>230.82970731138215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8.5399999999999974</v>
      </c>
      <c r="BD49" s="13">
        <f>IF('Données projet'!$A$88&gt;35,BD48+BC49-BL48,IF(A49&lt;'Données projet'!$A$88,$BA$205^A49,IF(A49='Données projet'!$A$88,'Données projet'!$B$88,BD48+BC49-BL48)))</f>
        <v>250.73999999999987</v>
      </c>
      <c r="BE49" s="14">
        <f>BD49*VLOOKUP('Données projet'!$B$11,Paramètres!$A$1:$I$89,3,0)*VLOOKUP('Données projet'!$B$11,Paramètres!$A$1:$I$89,5,0)</f>
        <v>199.48874399999991</v>
      </c>
      <c r="BF49" s="14">
        <f t="shared" si="37"/>
        <v>49.631792398634111</v>
      </c>
      <c r="BG49" s="22">
        <f t="shared" si="7"/>
        <v>433.88493422762093</v>
      </c>
      <c r="BH49" s="62">
        <f t="shared" si="8"/>
        <v>727.21826756095425</v>
      </c>
      <c r="BI49" s="62">
        <f ca="1">AVERAGE(OFFSET($BH$3,0,0,'Données projet'!$E$11+1,1))-AVERAGE(OFFSET($H$3,0,0,'Données projet'!$E$11+1,1))</f>
        <v>370.59298168107364</v>
      </c>
      <c r="BJ49" s="62">
        <f t="shared" si="38"/>
        <v>404.61777090709171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8.5399999999999974</v>
      </c>
      <c r="BY49" s="13">
        <f>IF('Données projet'!$A$114&gt;35,BY48+BX49-CG48,IF(A49&lt;'Données projet'!$A$114,$BV$205^A49,IF(A49='Données projet'!$A$114,'Données projet'!$B$114,BY48+BX49-CG48)))</f>
        <v>250.73999999999987</v>
      </c>
      <c r="BZ49" s="14">
        <f>BY49*VLOOKUP('Données projet'!$B$12,Paramètres!$A$1:$I$89,3,0)*VLOOKUP('Données projet'!$B$12,Paramètres!$A$1:$I$89,5,0)</f>
        <v>183.84256799999991</v>
      </c>
      <c r="CA49" s="14">
        <f t="shared" si="39"/>
        <v>46.176032940903148</v>
      </c>
      <c r="CB49" s="22">
        <f t="shared" si="10"/>
        <v>400.61572997207281</v>
      </c>
      <c r="CC49" s="62">
        <f t="shared" si="11"/>
        <v>693.94906330540607</v>
      </c>
      <c r="CD49" s="62">
        <f ca="1">AVERAGE(OFFSET($CC$3,0,0,'Données projet'!$E$12+1,1))-AVERAGE(OFFSET($H$3,0,0,'Données projet'!$E$12+1,1))</f>
        <v>344.45199703750711</v>
      </c>
      <c r="CE49" s="62">
        <f t="shared" si="40"/>
        <v>376.41441893222185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7.4</v>
      </c>
      <c r="CT49" s="13">
        <f>IF('Données projet'!$A$140&gt;35,CT48+CS49-DB48,IF(A49&lt;'Données projet'!$A$140,$CQ$205^A49,IF(A49='Données projet'!$A$140,'Données projet'!$B$140,CT48+CS49-DB48)))</f>
        <v>216.39999999999998</v>
      </c>
      <c r="CU49" s="18">
        <f>CT49*VLOOKUP('Données projet'!$B$13,Paramètres!$A$1:$I$89,3,0)*VLOOKUP('Données projet'!$B$13,Paramètres!$A$1:$I$89,5,0)</f>
        <v>141.78528</v>
      </c>
      <c r="CV49" s="14">
        <f t="shared" si="41"/>
        <v>36.705685970912178</v>
      </c>
      <c r="CW49" s="22">
        <f t="shared" si="13"/>
        <v>310.87176573267203</v>
      </c>
      <c r="CX49" s="62">
        <f t="shared" si="14"/>
        <v>604.20509906600535</v>
      </c>
      <c r="CY49" s="62">
        <f ca="1">AVERAGE(OFFSET($CX$3,0,0,'Données projet'!$E$13+1,1))-AVERAGE(OFFSET($H$3,0,0,'Données projet'!$E$13+1,1))</f>
        <v>311.53750850588153</v>
      </c>
      <c r="CZ49" s="62">
        <f t="shared" si="42"/>
        <v>304.84379909635476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7.6</v>
      </c>
      <c r="DO49" s="13">
        <f>IF('Données projet'!$A$166&gt;35,DO48+DN49-DW48,IF(A49&lt;'Données projet'!$A$166,$DL$205^A49,IF(A49='Données projet'!$A$166,'Données projet'!$B$166,DO48+DN49-DW48)))</f>
        <v>197.6</v>
      </c>
      <c r="DP49" s="18">
        <f>DO49*VLOOKUP('Données projet'!$B$14,Paramètres!$A$1:$I$89,3,0)*VLOOKUP('Données projet'!$B$14,Paramètres!$A$1:$I$89,5,0)</f>
        <v>160.29311999999999</v>
      </c>
      <c r="DQ49" s="14">
        <f t="shared" si="43"/>
        <v>40.908622396455648</v>
      </c>
      <c r="DR49" s="22">
        <f t="shared" si="16"/>
        <v>350.42636800716019</v>
      </c>
      <c r="DS49" s="62">
        <f t="shared" si="17"/>
        <v>643.75970134049351</v>
      </c>
      <c r="DT49" s="62">
        <f ca="1">AVERAGE(OFFSET($DS$3,0,0,'Données projet'!$E$14+1,1))-AVERAGE(OFFSET($H$3,0,0,'Données projet'!$E$14+1,1))</f>
        <v>256.19915261735281</v>
      </c>
      <c r="DU49" s="62">
        <f t="shared" si="44"/>
        <v>297.47246687305056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6.0256410256410273</v>
      </c>
      <c r="EJ49" s="13">
        <f>IF('Données projet'!$A$192&gt;35,EJ48+EI49-ER48,IF(A49&lt;'Données projet'!$A$192,$EG$205^A49,IF(A49='Données projet'!$A$192,'Données projet'!$B$192,EJ48+EI49-ER48)))</f>
        <v>163.07692307692301</v>
      </c>
      <c r="EK49" s="18">
        <f>EJ49*VLOOKUP('Données projet'!$B$15,Paramètres!$A$1:$I$89,3,0)*VLOOKUP('Données projet'!$B$15,Paramètres!$A$1:$I$89,5,0)</f>
        <v>155.18399999999994</v>
      </c>
      <c r="EL49" s="14">
        <f t="shared" si="45"/>
        <v>39.754328566553049</v>
      </c>
      <c r="EM49" s="22">
        <f t="shared" si="19"/>
        <v>339.51758892007979</v>
      </c>
      <c r="EN49" s="62">
        <f t="shared" si="20"/>
        <v>632.85092225341305</v>
      </c>
      <c r="EO49" s="62">
        <f ca="1">AVERAGE(OFFSET($EN$3,0,0,'Données projet'!$E$15+1,1))-AVERAGE(OFFSET($H$3,0,0,'Données projet'!$E$15+1,1))</f>
        <v>406.24139966722936</v>
      </c>
      <c r="EP49" s="62">
        <f t="shared" si="46"/>
        <v>295.95724296920577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10.375</v>
      </c>
      <c r="FE49" s="13">
        <f>IF('Données projet'!$A$218&gt;35,FE48+FD49-FM48,IF(A49&lt;'Données projet'!$A$218,$FB$205^A49,IF(A49='Données projet'!$A$218,'Données projet'!$B$218,FE48+FD49-FM48)))</f>
        <v>207.74999999999994</v>
      </c>
      <c r="FF49" s="18">
        <f>FE49*VLOOKUP('Données projet'!$B$16,Paramètres!$A$1:$I$89,3,0)*VLOOKUP('Données projet'!$B$16,Paramètres!$A$1:$I$89,5,0)</f>
        <v>162.04499999999996</v>
      </c>
      <c r="FG49" s="14">
        <f t="shared" si="47"/>
        <v>41.303429372463391</v>
      </c>
      <c r="FH49" s="22">
        <f t="shared" si="22"/>
        <v>354.16518115704031</v>
      </c>
      <c r="FI49" s="62">
        <f t="shared" si="23"/>
        <v>647.49851449037362</v>
      </c>
      <c r="FJ49" s="62">
        <f ca="1">AVERAGE(OFFSET($FI$3,0,0,'Données projet'!$E$16+1,1))-AVERAGE(OFFSET($H$3,0,0,'Données projet'!$E$16+1,1))</f>
        <v>292.57482726862594</v>
      </c>
      <c r="FK49" s="62">
        <f t="shared" si="48"/>
        <v>283.48738729114024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11</v>
      </c>
      <c r="FZ49" s="13">
        <f>IF('Données projet'!$A$244&gt;35,FZ48+FY49-GH48,IF(A49&lt;'Données projet'!$A$244,$FW$205^A49,IF(A49='Données projet'!$A$244,'Données projet'!$B$244,FZ48+FY49-GH48)))</f>
        <v>187.00000000000006</v>
      </c>
      <c r="GA49" s="18">
        <f>FZ49*VLOOKUP('Données projet'!$B$17,Paramètres!$A$1:$I$89,3,0)*VLOOKUP('Données projet'!$B$17,Paramètres!$A$1:$I$89,5,0)</f>
        <v>180.86640000000006</v>
      </c>
      <c r="GB49" s="14">
        <f t="shared" si="49"/>
        <v>45.514890302102152</v>
      </c>
      <c r="GC49" s="22">
        <f t="shared" si="25"/>
        <v>394.28074727616132</v>
      </c>
      <c r="GD49" s="62">
        <f t="shared" si="26"/>
        <v>687.61408060949464</v>
      </c>
      <c r="GE49" s="62">
        <f ca="1">AVERAGE(OFFSET($GD$3,0,0,'Données projet'!$E$17+1,1))-AVERAGE(OFFSET($H$3,0,0,'Données projet'!$E$17+1,1))</f>
        <v>562.69380557620775</v>
      </c>
      <c r="GF49" s="62">
        <f t="shared" si="50"/>
        <v>294.45557293177131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198.00000000000006</v>
      </c>
      <c r="O50" s="14">
        <f>N50*VLOOKUP('Données projet'!$B$9,Paramètres!$A$1:$I$89,3,0)*VLOOKUP('Données projet'!$B$9,Paramètres!$A$1:$I$89,5,0)</f>
        <v>179.15040000000005</v>
      </c>
      <c r="P50" s="14">
        <f t="shared" si="33"/>
        <v>45.133113803437347</v>
      </c>
      <c r="Q50" s="22">
        <f t="shared" si="53"/>
        <v>390.62711987432004</v>
      </c>
      <c r="R50" s="62">
        <f t="shared" si="0"/>
        <v>683.96045320765336</v>
      </c>
      <c r="S50" s="62">
        <f ca="1">AVERAGE(OFFSET($R$3,0,0,'Données projet'!$E$9+1,1))-AVERAGE(OFFSET($H$3,0,0,'Données projet'!$E$9+1,1))</f>
        <v>529.25712986118265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15.666666666666666</v>
      </c>
      <c r="AI50" s="14">
        <f>IF('Données projet'!$A$62&gt;35,AI49+AH50-AQ49,IF(A50&lt;'Données projet'!$A$62,$AF$205^A50,IF(A50='Données projet'!$A$62,'Données projet'!$B$62,AI49+AH50-AQ49)))</f>
        <v>224.3333333333332</v>
      </c>
      <c r="AJ50" s="14">
        <f>AI50*VLOOKUP('Données projet'!$B$10,Paramètres!$A$1:$I$89,3,0)*VLOOKUP('Données projet'!$B$10,Paramètres!$A$1:$I$89,5,0)</f>
        <v>192.47799999999989</v>
      </c>
      <c r="AK50" s="14">
        <f t="shared" si="35"/>
        <v>48.087389626209038</v>
      </c>
      <c r="AL50" s="22">
        <f t="shared" si="4"/>
        <v>418.98472026564724</v>
      </c>
      <c r="AM50" s="62">
        <f t="shared" si="5"/>
        <v>712.31805359898055</v>
      </c>
      <c r="AN50" s="62">
        <f ca="1">AVERAGE(OFFSET($AM$3,0,0,'Données projet'!$E$10+1,1))-AVERAGE(OFFSET($H$3,0,0,'Données projet'!$E$10+1,1))</f>
        <v>446.86777652265448</v>
      </c>
      <c r="AO50" s="62">
        <f t="shared" si="36"/>
        <v>230.82970731138215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8.5399999999999974</v>
      </c>
      <c r="BD50" s="13">
        <f>IF('Données projet'!$A$88&gt;35,BD49+BC50-BL49,IF(A50&lt;'Données projet'!$A$88,$BA$205^A50,IF(A50='Données projet'!$A$88,'Données projet'!$B$88,BD49+BC50-BL49)))</f>
        <v>259.27999999999986</v>
      </c>
      <c r="BE50" s="14">
        <f>BD50*VLOOKUP('Données projet'!$B$11,Paramètres!$A$1:$I$89,3,0)*VLOOKUP('Données projet'!$B$11,Paramètres!$A$1:$I$89,5,0)</f>
        <v>206.2831679999999</v>
      </c>
      <c r="BF50" s="14">
        <f t="shared" si="37"/>
        <v>51.122522165494573</v>
      </c>
      <c r="BG50" s="22">
        <f t="shared" si="7"/>
        <v>448.31491037156951</v>
      </c>
      <c r="BH50" s="62">
        <f t="shared" si="8"/>
        <v>741.64824370490282</v>
      </c>
      <c r="BI50" s="62">
        <f ca="1">AVERAGE(OFFSET($BH$3,0,0,'Données projet'!$E$11+1,1))-AVERAGE(OFFSET($H$3,0,0,'Données projet'!$E$11+1,1))</f>
        <v>370.59298168107364</v>
      </c>
      <c r="BJ50" s="62">
        <f t="shared" si="38"/>
        <v>404.61777090709171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8.5399999999999974</v>
      </c>
      <c r="BY50" s="13">
        <f>IF('Données projet'!$A$114&gt;35,BY49+BX50-CG49,IF(A50&lt;'Données projet'!$A$114,$BV$205^A50,IF(A50='Données projet'!$A$114,'Données projet'!$B$114,BY49+BX50-CG49)))</f>
        <v>259.27999999999986</v>
      </c>
      <c r="BZ50" s="14">
        <f>BY50*VLOOKUP('Données projet'!$B$12,Paramètres!$A$1:$I$89,3,0)*VLOOKUP('Données projet'!$B$12,Paramètres!$A$1:$I$89,5,0)</f>
        <v>190.10409599999988</v>
      </c>
      <c r="CA50" s="14">
        <f t="shared" si="39"/>
        <v>47.562966265165443</v>
      </c>
      <c r="CB50" s="22">
        <f t="shared" si="10"/>
        <v>413.9368001118296</v>
      </c>
      <c r="CC50" s="62">
        <f t="shared" si="11"/>
        <v>707.27013344516286</v>
      </c>
      <c r="CD50" s="62">
        <f ca="1">AVERAGE(OFFSET($CC$3,0,0,'Données projet'!$E$12+1,1))-AVERAGE(OFFSET($H$3,0,0,'Données projet'!$E$12+1,1))</f>
        <v>344.45199703750711</v>
      </c>
      <c r="CE50" s="62">
        <f t="shared" si="40"/>
        <v>376.41441893222185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7.4</v>
      </c>
      <c r="CT50" s="13">
        <f>IF('Données projet'!$A$140&gt;35,CT49+CS50-DB49,IF(A50&lt;'Données projet'!$A$140,$CQ$205^A50,IF(A50='Données projet'!$A$140,'Données projet'!$B$140,CT49+CS50-DB49)))</f>
        <v>223.79999999999998</v>
      </c>
      <c r="CU50" s="18">
        <f>CT50*VLOOKUP('Données projet'!$B$13,Paramètres!$A$1:$I$89,3,0)*VLOOKUP('Données projet'!$B$13,Paramètres!$A$1:$I$89,5,0)</f>
        <v>146.63376</v>
      </c>
      <c r="CV50" s="14">
        <f t="shared" si="41"/>
        <v>37.812587902416553</v>
      </c>
      <c r="CW50" s="22">
        <f t="shared" si="13"/>
        <v>321.24405593004218</v>
      </c>
      <c r="CX50" s="62">
        <f t="shared" si="14"/>
        <v>614.57738926337549</v>
      </c>
      <c r="CY50" s="62">
        <f ca="1">AVERAGE(OFFSET($CX$3,0,0,'Données projet'!$E$13+1,1))-AVERAGE(OFFSET($H$3,0,0,'Données projet'!$E$13+1,1))</f>
        <v>311.53750850588153</v>
      </c>
      <c r="CZ50" s="62">
        <f t="shared" si="42"/>
        <v>304.84379909635476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7.6</v>
      </c>
      <c r="DO50" s="13">
        <f>IF('Données projet'!$A$166&gt;35,DO49+DN50-DW49,IF(A50&lt;'Données projet'!$A$166,$DL$205^A50,IF(A50='Données projet'!$A$166,'Données projet'!$B$166,DO49+DN50-DW49)))</f>
        <v>205.2</v>
      </c>
      <c r="DP50" s="18">
        <f>DO50*VLOOKUP('Données projet'!$B$14,Paramètres!$A$1:$I$89,3,0)*VLOOKUP('Données projet'!$B$14,Paramètres!$A$1:$I$89,5,0)</f>
        <v>166.45823999999999</v>
      </c>
      <c r="DQ50" s="14">
        <f t="shared" si="43"/>
        <v>42.295817799452642</v>
      </c>
      <c r="DR50" s="22">
        <f t="shared" si="16"/>
        <v>363.5799840007133</v>
      </c>
      <c r="DS50" s="62">
        <f t="shared" si="17"/>
        <v>656.91331733404661</v>
      </c>
      <c r="DT50" s="62">
        <f ca="1">AVERAGE(OFFSET($DS$3,0,0,'Données projet'!$E$14+1,1))-AVERAGE(OFFSET($H$3,0,0,'Données projet'!$E$14+1,1))</f>
        <v>256.19915261735281</v>
      </c>
      <c r="DU50" s="62">
        <f t="shared" si="44"/>
        <v>297.47246687305056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6.0256410256410273</v>
      </c>
      <c r="EJ50" s="13">
        <f>IF('Données projet'!$A$192&gt;35,EJ49+EI50-ER49,IF(A50&lt;'Données projet'!$A$192,$EG$205^A50,IF(A50='Données projet'!$A$192,'Données projet'!$B$192,EJ49+EI50-ER49)))</f>
        <v>169.10256410256403</v>
      </c>
      <c r="EK50" s="18">
        <f>EJ50*VLOOKUP('Données projet'!$B$15,Paramètres!$A$1:$I$89,3,0)*VLOOKUP('Données projet'!$B$15,Paramètres!$A$1:$I$89,5,0)</f>
        <v>160.91799999999992</v>
      </c>
      <c r="EL50" s="14">
        <f t="shared" si="45"/>
        <v>41.049503875172206</v>
      </c>
      <c r="EM50" s="22">
        <f t="shared" si="19"/>
        <v>351.76006924925809</v>
      </c>
      <c r="EN50" s="62">
        <f t="shared" si="20"/>
        <v>645.09340258259135</v>
      </c>
      <c r="EO50" s="62">
        <f ca="1">AVERAGE(OFFSET($EN$3,0,0,'Données projet'!$E$15+1,1))-AVERAGE(OFFSET($H$3,0,0,'Données projet'!$E$15+1,1))</f>
        <v>406.24139966722936</v>
      </c>
      <c r="EP50" s="62">
        <f t="shared" si="46"/>
        <v>295.95724296920577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10.375</v>
      </c>
      <c r="FE50" s="13">
        <f>IF('Données projet'!$A$218&gt;35,FE49+FD50-FM49,IF(A50&lt;'Données projet'!$A$218,$FB$205^A50,IF(A50='Données projet'!$A$218,'Données projet'!$B$218,FE49+FD50-FM49)))</f>
        <v>218.12499999999994</v>
      </c>
      <c r="FF50" s="18">
        <f>FE50*VLOOKUP('Données projet'!$B$16,Paramètres!$A$1:$I$89,3,0)*VLOOKUP('Données projet'!$B$16,Paramètres!$A$1:$I$89,5,0)</f>
        <v>170.13749999999996</v>
      </c>
      <c r="FG50" s="14">
        <f t="shared" si="47"/>
        <v>43.120817562072411</v>
      </c>
      <c r="FH50" s="22">
        <f t="shared" si="22"/>
        <v>371.42490308727605</v>
      </c>
      <c r="FI50" s="62">
        <f t="shared" si="23"/>
        <v>664.75823642060936</v>
      </c>
      <c r="FJ50" s="62">
        <f ca="1">AVERAGE(OFFSET($FI$3,0,0,'Données projet'!$E$16+1,1))-AVERAGE(OFFSET($H$3,0,0,'Données projet'!$E$16+1,1))</f>
        <v>292.57482726862594</v>
      </c>
      <c r="FK50" s="62">
        <f t="shared" si="48"/>
        <v>283.48738729114024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11</v>
      </c>
      <c r="FZ50" s="13">
        <f>IF('Données projet'!$A$244&gt;35,FZ49+FY50-GH49,IF(A50&lt;'Données projet'!$A$244,$FW$205^A50,IF(A50='Données projet'!$A$244,'Données projet'!$B$244,FZ49+FY50-GH49)))</f>
        <v>198.00000000000006</v>
      </c>
      <c r="GA50" s="18">
        <f>FZ50*VLOOKUP('Données projet'!$B$17,Paramètres!$A$1:$I$89,3,0)*VLOOKUP('Données projet'!$B$17,Paramètres!$A$1:$I$89,5,0)</f>
        <v>191.50560000000007</v>
      </c>
      <c r="GB50" s="14">
        <f t="shared" si="49"/>
        <v>47.872666570685276</v>
      </c>
      <c r="GC50" s="22">
        <f t="shared" si="25"/>
        <v>416.9171476106103</v>
      </c>
      <c r="GD50" s="62">
        <f t="shared" si="26"/>
        <v>710.25048094394356</v>
      </c>
      <c r="GE50" s="62">
        <f ca="1">AVERAGE(OFFSET($GD$3,0,0,'Données projet'!$E$17+1,1))-AVERAGE(OFFSET($H$3,0,0,'Données projet'!$E$17+1,1))</f>
        <v>562.69380557620775</v>
      </c>
      <c r="GF50" s="62">
        <f t="shared" si="50"/>
        <v>294.45557293177131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209.00000000000006</v>
      </c>
      <c r="O51" s="14">
        <f>N51*VLOOKUP('Données projet'!$B$9,Paramètres!$A$1:$I$89,3,0)*VLOOKUP('Données projet'!$B$9,Paramètres!$A$1:$I$89,5,0)</f>
        <v>189.10320000000004</v>
      </c>
      <c r="P51" s="14">
        <f t="shared" si="33"/>
        <v>47.341628542787163</v>
      </c>
      <c r="Q51" s="22">
        <f t="shared" si="53"/>
        <v>411.8080763786877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529.25712986118265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240</v>
      </c>
      <c r="AG51" s="13">
        <f>VLOOKUP(A51,'Données projet'!$A$61:$I$81,9,0)</f>
        <v>15.666666666666666</v>
      </c>
      <c r="AH51" s="13">
        <f t="array" ref="AH51">INDEX(AG:AG,MIN(IF(ISNUMBER(AG51:AG247),ROW(AG51:AG247),"")))</f>
        <v>15.666666666666666</v>
      </c>
      <c r="AI51" s="14">
        <f>IF('Données projet'!$A$62&gt;35,AI50+AH51-AQ50,IF(A51&lt;'Données projet'!$A$62,$AF$205^A51,IF(A51='Données projet'!$A$62,'Données projet'!$B$62,AI50+AH51-AQ50)))</f>
        <v>239.99999999999986</v>
      </c>
      <c r="AJ51" s="14">
        <f>AI51*VLOOKUP('Données projet'!$B$10,Paramètres!$A$1:$I$89,3,0)*VLOOKUP('Données projet'!$B$10,Paramètres!$A$1:$I$89,5,0)</f>
        <v>205.91999999999993</v>
      </c>
      <c r="AK51" s="14">
        <f t="shared" si="35"/>
        <v>51.042987531485686</v>
      </c>
      <c r="AL51" s="22">
        <f t="shared" si="4"/>
        <v>447.5438699506708</v>
      </c>
      <c r="AM51" s="62">
        <f t="shared" si="5"/>
        <v>740.87720328400405</v>
      </c>
      <c r="AN51" s="62">
        <f ca="1">AVERAGE(OFFSET($AM$3,0,0,'Données projet'!$E$10+1,1))-AVERAGE(OFFSET($H$3,0,0,'Données projet'!$E$10+1,1))</f>
        <v>446.86777652265448</v>
      </c>
      <c r="AO51" s="62">
        <f t="shared" si="36"/>
        <v>230.82970731138215</v>
      </c>
      <c r="AP51" s="16">
        <f>IF(ISNA(VLOOKUP(A51,'Données projet'!$A$61:$I$81,3,0)),0,VLOOKUP(A51,'Données projet'!$A$61:$I$81,3,0))</f>
        <v>5</v>
      </c>
      <c r="AQ51" s="16">
        <f>IF(ISNA(VLOOKUP(A51,'Données projet'!$A$61:$I$81,4,0)),0,VLOOKUP(A51,'Données projet'!$A$61:$I$81,4,0))</f>
        <v>63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8.5399999999999974</v>
      </c>
      <c r="BD51" s="13">
        <f>IF('Données projet'!$A$88&gt;35,BD50+BC51-BL50,IF(A51&lt;'Données projet'!$A$88,$BA$205^A51,IF(A51='Données projet'!$A$88,'Données projet'!$B$88,BD50+BC51-BL50)))</f>
        <v>267.81999999999988</v>
      </c>
      <c r="BE51" s="14">
        <f>BD51*VLOOKUP('Données projet'!$B$11,Paramètres!$A$1:$I$89,3,0)*VLOOKUP('Données projet'!$B$11,Paramètres!$A$1:$I$89,5,0)</f>
        <v>213.07759199999992</v>
      </c>
      <c r="BF51" s="14">
        <f t="shared" si="37"/>
        <v>52.607546461832449</v>
      </c>
      <c r="BG51" s="22">
        <f t="shared" si="7"/>
        <v>462.73494948769138</v>
      </c>
      <c r="BH51" s="62">
        <f t="shared" si="8"/>
        <v>756.0682828210247</v>
      </c>
      <c r="BI51" s="62">
        <f ca="1">AVERAGE(OFFSET($BH$3,0,0,'Données projet'!$E$11+1,1))-AVERAGE(OFFSET($H$3,0,0,'Données projet'!$E$11+1,1))</f>
        <v>370.59298168107364</v>
      </c>
      <c r="BJ51" s="62">
        <f t="shared" si="38"/>
        <v>404.61777090709171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8.5399999999999974</v>
      </c>
      <c r="BY51" s="13">
        <f>IF('Données projet'!$A$114&gt;35,BY50+BX51-CG50,IF(A51&lt;'Données projet'!$A$114,$BV$205^A51,IF(A51='Données projet'!$A$114,'Données projet'!$B$114,BY50+BX51-CG50)))</f>
        <v>267.81999999999988</v>
      </c>
      <c r="BZ51" s="14">
        <f>BY51*VLOOKUP('Données projet'!$B$12,Paramètres!$A$1:$I$89,3,0)*VLOOKUP('Données projet'!$B$12,Paramètres!$A$1:$I$89,5,0)</f>
        <v>196.36562399999991</v>
      </c>
      <c r="CA51" s="14">
        <f t="shared" si="39"/>
        <v>48.944591379063773</v>
      </c>
      <c r="CB51" s="22">
        <f t="shared" si="10"/>
        <v>427.24862511853593</v>
      </c>
      <c r="CC51" s="62">
        <f t="shared" si="11"/>
        <v>720.58195845186924</v>
      </c>
      <c r="CD51" s="62">
        <f ca="1">AVERAGE(OFFSET($CC$3,0,0,'Données projet'!$E$12+1,1))-AVERAGE(OFFSET($H$3,0,0,'Données projet'!$E$12+1,1))</f>
        <v>344.45199703750711</v>
      </c>
      <c r="CE51" s="62">
        <f t="shared" si="40"/>
        <v>376.41441893222185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7.4</v>
      </c>
      <c r="CT51" s="13">
        <f>IF('Données projet'!$A$140&gt;35,CT50+CS51-DB50,IF(A51&lt;'Données projet'!$A$140,$CQ$205^A51,IF(A51='Données projet'!$A$140,'Données projet'!$B$140,CT50+CS51-DB50)))</f>
        <v>231.2</v>
      </c>
      <c r="CU51" s="18">
        <f>CT51*VLOOKUP('Données projet'!$B$13,Paramètres!$A$1:$I$89,3,0)*VLOOKUP('Données projet'!$B$13,Paramètres!$A$1:$I$89,5,0)</f>
        <v>151.48223999999999</v>
      </c>
      <c r="CV51" s="14">
        <f t="shared" si="41"/>
        <v>38.915236966075291</v>
      </c>
      <c r="CW51" s="22">
        <f t="shared" si="13"/>
        <v>331.60893904924779</v>
      </c>
      <c r="CX51" s="62">
        <f t="shared" si="14"/>
        <v>624.94227238258111</v>
      </c>
      <c r="CY51" s="62">
        <f ca="1">AVERAGE(OFFSET($CX$3,0,0,'Données projet'!$E$13+1,1))-AVERAGE(OFFSET($H$3,0,0,'Données projet'!$E$13+1,1))</f>
        <v>311.53750850588153</v>
      </c>
      <c r="CZ51" s="62">
        <f t="shared" si="42"/>
        <v>304.84379909635476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7.6</v>
      </c>
      <c r="DO51" s="13">
        <f>IF('Données projet'!$A$166&gt;35,DO50+DN51-DW50,IF(A51&lt;'Données projet'!$A$166,$DL$205^A51,IF(A51='Données projet'!$A$166,'Données projet'!$B$166,DO50+DN51-DW50)))</f>
        <v>212.79999999999998</v>
      </c>
      <c r="DP51" s="18">
        <f>DO51*VLOOKUP('Données projet'!$B$14,Paramètres!$A$1:$I$89,3,0)*VLOOKUP('Données projet'!$B$14,Paramètres!$A$1:$I$89,5,0)</f>
        <v>172.62335999999999</v>
      </c>
      <c r="DQ51" s="14">
        <f t="shared" si="43"/>
        <v>43.67704427998607</v>
      </c>
      <c r="DR51" s="22">
        <f t="shared" si="16"/>
        <v>376.72320412097571</v>
      </c>
      <c r="DS51" s="62">
        <f t="shared" si="17"/>
        <v>670.05653745430902</v>
      </c>
      <c r="DT51" s="62">
        <f ca="1">AVERAGE(OFFSET($DS$3,0,0,'Données projet'!$E$14+1,1))-AVERAGE(OFFSET($H$3,0,0,'Données projet'!$E$14+1,1))</f>
        <v>256.19915261735281</v>
      </c>
      <c r="DU51" s="62">
        <f t="shared" si="44"/>
        <v>297.47246687305056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6.0256410256410273</v>
      </c>
      <c r="EJ51" s="13">
        <f>IF('Données projet'!$A$192&gt;35,EJ50+EI51-ER50,IF(A51&lt;'Données projet'!$A$192,$EG$205^A51,IF(A51='Données projet'!$A$192,'Données projet'!$B$192,EJ50+EI51-ER50)))</f>
        <v>175.12820512820505</v>
      </c>
      <c r="EK51" s="18">
        <f>EJ51*VLOOKUP('Données projet'!$B$15,Paramètres!$A$1:$I$89,3,0)*VLOOKUP('Données projet'!$B$15,Paramètres!$A$1:$I$89,5,0)</f>
        <v>166.65199999999993</v>
      </c>
      <c r="EL51" s="14">
        <f t="shared" si="45"/>
        <v>42.339317127801309</v>
      </c>
      <c r="EM51" s="22">
        <f t="shared" si="19"/>
        <v>363.99321066425381</v>
      </c>
      <c r="EN51" s="62">
        <f t="shared" si="20"/>
        <v>657.32654399758712</v>
      </c>
      <c r="EO51" s="62">
        <f ca="1">AVERAGE(OFFSET($EN$3,0,0,'Données projet'!$E$15+1,1))-AVERAGE(OFFSET($H$3,0,0,'Données projet'!$E$15+1,1))</f>
        <v>406.24139966722936</v>
      </c>
      <c r="EP51" s="62">
        <f t="shared" si="46"/>
        <v>295.95724296920577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10.375</v>
      </c>
      <c r="FE51" s="13">
        <f>IF('Données projet'!$A$218&gt;35,FE50+FD51-FM50,IF(A51&lt;'Données projet'!$A$218,$FB$205^A51,IF(A51='Données projet'!$A$218,'Données projet'!$B$218,FE50+FD51-FM50)))</f>
        <v>228.49999999999994</v>
      </c>
      <c r="FF51" s="18">
        <f>FE51*VLOOKUP('Données projet'!$B$16,Paramètres!$A$1:$I$89,3,0)*VLOOKUP('Données projet'!$B$16,Paramètres!$A$1:$I$89,5,0)</f>
        <v>178.22999999999996</v>
      </c>
      <c r="FG51" s="14">
        <f t="shared" si="47"/>
        <v>44.928167580487852</v>
      </c>
      <c r="FH51" s="22">
        <f t="shared" si="22"/>
        <v>388.66714186934956</v>
      </c>
      <c r="FI51" s="62">
        <f t="shared" si="23"/>
        <v>682.00047520268288</v>
      </c>
      <c r="FJ51" s="62">
        <f ca="1">AVERAGE(OFFSET($FI$3,0,0,'Données projet'!$E$16+1,1))-AVERAGE(OFFSET($H$3,0,0,'Données projet'!$E$16+1,1))</f>
        <v>292.57482726862594</v>
      </c>
      <c r="FK51" s="62">
        <f t="shared" si="48"/>
        <v>283.48738729114024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11</v>
      </c>
      <c r="FZ51" s="13">
        <f>IF('Données projet'!$A$244&gt;35,FZ50+FY51-GH50,IF(A51&lt;'Données projet'!$A$244,$FW$205^A51,IF(A51='Données projet'!$A$244,'Données projet'!$B$244,FZ50+FY51-GH50)))</f>
        <v>209.00000000000006</v>
      </c>
      <c r="GA51" s="18">
        <f>FZ51*VLOOKUP('Données projet'!$B$17,Paramètres!$A$1:$I$89,3,0)*VLOOKUP('Données projet'!$B$17,Paramètres!$A$1:$I$89,5,0)</f>
        <v>202.14480000000006</v>
      </c>
      <c r="GB51" s="14">
        <f t="shared" si="49"/>
        <v>50.215236821738628</v>
      </c>
      <c r="GC51" s="22">
        <f t="shared" si="25"/>
        <v>439.52706413119489</v>
      </c>
      <c r="GD51" s="62">
        <f t="shared" si="26"/>
        <v>732.86039746452821</v>
      </c>
      <c r="GE51" s="62">
        <f ca="1">AVERAGE(OFFSET($GD$3,0,0,'Données projet'!$E$17+1,1))-AVERAGE(OFFSET($H$3,0,0,'Données projet'!$E$17+1,1))</f>
        <v>562.69380557620775</v>
      </c>
      <c r="GF51" s="62">
        <f t="shared" si="50"/>
        <v>294.45557293177131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220.00000000000006</v>
      </c>
      <c r="O52" s="14">
        <f>N52*VLOOKUP('Données projet'!$B$9,Paramètres!$A$1:$I$89,3,0)*VLOOKUP('Données projet'!$B$9,Paramètres!$A$1:$I$89,5,0)</f>
        <v>199.05600000000004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529.25712986118265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15.5</v>
      </c>
      <c r="AI52" s="14">
        <f>IF('Données projet'!$A$62&gt;35,AI51+AH52-AQ51,IF(A52&lt;'Données projet'!$A$62,$AF$205^A52,IF(A52='Données projet'!$A$62,'Données projet'!$B$62,AI51+AH52-AQ51)))</f>
        <v>192.49999999999986</v>
      </c>
      <c r="AJ52" s="14">
        <f>AI52*VLOOKUP('Données projet'!$B$10,Paramètres!$A$1:$I$89,3,0)*VLOOKUP('Données projet'!$B$10,Paramètres!$A$1:$I$89,5,0)</f>
        <v>165.16499999999991</v>
      </c>
      <c r="AK52" s="14">
        <f t="shared" si="35"/>
        <v>42.00533269839395</v>
      </c>
      <c r="AL52" s="22">
        <f t="shared" si="4"/>
        <v>360.82166278303589</v>
      </c>
      <c r="AM52" s="62">
        <f t="shared" si="5"/>
        <v>654.15499611636915</v>
      </c>
      <c r="AN52" s="62">
        <f ca="1">AVERAGE(OFFSET($AM$3,0,0,'Données projet'!$E$10+1,1))-AVERAGE(OFFSET($H$3,0,0,'Données projet'!$E$10+1,1))</f>
        <v>446.86777652265448</v>
      </c>
      <c r="AO52" s="62">
        <f t="shared" si="36"/>
        <v>230.82970731138215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8.5399999999999974</v>
      </c>
      <c r="BD52" s="13">
        <f>IF('Données projet'!$A$88&gt;35,BD51+BC52-BL51,IF(A52&lt;'Données projet'!$A$88,$BA$205^A52,IF(A52='Données projet'!$A$88,'Données projet'!$B$88,BD51+BC52-BL51)))</f>
        <v>276.3599999999999</v>
      </c>
      <c r="BE52" s="14">
        <f>BD52*VLOOKUP('Données projet'!$B$11,Paramètres!$A$1:$I$89,3,0)*VLOOKUP('Données projet'!$B$11,Paramètres!$A$1:$I$89,5,0)</f>
        <v>219.87201599999992</v>
      </c>
      <c r="BF52" s="14">
        <f t="shared" si="37"/>
        <v>54.087068088530145</v>
      </c>
      <c r="BG52" s="22">
        <f t="shared" si="7"/>
        <v>477.14540478752315</v>
      </c>
      <c r="BH52" s="62">
        <f t="shared" si="8"/>
        <v>770.47873812085641</v>
      </c>
      <c r="BI52" s="62">
        <f ca="1">AVERAGE(OFFSET($BH$3,0,0,'Données projet'!$E$11+1,1))-AVERAGE(OFFSET($H$3,0,0,'Données projet'!$E$11+1,1))</f>
        <v>370.59298168107364</v>
      </c>
      <c r="BJ52" s="62">
        <f t="shared" si="38"/>
        <v>404.61777090709171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8.5399999999999974</v>
      </c>
      <c r="BY52" s="13">
        <f>IF('Données projet'!$A$114&gt;35,BY51+BX52-CG51,IF(A52&lt;'Données projet'!$A$114,$BV$205^A52,IF(A52='Données projet'!$A$114,'Données projet'!$B$114,BY51+BX52-CG51)))</f>
        <v>276.3599999999999</v>
      </c>
      <c r="BZ52" s="14">
        <f>BY52*VLOOKUP('Données projet'!$B$12,Paramètres!$A$1:$I$89,3,0)*VLOOKUP('Données projet'!$B$12,Paramètres!$A$1:$I$89,5,0)</f>
        <v>202.62715199999994</v>
      </c>
      <c r="CA52" s="14">
        <f t="shared" si="39"/>
        <v>50.321096962872829</v>
      </c>
      <c r="CB52" s="22">
        <f t="shared" si="10"/>
        <v>440.55153361033672</v>
      </c>
      <c r="CC52" s="62">
        <f t="shared" si="11"/>
        <v>733.88486694366998</v>
      </c>
      <c r="CD52" s="62">
        <f ca="1">AVERAGE(OFFSET($CC$3,0,0,'Données projet'!$E$12+1,1))-AVERAGE(OFFSET($H$3,0,0,'Données projet'!$E$12+1,1))</f>
        <v>344.45199703750711</v>
      </c>
      <c r="CE52" s="62">
        <f t="shared" si="40"/>
        <v>376.41441893222185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7.4</v>
      </c>
      <c r="CT52" s="13">
        <f>IF('Données projet'!$A$140&gt;35,CT51+CS52-DB51,IF(A52&lt;'Données projet'!$A$140,$CQ$205^A52,IF(A52='Données projet'!$A$140,'Données projet'!$B$140,CT51+CS52-DB51)))</f>
        <v>238.6</v>
      </c>
      <c r="CU52" s="18">
        <f>CT52*VLOOKUP('Données projet'!$B$13,Paramètres!$A$1:$I$89,3,0)*VLOOKUP('Données projet'!$B$13,Paramètres!$A$1:$I$89,5,0)</f>
        <v>156.33071999999999</v>
      </c>
      <c r="CV52" s="14">
        <f t="shared" si="41"/>
        <v>40.013784897456162</v>
      </c>
      <c r="CW52" s="22">
        <f t="shared" si="13"/>
        <v>341.96667936306943</v>
      </c>
      <c r="CX52" s="62">
        <f t="shared" si="14"/>
        <v>635.30001269640275</v>
      </c>
      <c r="CY52" s="62">
        <f ca="1">AVERAGE(OFFSET($CX$3,0,0,'Données projet'!$E$13+1,1))-AVERAGE(OFFSET($H$3,0,0,'Données projet'!$E$13+1,1))</f>
        <v>311.53750850588153</v>
      </c>
      <c r="CZ52" s="62">
        <f t="shared" si="42"/>
        <v>304.84379909635476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7.6</v>
      </c>
      <c r="DO52" s="13">
        <f>IF('Données projet'!$A$166&gt;35,DO51+DN52-DW51,IF(A52&lt;'Données projet'!$A$166,$DL$205^A52,IF(A52='Données projet'!$A$166,'Données projet'!$B$166,DO51+DN52-DW51)))</f>
        <v>220.39999999999998</v>
      </c>
      <c r="DP52" s="18">
        <f>DO52*VLOOKUP('Données projet'!$B$14,Paramètres!$A$1:$I$89,3,0)*VLOOKUP('Données projet'!$B$14,Paramètres!$A$1:$I$89,5,0)</f>
        <v>178.78847999999999</v>
      </c>
      <c r="DQ52" s="14">
        <f t="shared" si="43"/>
        <v>45.052539436241446</v>
      </c>
      <c r="DR52" s="22">
        <f t="shared" si="16"/>
        <v>389.85644218478711</v>
      </c>
      <c r="DS52" s="62">
        <f t="shared" si="17"/>
        <v>683.18977551812043</v>
      </c>
      <c r="DT52" s="62">
        <f ca="1">AVERAGE(OFFSET($DS$3,0,0,'Données projet'!$E$14+1,1))-AVERAGE(OFFSET($H$3,0,0,'Données projet'!$E$14+1,1))</f>
        <v>256.19915261735281</v>
      </c>
      <c r="DU52" s="62">
        <f t="shared" si="44"/>
        <v>297.47246687305056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6.0256410256410273</v>
      </c>
      <c r="EJ52" s="13">
        <f>IF('Données projet'!$A$192&gt;35,EJ51+EI52-ER51,IF(A52&lt;'Données projet'!$A$192,$EG$205^A52,IF(A52='Données projet'!$A$192,'Données projet'!$B$192,EJ51+EI52-ER51)))</f>
        <v>181.15384615384608</v>
      </c>
      <c r="EK52" s="18">
        <f>EJ52*VLOOKUP('Données projet'!$B$15,Paramètres!$A$1:$I$89,3,0)*VLOOKUP('Données projet'!$B$15,Paramètres!$A$1:$I$89,5,0)</f>
        <v>172.38599999999991</v>
      </c>
      <c r="EL52" s="14">
        <f t="shared" si="45"/>
        <v>43.623973962324399</v>
      </c>
      <c r="EM52" s="22">
        <f t="shared" si="19"/>
        <v>376.21737131771482</v>
      </c>
      <c r="EN52" s="62">
        <f t="shared" si="20"/>
        <v>669.55070465104814</v>
      </c>
      <c r="EO52" s="62">
        <f ca="1">AVERAGE(OFFSET($EN$3,0,0,'Données projet'!$E$15+1,1))-AVERAGE(OFFSET($H$3,0,0,'Données projet'!$E$15+1,1))</f>
        <v>406.24139966722936</v>
      </c>
      <c r="EP52" s="62">
        <f t="shared" si="46"/>
        <v>295.95724296920577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10.375</v>
      </c>
      <c r="FE52" s="13">
        <f>IF('Données projet'!$A$218&gt;35,FE51+FD52-FM51,IF(A52&lt;'Données projet'!$A$218,$FB$205^A52,IF(A52='Données projet'!$A$218,'Données projet'!$B$218,FE51+FD52-FM51)))</f>
        <v>238.87499999999994</v>
      </c>
      <c r="FF52" s="18">
        <f>FE52*VLOOKUP('Données projet'!$B$16,Paramètres!$A$1:$I$89,3,0)*VLOOKUP('Données projet'!$B$16,Paramètres!$A$1:$I$89,5,0)</f>
        <v>186.32249999999996</v>
      </c>
      <c r="FG52" s="14">
        <f t="shared" si="47"/>
        <v>46.725987276254116</v>
      </c>
      <c r="FH52" s="22">
        <f t="shared" si="22"/>
        <v>405.89278200614257</v>
      </c>
      <c r="FI52" s="62">
        <f t="shared" si="23"/>
        <v>699.22611533947588</v>
      </c>
      <c r="FJ52" s="62">
        <f ca="1">AVERAGE(OFFSET($FI$3,0,0,'Données projet'!$E$16+1,1))-AVERAGE(OFFSET($H$3,0,0,'Données projet'!$E$16+1,1))</f>
        <v>292.57482726862594</v>
      </c>
      <c r="FK52" s="62">
        <f t="shared" si="48"/>
        <v>283.48738729114024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11</v>
      </c>
      <c r="FZ52" s="13">
        <f>IF('Données projet'!$A$244&gt;35,FZ51+FY52-GH51,IF(A52&lt;'Données projet'!$A$244,$FW$205^A52,IF(A52='Données projet'!$A$244,'Données projet'!$B$244,FZ51+FY52-GH51)))</f>
        <v>220.00000000000006</v>
      </c>
      <c r="GA52" s="18">
        <f>FZ52*VLOOKUP('Données projet'!$B$17,Paramètres!$A$1:$I$89,3,0)*VLOOKUP('Données projet'!$B$17,Paramètres!$A$1:$I$89,5,0)</f>
        <v>212.78400000000005</v>
      </c>
      <c r="GB52" s="14">
        <f t="shared" si="49"/>
        <v>52.543492641808108</v>
      </c>
      <c r="GC52" s="22">
        <f t="shared" si="25"/>
        <v>462.11204968448243</v>
      </c>
      <c r="GD52" s="62">
        <f t="shared" si="26"/>
        <v>755.44538301781574</v>
      </c>
      <c r="GE52" s="62">
        <f ca="1">AVERAGE(OFFSET($GD$3,0,0,'Données projet'!$E$17+1,1))-AVERAGE(OFFSET($H$3,0,0,'Données projet'!$E$17+1,1))</f>
        <v>562.69380557620775</v>
      </c>
      <c r="GF52" s="62">
        <f t="shared" si="50"/>
        <v>294.45557293177131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231.00000000000006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529.25712986118265</v>
      </c>
      <c r="T53" s="62">
        <f t="shared" si="34"/>
        <v>278.21741231699929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15.5</v>
      </c>
      <c r="AI53" s="14">
        <f>IF('Données projet'!$A$62&gt;35,AI52+AH53-AQ52,IF(A53&lt;'Données projet'!$A$62,$AF$205^A53,IF(A53='Données projet'!$A$62,'Données projet'!$B$62,AI52+AH53-AQ52)))</f>
        <v>207.99999999999986</v>
      </c>
      <c r="AJ53" s="14">
        <f>AI53*VLOOKUP('Données projet'!$B$10,Paramètres!$A$1:$I$89,3,0)*VLOOKUP('Données projet'!$B$10,Paramètres!$A$1:$I$89,5,0)</f>
        <v>178.46399999999991</v>
      </c>
      <c r="AK53" s="14">
        <f t="shared" si="35"/>
        <v>44.980284206661821</v>
      </c>
      <c r="AL53" s="22">
        <f t="shared" si="4"/>
        <v>389.16546165993583</v>
      </c>
      <c r="AM53" s="62">
        <f t="shared" si="5"/>
        <v>682.49879499326914</v>
      </c>
      <c r="AN53" s="62">
        <f ca="1">AVERAGE(OFFSET($AM$3,0,0,'Données projet'!$E$10+1,1))-AVERAGE(OFFSET($H$3,0,0,'Données projet'!$E$10+1,1))</f>
        <v>446.86777652265448</v>
      </c>
      <c r="AO53" s="62">
        <f t="shared" si="36"/>
        <v>230.82970731138215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284.89999999999998</v>
      </c>
      <c r="BB53" s="13">
        <f>VLOOKUP(A53,'Données projet'!$A$87:$I$107,9,0)</f>
        <v>8.5399999999999974</v>
      </c>
      <c r="BC53" s="13">
        <f t="array" ref="BC53">INDEX(BB:BB,MIN(IF(ISNUMBER(BB53:BB249),ROW(BB53:BB249),"")))</f>
        <v>8.5399999999999974</v>
      </c>
      <c r="BD53" s="13">
        <f>IF('Données projet'!$A$88&gt;35,BD52+BC53-BL52,IF(A53&lt;'Données projet'!$A$88,$BA$205^A53,IF(A53='Données projet'!$A$88,'Données projet'!$B$88,BD52+BC53-BL52)))</f>
        <v>284.89999999999992</v>
      </c>
      <c r="BE53" s="14">
        <f>BD53*VLOOKUP('Données projet'!$B$11,Paramètres!$A$1:$I$89,3,0)*VLOOKUP('Données projet'!$B$11,Paramètres!$A$1:$I$89,5,0)</f>
        <v>226.66643999999994</v>
      </c>
      <c r="BF53" s="14">
        <f t="shared" si="37"/>
        <v>55.561276600641385</v>
      </c>
      <c r="BG53" s="22">
        <f t="shared" si="7"/>
        <v>491.5466064127836</v>
      </c>
      <c r="BH53" s="62">
        <f t="shared" si="8"/>
        <v>784.87993974611686</v>
      </c>
      <c r="BI53" s="62">
        <f ca="1">AVERAGE(OFFSET($BH$3,0,0,'Données projet'!$E$11+1,1))-AVERAGE(OFFSET($H$3,0,0,'Données projet'!$E$11+1,1))</f>
        <v>370.59298168107364</v>
      </c>
      <c r="BJ53" s="62">
        <f t="shared" si="38"/>
        <v>404.61777090709171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43.099999999999994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284.89999999999998</v>
      </c>
      <c r="BW53" s="13">
        <f>VLOOKUP(A53,'Données projet'!$A$113:$I$133,9,0)</f>
        <v>8.5399999999999974</v>
      </c>
      <c r="BX53" s="13">
        <f t="array" ref="BX53">INDEX(BW:BW,MIN(IF(ISNUMBER(BW53:BW249),ROW(BW53:BW249),"")))</f>
        <v>8.5399999999999974</v>
      </c>
      <c r="BY53" s="13">
        <f>IF('Données projet'!$A$114&gt;35,BY52+BX53-CG52,IF(A53&lt;'Données projet'!$A$114,$BV$205^A53,IF(A53='Données projet'!$A$114,'Données projet'!$B$114,BY52+BX53-CG52)))</f>
        <v>284.89999999999992</v>
      </c>
      <c r="BZ53" s="14">
        <f>BY53*VLOOKUP('Données projet'!$B$12,Paramètres!$A$1:$I$89,3,0)*VLOOKUP('Données projet'!$B$12,Paramètres!$A$1:$I$89,5,0)</f>
        <v>208.88867999999994</v>
      </c>
      <c r="CA53" s="14">
        <f t="shared" si="39"/>
        <v>51.692659373318428</v>
      </c>
      <c r="CB53" s="22">
        <f t="shared" si="10"/>
        <v>453.84583274186275</v>
      </c>
      <c r="CC53" s="62">
        <f t="shared" si="11"/>
        <v>747.17916607519601</v>
      </c>
      <c r="CD53" s="62">
        <f ca="1">AVERAGE(OFFSET($CC$3,0,0,'Données projet'!$E$12+1,1))-AVERAGE(OFFSET($H$3,0,0,'Données projet'!$E$12+1,1))</f>
        <v>344.45199703750711</v>
      </c>
      <c r="CE53" s="62">
        <f t="shared" si="40"/>
        <v>376.41441893222185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43.099999999999994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246</v>
      </c>
      <c r="CR53" s="13">
        <f>VLOOKUP(A53,'Données projet'!$A$139:$I$159,9,0)</f>
        <v>7.4</v>
      </c>
      <c r="CS53" s="13">
        <f t="array" ref="CS53">INDEX(CR:CR,MIN(IF(ISNUMBER(CR53:CR249),ROW(CR53:CR249),"")))</f>
        <v>7.4</v>
      </c>
      <c r="CT53" s="13">
        <f>IF('Données projet'!$A$140&gt;35,CT52+CS53-DB52,IF(A53&lt;'Données projet'!$A$140,$CQ$205^A53,IF(A53='Données projet'!$A$140,'Données projet'!$B$140,CT52+CS53-DB52)))</f>
        <v>246</v>
      </c>
      <c r="CU53" s="18">
        <f>CT53*VLOOKUP('Données projet'!$B$13,Paramètres!$A$1:$I$89,3,0)*VLOOKUP('Données projet'!$B$13,Paramètres!$A$1:$I$89,5,0)</f>
        <v>161.17920000000001</v>
      </c>
      <c r="CV53" s="14">
        <f t="shared" si="41"/>
        <v>41.108373485541968</v>
      </c>
      <c r="CW53" s="22">
        <f t="shared" si="13"/>
        <v>352.31752382065224</v>
      </c>
      <c r="CX53" s="62">
        <f t="shared" si="14"/>
        <v>645.6508571539855</v>
      </c>
      <c r="CY53" s="62">
        <f ca="1">AVERAGE(OFFSET($CX$3,0,0,'Données projet'!$E$13+1,1))-AVERAGE(OFFSET($H$3,0,0,'Données projet'!$E$13+1,1))</f>
        <v>311.53750850588153</v>
      </c>
      <c r="CZ53" s="62">
        <f t="shared" si="42"/>
        <v>304.84379909635476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228</v>
      </c>
      <c r="DM53" s="13">
        <f>VLOOKUP(A53,'Données projet'!$A$165:$I$185,9,0)</f>
        <v>7.6</v>
      </c>
      <c r="DN53" s="13">
        <f t="array" ref="DN53">INDEX(DM:DM,MIN(IF(ISNUMBER(DM53:DM249),ROW(DM53:DM249),"")))</f>
        <v>7.6</v>
      </c>
      <c r="DO53" s="13">
        <f>IF('Données projet'!$A$166&gt;35,DO52+DN53-DW52,IF(A53&lt;'Données projet'!$A$166,$DL$205^A53,IF(A53='Données projet'!$A$166,'Données projet'!$B$166,DO52+DN53-DW52)))</f>
        <v>227.99999999999997</v>
      </c>
      <c r="DP53" s="18">
        <f>DO53*VLOOKUP('Données projet'!$B$14,Paramètres!$A$1:$I$89,3,0)*VLOOKUP('Données projet'!$B$14,Paramètres!$A$1:$I$89,5,0)</f>
        <v>184.95359999999999</v>
      </c>
      <c r="DQ53" s="14">
        <f t="shared" si="43"/>
        <v>46.42252355095799</v>
      </c>
      <c r="DR53" s="22">
        <f t="shared" si="16"/>
        <v>402.98008185125178</v>
      </c>
      <c r="DS53" s="62">
        <f t="shared" si="17"/>
        <v>696.3134151845851</v>
      </c>
      <c r="DT53" s="62">
        <f ca="1">AVERAGE(OFFSET($DS$3,0,0,'Données projet'!$E$14+1,1))-AVERAGE(OFFSET($H$3,0,0,'Données projet'!$E$14+1,1))</f>
        <v>256.19915261735281</v>
      </c>
      <c r="DU53" s="62">
        <f t="shared" si="44"/>
        <v>297.47246687305056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187.17948717948718</v>
      </c>
      <c r="EH53" s="13">
        <f>VLOOKUP(A53,'Données projet'!$A$191:$I$211,9,0)</f>
        <v>6.0256410256410273</v>
      </c>
      <c r="EI53" s="13">
        <f t="array" ref="EI53">INDEX(EH:EH,MIN(IF(ISNUMBER(EH53:EH249),ROW(EH53:EH249),"")))</f>
        <v>6.0256410256410273</v>
      </c>
      <c r="EJ53" s="13">
        <f>IF('Données projet'!$A$192&gt;35,EJ52+EI53-ER52,IF(A53&lt;'Données projet'!$A$192,$EG$205^A53,IF(A53='Données projet'!$A$192,'Données projet'!$B$192,EJ52+EI53-ER52)))</f>
        <v>187.1794871794871</v>
      </c>
      <c r="EK53" s="18">
        <f>EJ53*VLOOKUP('Données projet'!$B$15,Paramètres!$A$1:$I$89,3,0)*VLOOKUP('Données projet'!$B$15,Paramètres!$A$1:$I$89,5,0)</f>
        <v>178.11999999999992</v>
      </c>
      <c r="EL53" s="14">
        <f t="shared" si="45"/>
        <v>44.90366556024162</v>
      </c>
      <c r="EM53" s="22">
        <f t="shared" si="19"/>
        <v>388.4328841840873</v>
      </c>
      <c r="EN53" s="62">
        <f t="shared" si="20"/>
        <v>681.76621751742061</v>
      </c>
      <c r="EO53" s="62">
        <f ca="1">AVERAGE(OFFSET($EN$3,0,0,'Données projet'!$E$15+1,1))-AVERAGE(OFFSET($H$3,0,0,'Données projet'!$E$15+1,1))</f>
        <v>406.24139966722936</v>
      </c>
      <c r="EP53" s="62">
        <f t="shared" si="46"/>
        <v>295.95724296920577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10.375</v>
      </c>
      <c r="FE53" s="13">
        <f>IF('Données projet'!$A$218&gt;35,FE52+FD53-FM52,IF(A53&lt;'Données projet'!$A$218,$FB$205^A53,IF(A53='Données projet'!$A$218,'Données projet'!$B$218,FE52+FD53-FM52)))</f>
        <v>249.24999999999994</v>
      </c>
      <c r="FF53" s="18">
        <f>FE53*VLOOKUP('Données projet'!$B$16,Paramètres!$A$1:$I$89,3,0)*VLOOKUP('Données projet'!$B$16,Paramètres!$A$1:$I$89,5,0)</f>
        <v>194.41499999999996</v>
      </c>
      <c r="FG53" s="14">
        <f t="shared" si="47"/>
        <v>48.514737888684969</v>
      </c>
      <c r="FH53" s="22">
        <f t="shared" si="22"/>
        <v>423.1026268227929</v>
      </c>
      <c r="FI53" s="62">
        <f t="shared" si="23"/>
        <v>716.43596015612616</v>
      </c>
      <c r="FJ53" s="62">
        <f ca="1">AVERAGE(OFFSET($FI$3,0,0,'Données projet'!$E$16+1,1))-AVERAGE(OFFSET($H$3,0,0,'Données projet'!$E$16+1,1))</f>
        <v>292.57482726862594</v>
      </c>
      <c r="FK53" s="62">
        <f t="shared" si="48"/>
        <v>283.48738729114024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231</v>
      </c>
      <c r="FX53" s="13">
        <f>VLOOKUP(A53,'Données projet'!$A$243:$I$263,9,0)</f>
        <v>11</v>
      </c>
      <c r="FY53" s="13">
        <f t="array" ref="FY53">INDEX(FX:FX,MIN(IF(ISNUMBER(FX53:FX249),ROW(FX53:FX249),"")))</f>
        <v>11</v>
      </c>
      <c r="FZ53" s="13">
        <f>IF('Données projet'!$A$244&gt;35,FZ52+FY53-GH52,IF(A53&lt;'Données projet'!$A$244,$FW$205^A53,IF(A53='Données projet'!$A$244,'Données projet'!$B$244,FZ52+FY53-GH52)))</f>
        <v>231.00000000000006</v>
      </c>
      <c r="GA53" s="18">
        <f>FZ53*VLOOKUP('Données projet'!$B$17,Paramètres!$A$1:$I$89,3,0)*VLOOKUP('Données projet'!$B$17,Paramètres!$A$1:$I$89,5,0)</f>
        <v>223.42320000000004</v>
      </c>
      <c r="GB53" s="14">
        <f t="shared" si="49"/>
        <v>54.858231422257631</v>
      </c>
      <c r="GC53" s="22">
        <f t="shared" si="25"/>
        <v>484.67349306043207</v>
      </c>
      <c r="GD53" s="62">
        <f t="shared" si="26"/>
        <v>778.00682639376532</v>
      </c>
      <c r="GE53" s="62">
        <f ca="1">AVERAGE(OFFSET($GD$3,0,0,'Données projet'!$E$17+1,1))-AVERAGE(OFFSET($H$3,0,0,'Données projet'!$E$17+1,1))</f>
        <v>562.69380557620775</v>
      </c>
      <c r="GF53" s="62">
        <f t="shared" si="50"/>
        <v>294.45557293177131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241.20000000000005</v>
      </c>
      <c r="O54" s="14">
        <f>N54*VLOOKUP('Données projet'!$B$9,Paramètres!$A$1:$I$89,3,0)*VLOOKUP('Données projet'!$B$9,Paramètres!$A$1:$I$89,5,0)</f>
        <v>218.23776000000004</v>
      </c>
      <c r="P54" s="14">
        <f t="shared" si="33"/>
        <v>53.731692470599071</v>
      </c>
      <c r="Q54" s="22">
        <f t="shared" si="53"/>
        <v>473.68012971962668</v>
      </c>
      <c r="R54" s="62">
        <f t="shared" si="0"/>
        <v>767.01346305295999</v>
      </c>
      <c r="S54" s="62">
        <f ca="1">AVERAGE(OFFSET($R$3,0,0,'Données projet'!$E$9+1,1))-AVERAGE(OFFSET($H$3,0,0,'Données projet'!$E$9+1,1))</f>
        <v>529.25712986118265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15.5</v>
      </c>
      <c r="AI54" s="14">
        <f>IF('Données projet'!$A$62&gt;35,AI53+AH54-AQ53,IF(A54&lt;'Données projet'!$A$62,$AF$205^A54,IF(A54='Données projet'!$A$62,'Données projet'!$B$62,AI53+AH54-AQ53)))</f>
        <v>223.49999999999986</v>
      </c>
      <c r="AJ54" s="14">
        <f>AI54*VLOOKUP('Données projet'!$B$10,Paramètres!$A$1:$I$89,3,0)*VLOOKUP('Données projet'!$B$10,Paramètres!$A$1:$I$89,5,0)</f>
        <v>191.76299999999989</v>
      </c>
      <c r="AK54" s="14">
        <f t="shared" si="35"/>
        <v>47.929517351413239</v>
      </c>
      <c r="AL54" s="22">
        <f t="shared" si="4"/>
        <v>417.46446772037785</v>
      </c>
      <c r="AM54" s="62">
        <f t="shared" si="5"/>
        <v>710.79780105371117</v>
      </c>
      <c r="AN54" s="62">
        <f ca="1">AVERAGE(OFFSET($AM$3,0,0,'Données projet'!$E$10+1,1))-AVERAGE(OFFSET($H$3,0,0,'Données projet'!$E$10+1,1))</f>
        <v>446.86777652265448</v>
      </c>
      <c r="AO54" s="62">
        <f t="shared" si="36"/>
        <v>230.82970731138215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7.3600000000000083</v>
      </c>
      <c r="BD54" s="13">
        <f>IF('Données projet'!$A$88&gt;35,BD53+BC54-BL53,IF(A54&lt;'Données projet'!$A$88,$BA$205^A54,IF(A54='Données projet'!$A$88,'Données projet'!$B$88,BD53+BC54-BL53)))</f>
        <v>249.15999999999994</v>
      </c>
      <c r="BE54" s="14">
        <f>BD54*VLOOKUP('Données projet'!$B$11,Paramètres!$A$1:$I$89,3,0)*VLOOKUP('Données projet'!$B$11,Paramètres!$A$1:$I$89,5,0)</f>
        <v>198.23169599999997</v>
      </c>
      <c r="BF54" s="14">
        <f t="shared" si="37"/>
        <v>49.355347391815158</v>
      </c>
      <c r="BG54" s="22">
        <f t="shared" si="7"/>
        <v>431.21410057407803</v>
      </c>
      <c r="BH54" s="62">
        <f t="shared" si="8"/>
        <v>724.54743390741135</v>
      </c>
      <c r="BI54" s="62">
        <f ca="1">AVERAGE(OFFSET($BH$3,0,0,'Données projet'!$E$11+1,1))-AVERAGE(OFFSET($H$3,0,0,'Données projet'!$E$11+1,1))</f>
        <v>370.59298168107364</v>
      </c>
      <c r="BJ54" s="62">
        <f t="shared" si="38"/>
        <v>404.61777090709171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7.3600000000000083</v>
      </c>
      <c r="BY54" s="13">
        <f>IF('Données projet'!$A$114&gt;35,BY53+BX54-CG53,IF(A54&lt;'Données projet'!$A$114,$BV$205^A54,IF(A54='Données projet'!$A$114,'Données projet'!$B$114,BY53+BX54-CG53)))</f>
        <v>249.15999999999994</v>
      </c>
      <c r="BZ54" s="14">
        <f>BY54*VLOOKUP('Données projet'!$B$12,Paramètres!$A$1:$I$89,3,0)*VLOOKUP('Données projet'!$B$12,Paramètres!$A$1:$I$89,5,0)</f>
        <v>182.68411199999994</v>
      </c>
      <c r="CA54" s="14">
        <f t="shared" si="39"/>
        <v>45.91883623040173</v>
      </c>
      <c r="CB54" s="22">
        <f t="shared" si="10"/>
        <v>398.15013483461621</v>
      </c>
      <c r="CC54" s="62">
        <f t="shared" si="11"/>
        <v>691.48346816794947</v>
      </c>
      <c r="CD54" s="62">
        <f ca="1">AVERAGE(OFFSET($CC$3,0,0,'Données projet'!$E$12+1,1))-AVERAGE(OFFSET($H$3,0,0,'Données projet'!$E$12+1,1))</f>
        <v>344.45199703750711</v>
      </c>
      <c r="CE54" s="62">
        <f t="shared" si="40"/>
        <v>376.41441893222185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6.8</v>
      </c>
      <c r="CT54" s="13">
        <f>IF('Données projet'!$A$140&gt;35,CT53+CS54-DB53,IF(A54&lt;'Données projet'!$A$140,$CQ$205^A54,IF(A54='Données projet'!$A$140,'Données projet'!$B$140,CT53+CS54-DB53)))</f>
        <v>252.8</v>
      </c>
      <c r="CU54" s="18">
        <f>CT54*VLOOKUP('Données projet'!$B$13,Paramètres!$A$1:$I$89,3,0)*VLOOKUP('Données projet'!$B$13,Paramètres!$A$1:$I$89,5,0)</f>
        <v>165.63456000000002</v>
      </c>
      <c r="CV54" s="14">
        <f t="shared" si="41"/>
        <v>42.110834874947706</v>
      </c>
      <c r="CW54" s="22">
        <f t="shared" si="13"/>
        <v>361.82322940720059</v>
      </c>
      <c r="CX54" s="62">
        <f t="shared" si="14"/>
        <v>655.1565627405339</v>
      </c>
      <c r="CY54" s="62">
        <f ca="1">AVERAGE(OFFSET($CX$3,0,0,'Données projet'!$E$13+1,1))-AVERAGE(OFFSET($H$3,0,0,'Données projet'!$E$13+1,1))</f>
        <v>311.53750850588153</v>
      </c>
      <c r="CZ54" s="62">
        <f t="shared" si="42"/>
        <v>304.84379909635476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7.6</v>
      </c>
      <c r="DO54" s="13">
        <f>IF('Données projet'!$A$166&gt;35,DO53+DN54-DW53,IF(A54&lt;'Données projet'!$A$166,$DL$205^A54,IF(A54='Données projet'!$A$166,'Données projet'!$B$166,DO53+DN54-DW53)))</f>
        <v>235.59999999999997</v>
      </c>
      <c r="DP54" s="18">
        <f>DO54*VLOOKUP('Données projet'!$B$14,Paramètres!$A$1:$I$89,3,0)*VLOOKUP('Données projet'!$B$14,Paramètres!$A$1:$I$89,5,0)</f>
        <v>191.11872</v>
      </c>
      <c r="DQ54" s="14">
        <f t="shared" si="43"/>
        <v>47.787201388032145</v>
      </c>
      <c r="DR54" s="22">
        <f t="shared" si="16"/>
        <v>416.09447975082259</v>
      </c>
      <c r="DS54" s="62">
        <f t="shared" si="17"/>
        <v>709.4278130841559</v>
      </c>
      <c r="DT54" s="62">
        <f ca="1">AVERAGE(OFFSET($DS$3,0,0,'Données projet'!$E$14+1,1))-AVERAGE(OFFSET($H$3,0,0,'Données projet'!$E$14+1,1))</f>
        <v>256.19915261735281</v>
      </c>
      <c r="DU54" s="62">
        <f t="shared" si="44"/>
        <v>297.47246687305056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5.6410256410256405</v>
      </c>
      <c r="EJ54" s="13">
        <f>IF('Données projet'!$A$192&gt;35,EJ53+EI54-ER53,IF(A54&lt;'Données projet'!$A$192,$EG$205^A54,IF(A54='Données projet'!$A$192,'Données projet'!$B$192,EJ53+EI54-ER53)))</f>
        <v>192.82051282051273</v>
      </c>
      <c r="EK54" s="18">
        <f>EJ54*VLOOKUP('Données projet'!$B$15,Paramètres!$A$1:$I$89,3,0)*VLOOKUP('Données projet'!$B$15,Paramètres!$A$1:$I$89,5,0)</f>
        <v>183.48799999999991</v>
      </c>
      <c r="EL54" s="14">
        <f t="shared" si="45"/>
        <v>46.097332970867861</v>
      </c>
      <c r="EM54" s="22">
        <f t="shared" si="19"/>
        <v>399.86112159092801</v>
      </c>
      <c r="EN54" s="62">
        <f t="shared" si="20"/>
        <v>693.19445492426132</v>
      </c>
      <c r="EO54" s="62">
        <f ca="1">AVERAGE(OFFSET($EN$3,0,0,'Données projet'!$E$15+1,1))-AVERAGE(OFFSET($H$3,0,0,'Données projet'!$E$15+1,1))</f>
        <v>406.24139966722936</v>
      </c>
      <c r="EP54" s="62">
        <f t="shared" si="46"/>
        <v>295.95724296920577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10.375</v>
      </c>
      <c r="FE54" s="13">
        <f>IF('Données projet'!$A$218&gt;35,FE53+FD54-FM53,IF(A54&lt;'Données projet'!$A$218,$FB$205^A54,IF(A54='Données projet'!$A$218,'Données projet'!$B$218,FE53+FD54-FM53)))</f>
        <v>259.62499999999994</v>
      </c>
      <c r="FF54" s="18">
        <f>FE54*VLOOKUP('Données projet'!$B$16,Paramètres!$A$1:$I$89,3,0)*VLOOKUP('Données projet'!$B$16,Paramètres!$A$1:$I$89,5,0)</f>
        <v>202.50749999999996</v>
      </c>
      <c r="FG54" s="14">
        <f t="shared" si="47"/>
        <v>50.294840086606349</v>
      </c>
      <c r="FH54" s="22">
        <f t="shared" si="22"/>
        <v>440.29740898417259</v>
      </c>
      <c r="FI54" s="62">
        <f t="shared" si="23"/>
        <v>733.63074231750591</v>
      </c>
      <c r="FJ54" s="62">
        <f ca="1">AVERAGE(OFFSET($FI$3,0,0,'Données projet'!$E$16+1,1))-AVERAGE(OFFSET($H$3,0,0,'Données projet'!$E$16+1,1))</f>
        <v>292.57482726862594</v>
      </c>
      <c r="FK54" s="62">
        <f t="shared" si="48"/>
        <v>283.48738729114024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10.199999999999999</v>
      </c>
      <c r="FZ54" s="13">
        <f>IF('Données projet'!$A$244&gt;35,FZ53+FY54-GH53,IF(A54&lt;'Données projet'!$A$244,$FW$205^A54,IF(A54='Données projet'!$A$244,'Données projet'!$B$244,FZ53+FY54-GH53)))</f>
        <v>241.20000000000005</v>
      </c>
      <c r="GA54" s="18">
        <f>FZ54*VLOOKUP('Données projet'!$B$17,Paramètres!$A$1:$I$89,3,0)*VLOOKUP('Données projet'!$B$17,Paramètres!$A$1:$I$89,5,0)</f>
        <v>233.28864000000007</v>
      </c>
      <c r="GB54" s="14">
        <f t="shared" si="49"/>
        <v>56.993173773170618</v>
      </c>
      <c r="GC54" s="22">
        <f t="shared" si="25"/>
        <v>505.5741589882723</v>
      </c>
      <c r="GD54" s="62">
        <f t="shared" si="26"/>
        <v>798.90749232160556</v>
      </c>
      <c r="GE54" s="62">
        <f ca="1">AVERAGE(OFFSET($GD$3,0,0,'Données projet'!$E$17+1,1))-AVERAGE(OFFSET($H$3,0,0,'Données projet'!$E$17+1,1))</f>
        <v>562.69380557620775</v>
      </c>
      <c r="GF54" s="62">
        <f t="shared" si="50"/>
        <v>294.45557293177131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251.40000000000003</v>
      </c>
      <c r="O55" s="14">
        <f>N55*VLOOKUP('Données projet'!$B$9,Paramètres!$A$1:$I$89,3,0)*VLOOKUP('Données projet'!$B$9,Paramètres!$A$1:$I$89,5,0)</f>
        <v>227.46672000000004</v>
      </c>
      <c r="P55" s="14">
        <f t="shared" si="33"/>
        <v>55.734574592438989</v>
      </c>
      <c r="Q55" s="22">
        <f t="shared" si="53"/>
        <v>493.24225474849794</v>
      </c>
      <c r="R55" s="62">
        <f t="shared" si="0"/>
        <v>786.57558808183126</v>
      </c>
      <c r="S55" s="62">
        <f ca="1">AVERAGE(OFFSET($R$3,0,0,'Données projet'!$E$9+1,1))-AVERAGE(OFFSET($H$3,0,0,'Données projet'!$E$9+1,1))</f>
        <v>529.25712986118265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15.5</v>
      </c>
      <c r="AI55" s="14">
        <f>IF('Données projet'!$A$62&gt;35,AI54+AH55-AQ54,IF(A55&lt;'Données projet'!$A$62,$AF$205^A55,IF(A55='Données projet'!$A$62,'Données projet'!$B$62,AI54+AH55-AQ54)))</f>
        <v>238.99999999999986</v>
      </c>
      <c r="AJ55" s="14">
        <f>AI55*VLOOKUP('Données projet'!$B$10,Paramètres!$A$1:$I$89,3,0)*VLOOKUP('Données projet'!$B$10,Paramètres!$A$1:$I$89,5,0)</f>
        <v>205.0619999999999</v>
      </c>
      <c r="AK55" s="14">
        <f t="shared" si="35"/>
        <v>50.855018623514823</v>
      </c>
      <c r="AL55" s="22">
        <f t="shared" si="4"/>
        <v>445.72214076928805</v>
      </c>
      <c r="AM55" s="62">
        <f t="shared" si="5"/>
        <v>739.05547410262136</v>
      </c>
      <c r="AN55" s="62">
        <f ca="1">AVERAGE(OFFSET($AM$3,0,0,'Données projet'!$E$10+1,1))-AVERAGE(OFFSET($H$3,0,0,'Données projet'!$E$10+1,1))</f>
        <v>446.86777652265448</v>
      </c>
      <c r="AO55" s="62">
        <f t="shared" si="36"/>
        <v>230.82970731138215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7.3600000000000083</v>
      </c>
      <c r="BD55" s="13">
        <f>IF('Données projet'!$A$88&gt;35,BD54+BC55-BL54,IF(A55&lt;'Données projet'!$A$88,$BA$205^A55,IF(A55='Données projet'!$A$88,'Données projet'!$B$88,BD54+BC55-BL54)))</f>
        <v>256.51999999999992</v>
      </c>
      <c r="BE55" s="14">
        <f>BD55*VLOOKUP('Données projet'!$B$11,Paramètres!$A$1:$I$89,3,0)*VLOOKUP('Données projet'!$B$11,Paramètres!$A$1:$I$89,5,0)</f>
        <v>204.08731199999997</v>
      </c>
      <c r="BF55" s="14">
        <f t="shared" si="37"/>
        <v>50.641374824638383</v>
      </c>
      <c r="BG55" s="22">
        <f t="shared" si="7"/>
        <v>443.65246288624508</v>
      </c>
      <c r="BH55" s="62">
        <f t="shared" si="8"/>
        <v>736.98579621957833</v>
      </c>
      <c r="BI55" s="62">
        <f ca="1">AVERAGE(OFFSET($BH$3,0,0,'Données projet'!$E$11+1,1))-AVERAGE(OFFSET($H$3,0,0,'Données projet'!$E$11+1,1))</f>
        <v>370.59298168107364</v>
      </c>
      <c r="BJ55" s="62">
        <f t="shared" si="38"/>
        <v>404.61777090709171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7.3600000000000083</v>
      </c>
      <c r="BY55" s="13">
        <f>IF('Données projet'!$A$114&gt;35,BY54+BX55-CG54,IF(A55&lt;'Données projet'!$A$114,$BV$205^A55,IF(A55='Données projet'!$A$114,'Données projet'!$B$114,BY54+BX55-CG54)))</f>
        <v>256.51999999999992</v>
      </c>
      <c r="BZ55" s="14">
        <f>BY55*VLOOKUP('Données projet'!$B$12,Paramètres!$A$1:$I$89,3,0)*VLOOKUP('Données projet'!$B$12,Paramètres!$A$1:$I$89,5,0)</f>
        <v>188.08046399999995</v>
      </c>
      <c r="CA55" s="14">
        <f t="shared" si="39"/>
        <v>47.115320222436289</v>
      </c>
      <c r="CB55" s="22">
        <f t="shared" si="10"/>
        <v>409.63265752074312</v>
      </c>
      <c r="CC55" s="62">
        <f t="shared" si="11"/>
        <v>702.96599085407638</v>
      </c>
      <c r="CD55" s="62">
        <f ca="1">AVERAGE(OFFSET($CC$3,0,0,'Données projet'!$E$12+1,1))-AVERAGE(OFFSET($H$3,0,0,'Données projet'!$E$12+1,1))</f>
        <v>344.45199703750711</v>
      </c>
      <c r="CE55" s="62">
        <f t="shared" si="40"/>
        <v>376.41441893222185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6.8</v>
      </c>
      <c r="CT55" s="13">
        <f>IF('Données projet'!$A$140&gt;35,CT54+CS55-DB54,IF(A55&lt;'Données projet'!$A$140,$CQ$205^A55,IF(A55='Données projet'!$A$140,'Données projet'!$B$140,CT54+CS55-DB54)))</f>
        <v>259.60000000000002</v>
      </c>
      <c r="CU55" s="18">
        <f>CT55*VLOOKUP('Données projet'!$B$13,Paramètres!$A$1:$I$89,3,0)*VLOOKUP('Données projet'!$B$13,Paramètres!$A$1:$I$89,5,0)</f>
        <v>170.08992000000003</v>
      </c>
      <c r="CV55" s="14">
        <f t="shared" si="41"/>
        <v>43.110162054217852</v>
      </c>
      <c r="CW55" s="22">
        <f t="shared" si="13"/>
        <v>371.32347624442946</v>
      </c>
      <c r="CX55" s="62">
        <f t="shared" si="14"/>
        <v>664.65680957776271</v>
      </c>
      <c r="CY55" s="62">
        <f ca="1">AVERAGE(OFFSET($CX$3,0,0,'Données projet'!$E$13+1,1))-AVERAGE(OFFSET($H$3,0,0,'Données projet'!$E$13+1,1))</f>
        <v>311.53750850588153</v>
      </c>
      <c r="CZ55" s="62">
        <f t="shared" si="42"/>
        <v>304.84379909635476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7.6</v>
      </c>
      <c r="DO55" s="13">
        <f>IF('Données projet'!$A$166&gt;35,DO54+DN55-DW54,IF(A55&lt;'Données projet'!$A$166,$DL$205^A55,IF(A55='Données projet'!$A$166,'Données projet'!$B$166,DO54+DN55-DW54)))</f>
        <v>243.19999999999996</v>
      </c>
      <c r="DP55" s="18">
        <f>DO55*VLOOKUP('Données projet'!$B$14,Paramètres!$A$1:$I$89,3,0)*VLOOKUP('Données projet'!$B$14,Paramètres!$A$1:$I$89,5,0)</f>
        <v>197.28383999999997</v>
      </c>
      <c r="DQ55" s="14">
        <f t="shared" si="43"/>
        <v>49.146763750789503</v>
      </c>
      <c r="DR55" s="22">
        <f t="shared" si="16"/>
        <v>429.19996819929173</v>
      </c>
      <c r="DS55" s="62">
        <f t="shared" si="17"/>
        <v>722.53330153262505</v>
      </c>
      <c r="DT55" s="62">
        <f ca="1">AVERAGE(OFFSET($DS$3,0,0,'Données projet'!$E$14+1,1))-AVERAGE(OFFSET($H$3,0,0,'Données projet'!$E$14+1,1))</f>
        <v>256.19915261735281</v>
      </c>
      <c r="DU55" s="62">
        <f t="shared" si="44"/>
        <v>297.47246687305056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5.6410256410256405</v>
      </c>
      <c r="EJ55" s="13">
        <f>IF('Données projet'!$A$192&gt;35,EJ54+EI55-ER54,IF(A55&lt;'Données projet'!$A$192,$EG$205^A55,IF(A55='Données projet'!$A$192,'Données projet'!$B$192,EJ54+EI55-ER54)))</f>
        <v>198.46153846153837</v>
      </c>
      <c r="EK55" s="18">
        <f>EJ55*VLOOKUP('Données projet'!$B$15,Paramètres!$A$1:$I$89,3,0)*VLOOKUP('Données projet'!$B$15,Paramètres!$A$1:$I$89,5,0)</f>
        <v>188.85599999999991</v>
      </c>
      <c r="EL55" s="14">
        <f t="shared" si="45"/>
        <v>47.286941864448139</v>
      </c>
      <c r="EM55" s="22">
        <f t="shared" si="19"/>
        <v>411.28229041391364</v>
      </c>
      <c r="EN55" s="62">
        <f t="shared" si="20"/>
        <v>704.6156237472469</v>
      </c>
      <c r="EO55" s="62">
        <f ca="1">AVERAGE(OFFSET($EN$3,0,0,'Données projet'!$E$15+1,1))-AVERAGE(OFFSET($H$3,0,0,'Données projet'!$E$15+1,1))</f>
        <v>406.24139966722936</v>
      </c>
      <c r="EP55" s="62">
        <f t="shared" si="46"/>
        <v>295.95724296920577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>
        <f>VLOOKUP(A55,'Données projet'!$A$217:$I$237,2,0)</f>
        <v>270</v>
      </c>
      <c r="FC55" s="13">
        <f>VLOOKUP(A55,'Données projet'!$A$217:$I$237,9,0)</f>
        <v>10.375</v>
      </c>
      <c r="FD55" s="13">
        <f t="array" ref="FD55">INDEX(FC:FC,MIN(IF(ISNUMBER(FC55:FC251),ROW(FC55:FC251),"")))</f>
        <v>10.375</v>
      </c>
      <c r="FE55" s="13">
        <f>IF('Données projet'!$A$218&gt;35,FE54+FD55-FM54,IF(A55&lt;'Données projet'!$A$218,$FB$205^A55,IF(A55='Données projet'!$A$218,'Données projet'!$B$218,FE54+FD55-FM54)))</f>
        <v>269.99999999999994</v>
      </c>
      <c r="FF55" s="18">
        <f>FE55*VLOOKUP('Données projet'!$B$16,Paramètres!$A$1:$I$89,3,0)*VLOOKUP('Données projet'!$B$16,Paramètres!$A$1:$I$89,5,0)</f>
        <v>210.59999999999997</v>
      </c>
      <c r="FG55" s="14">
        <f t="shared" si="47"/>
        <v>52.066679014659961</v>
      </c>
      <c r="FH55" s="22">
        <f t="shared" si="22"/>
        <v>457.47779928386598</v>
      </c>
      <c r="FI55" s="62">
        <f t="shared" si="23"/>
        <v>750.81113261719929</v>
      </c>
      <c r="FJ55" s="62">
        <f ca="1">AVERAGE(OFFSET($FI$3,0,0,'Données projet'!$E$16+1,1))-AVERAGE(OFFSET($H$3,0,0,'Données projet'!$E$16+1,1))</f>
        <v>292.57482726862594</v>
      </c>
      <c r="FK55" s="62">
        <f t="shared" si="48"/>
        <v>283.48738729114024</v>
      </c>
      <c r="FL55" s="16">
        <f>IF(ISNA(VLOOKUP(A55,'Données projet'!$A$217:$I$237,3,0)),0,VLOOKUP(A55,'Données projet'!$A$217:$I$237,3,0))</f>
        <v>5</v>
      </c>
      <c r="FM55" s="16">
        <f>IF(ISNA(VLOOKUP(A55,'Données projet'!$A$217:$I$237,4,0)),0,VLOOKUP(A55,'Données projet'!$A$217:$I$237,4,0))</f>
        <v>48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10.199999999999999</v>
      </c>
      <c r="FZ55" s="13">
        <f>IF('Données projet'!$A$244&gt;35,FZ54+FY55-GH54,IF(A55&lt;'Données projet'!$A$244,$FW$205^A55,IF(A55='Données projet'!$A$244,'Données projet'!$B$244,FZ54+FY55-GH54)))</f>
        <v>251.40000000000003</v>
      </c>
      <c r="GA55" s="18">
        <f>FZ55*VLOOKUP('Données projet'!$B$17,Paramètres!$A$1:$I$89,3,0)*VLOOKUP('Données projet'!$B$17,Paramètres!$A$1:$I$89,5,0)</f>
        <v>243.15408000000005</v>
      </c>
      <c r="GB55" s="14">
        <f t="shared" si="49"/>
        <v>59.117629630943199</v>
      </c>
      <c r="GC55" s="22">
        <f t="shared" si="25"/>
        <v>526.45656094055948</v>
      </c>
      <c r="GD55" s="62">
        <f t="shared" si="26"/>
        <v>819.78989427389274</v>
      </c>
      <c r="GE55" s="62">
        <f ca="1">AVERAGE(OFFSET($GD$3,0,0,'Données projet'!$E$17+1,1))-AVERAGE(OFFSET($H$3,0,0,'Données projet'!$E$17+1,1))</f>
        <v>562.69380557620775</v>
      </c>
      <c r="GF55" s="62">
        <f t="shared" si="50"/>
        <v>294.45557293177131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261.60000000000002</v>
      </c>
      <c r="O56" s="14">
        <f>N56*VLOOKUP('Données projet'!$B$9,Paramètres!$A$1:$I$89,3,0)*VLOOKUP('Données projet'!$B$9,Paramètres!$A$1:$I$89,5,0)</f>
        <v>236.69568000000001</v>
      </c>
      <c r="P56" s="14">
        <f t="shared" si="33"/>
        <v>57.72801732243034</v>
      </c>
      <c r="Q56" s="22">
        <f t="shared" si="53"/>
        <v>512.78793950323291</v>
      </c>
      <c r="R56" s="62">
        <f t="shared" si="0"/>
        <v>806.12127283656628</v>
      </c>
      <c r="S56" s="62">
        <f ca="1">AVERAGE(OFFSET($R$3,0,0,'Données projet'!$E$9+1,1))-AVERAGE(OFFSET($H$3,0,0,'Données projet'!$E$9+1,1))</f>
        <v>529.25712986118265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15.5</v>
      </c>
      <c r="AI56" s="14">
        <f>IF('Données projet'!$A$62&gt;35,AI55+AH56-AQ55,IF(A56&lt;'Données projet'!$A$62,$AF$205^A56,IF(A56='Données projet'!$A$62,'Données projet'!$B$62,AI55+AH56-AQ55)))</f>
        <v>254.49999999999986</v>
      </c>
      <c r="AJ56" s="14">
        <f>AI56*VLOOKUP('Données projet'!$B$10,Paramètres!$A$1:$I$89,3,0)*VLOOKUP('Données projet'!$B$10,Paramètres!$A$1:$I$89,5,0)</f>
        <v>218.3609999999999</v>
      </c>
      <c r="AK56" s="14">
        <f t="shared" si="35"/>
        <v>53.758502281527136</v>
      </c>
      <c r="AL56" s="22">
        <f t="shared" si="4"/>
        <v>473.94146647365955</v>
      </c>
      <c r="AM56" s="62">
        <f t="shared" si="5"/>
        <v>767.27479980699286</v>
      </c>
      <c r="AN56" s="62">
        <f ca="1">AVERAGE(OFFSET($AM$3,0,0,'Données projet'!$E$10+1,1))-AVERAGE(OFFSET($H$3,0,0,'Données projet'!$E$10+1,1))</f>
        <v>446.86777652265448</v>
      </c>
      <c r="AO56" s="62">
        <f t="shared" si="36"/>
        <v>230.82970731138215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7.3600000000000083</v>
      </c>
      <c r="BD56" s="13">
        <f>IF('Données projet'!$A$88&gt;35,BD55+BC56-BL55,IF(A56&lt;'Données projet'!$A$88,$BA$205^A56,IF(A56='Données projet'!$A$88,'Données projet'!$B$88,BD55+BC56-BL55)))</f>
        <v>263.87999999999994</v>
      </c>
      <c r="BE56" s="14">
        <f>BD56*VLOOKUP('Données projet'!$B$11,Paramètres!$A$1:$I$89,3,0)*VLOOKUP('Données projet'!$B$11,Paramètres!$A$1:$I$89,5,0)</f>
        <v>209.94292799999997</v>
      </c>
      <c r="BF56" s="14">
        <f t="shared" si="37"/>
        <v>51.9231138331048</v>
      </c>
      <c r="BG56" s="22">
        <f t="shared" si="7"/>
        <v>456.08335619265745</v>
      </c>
      <c r="BH56" s="62">
        <f t="shared" si="8"/>
        <v>749.41668952599071</v>
      </c>
      <c r="BI56" s="62">
        <f ca="1">AVERAGE(OFFSET($BH$3,0,0,'Données projet'!$E$11+1,1))-AVERAGE(OFFSET($H$3,0,0,'Données projet'!$E$11+1,1))</f>
        <v>370.59298168107364</v>
      </c>
      <c r="BJ56" s="62">
        <f t="shared" si="38"/>
        <v>404.61777090709171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7.3600000000000083</v>
      </c>
      <c r="BY56" s="13">
        <f>IF('Données projet'!$A$114&gt;35,BY55+BX56-CG55,IF(A56&lt;'Données projet'!$A$114,$BV$205^A56,IF(A56='Données projet'!$A$114,'Données projet'!$B$114,BY55+BX56-CG55)))</f>
        <v>263.87999999999994</v>
      </c>
      <c r="BZ56" s="14">
        <f>BY56*VLOOKUP('Données projet'!$B$12,Paramètres!$A$1:$I$89,3,0)*VLOOKUP('Données projet'!$B$12,Paramètres!$A$1:$I$89,5,0)</f>
        <v>193.47681599999996</v>
      </c>
      <c r="CA56" s="14">
        <f t="shared" si="39"/>
        <v>48.307814384267459</v>
      </c>
      <c r="CB56" s="22">
        <f t="shared" si="10"/>
        <v>421.10823125259907</v>
      </c>
      <c r="CC56" s="62">
        <f t="shared" si="11"/>
        <v>714.44156458593238</v>
      </c>
      <c r="CD56" s="62">
        <f ca="1">AVERAGE(OFFSET($CC$3,0,0,'Données projet'!$E$12+1,1))-AVERAGE(OFFSET($H$3,0,0,'Données projet'!$E$12+1,1))</f>
        <v>344.45199703750711</v>
      </c>
      <c r="CE56" s="62">
        <f t="shared" si="40"/>
        <v>376.41441893222185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6.8</v>
      </c>
      <c r="CT56" s="13">
        <f>IF('Données projet'!$A$140&gt;35,CT55+CS56-DB55,IF(A56&lt;'Données projet'!$A$140,$CQ$205^A56,IF(A56='Données projet'!$A$140,'Données projet'!$B$140,CT55+CS56-DB55)))</f>
        <v>266.40000000000003</v>
      </c>
      <c r="CU56" s="18">
        <f>CT56*VLOOKUP('Données projet'!$B$13,Paramètres!$A$1:$I$89,3,0)*VLOOKUP('Données projet'!$B$13,Paramètres!$A$1:$I$89,5,0)</f>
        <v>174.54528000000002</v>
      </c>
      <c r="CV56" s="14">
        <f t="shared" si="41"/>
        <v>44.106446559111959</v>
      </c>
      <c r="CW56" s="22">
        <f t="shared" si="13"/>
        <v>380.81842375712</v>
      </c>
      <c r="CX56" s="62">
        <f t="shared" si="14"/>
        <v>674.15175709045332</v>
      </c>
      <c r="CY56" s="62">
        <f ca="1">AVERAGE(OFFSET($CX$3,0,0,'Données projet'!$E$13+1,1))-AVERAGE(OFFSET($H$3,0,0,'Données projet'!$E$13+1,1))</f>
        <v>311.53750850588153</v>
      </c>
      <c r="CZ56" s="62">
        <f t="shared" si="42"/>
        <v>304.84379909635476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7.6</v>
      </c>
      <c r="DO56" s="13">
        <f>IF('Données projet'!$A$166&gt;35,DO55+DN56-DW55,IF(A56&lt;'Données projet'!$A$166,$DL$205^A56,IF(A56='Données projet'!$A$166,'Données projet'!$B$166,DO55+DN56-DW55)))</f>
        <v>250.79999999999995</v>
      </c>
      <c r="DP56" s="18">
        <f>DO56*VLOOKUP('Données projet'!$B$14,Paramètres!$A$1:$I$89,3,0)*VLOOKUP('Données projet'!$B$14,Paramètres!$A$1:$I$89,5,0)</f>
        <v>203.44895999999997</v>
      </c>
      <c r="DQ56" s="14">
        <f t="shared" si="43"/>
        <v>50.501388840000267</v>
      </c>
      <c r="DR56" s="22">
        <f t="shared" si="16"/>
        <v>442.2968575630004</v>
      </c>
      <c r="DS56" s="62">
        <f t="shared" si="17"/>
        <v>735.63019089633372</v>
      </c>
      <c r="DT56" s="62">
        <f ca="1">AVERAGE(OFFSET($DS$3,0,0,'Données projet'!$E$14+1,1))-AVERAGE(OFFSET($H$3,0,0,'Données projet'!$E$14+1,1))</f>
        <v>256.19915261735281</v>
      </c>
      <c r="DU56" s="62">
        <f t="shared" si="44"/>
        <v>297.47246687305056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5.6410256410256405</v>
      </c>
      <c r="EJ56" s="13">
        <f>IF('Données projet'!$A$192&gt;35,EJ55+EI56-ER55,IF(A56&lt;'Données projet'!$A$192,$EG$205^A56,IF(A56='Données projet'!$A$192,'Données projet'!$B$192,EJ55+EI56-ER55)))</f>
        <v>204.102564102564</v>
      </c>
      <c r="EK56" s="18">
        <f>EJ56*VLOOKUP('Données projet'!$B$15,Paramètres!$A$1:$I$89,3,0)*VLOOKUP('Données projet'!$B$15,Paramètres!$A$1:$I$89,5,0)</f>
        <v>194.2239999999999</v>
      </c>
      <c r="EL56" s="14">
        <f t="shared" si="45"/>
        <v>48.472620849341268</v>
      </c>
      <c r="EM56" s="22">
        <f t="shared" si="19"/>
        <v>422.69661464593588</v>
      </c>
      <c r="EN56" s="62">
        <f t="shared" si="20"/>
        <v>716.0299479792692</v>
      </c>
      <c r="EO56" s="62">
        <f ca="1">AVERAGE(OFFSET($EN$3,0,0,'Données projet'!$E$15+1,1))-AVERAGE(OFFSET($H$3,0,0,'Données projet'!$E$15+1,1))</f>
        <v>406.24139966722936</v>
      </c>
      <c r="EP56" s="62">
        <f t="shared" si="46"/>
        <v>295.95724296920577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9.375</v>
      </c>
      <c r="FE56" s="13">
        <f>IF('Données projet'!$A$218&gt;35,FE55+FD56-FM55,IF(A56&lt;'Données projet'!$A$218,$FB$205^A56,IF(A56='Données projet'!$A$218,'Données projet'!$B$218,FE55+FD56-FM55)))</f>
        <v>231.37499999999994</v>
      </c>
      <c r="FF56" s="18">
        <f>FE56*VLOOKUP('Données projet'!$B$16,Paramètres!$A$1:$I$89,3,0)*VLOOKUP('Données projet'!$B$16,Paramètres!$A$1:$I$89,5,0)</f>
        <v>180.47249999999997</v>
      </c>
      <c r="FG56" s="14">
        <f t="shared" si="47"/>
        <v>45.427292666837829</v>
      </c>
      <c r="FH56" s="22">
        <f t="shared" si="22"/>
        <v>393.44213889474253</v>
      </c>
      <c r="FI56" s="62">
        <f t="shared" si="23"/>
        <v>686.77547222807584</v>
      </c>
      <c r="FJ56" s="62">
        <f ca="1">AVERAGE(OFFSET($FI$3,0,0,'Données projet'!$E$16+1,1))-AVERAGE(OFFSET($H$3,0,0,'Données projet'!$E$16+1,1))</f>
        <v>292.57482726862594</v>
      </c>
      <c r="FK56" s="62">
        <f t="shared" si="48"/>
        <v>283.48738729114024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10.199999999999999</v>
      </c>
      <c r="FZ56" s="13">
        <f>IF('Données projet'!$A$244&gt;35,FZ55+FY56-GH55,IF(A56&lt;'Données projet'!$A$244,$FW$205^A56,IF(A56='Données projet'!$A$244,'Données projet'!$B$244,FZ55+FY56-GH55)))</f>
        <v>261.60000000000002</v>
      </c>
      <c r="GA56" s="18">
        <f>FZ56*VLOOKUP('Données projet'!$B$17,Paramètres!$A$1:$I$89,3,0)*VLOOKUP('Données projet'!$B$17,Paramètres!$A$1:$I$89,5,0)</f>
        <v>253.01952000000003</v>
      </c>
      <c r="GB56" s="14">
        <f t="shared" si="49"/>
        <v>61.232073131479261</v>
      </c>
      <c r="GC56" s="22">
        <f t="shared" si="25"/>
        <v>547.32152470399308</v>
      </c>
      <c r="GD56" s="62">
        <f t="shared" si="26"/>
        <v>840.65485803732645</v>
      </c>
      <c r="GE56" s="62">
        <f ca="1">AVERAGE(OFFSET($GD$3,0,0,'Données projet'!$E$17+1,1))-AVERAGE(OFFSET($H$3,0,0,'Données projet'!$E$17+1,1))</f>
        <v>562.69380557620775</v>
      </c>
      <c r="GF56" s="62">
        <f t="shared" si="50"/>
        <v>294.45557293177131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271.8</v>
      </c>
      <c r="O57" s="14">
        <f>N57*VLOOKUP('Données projet'!$B$9,Paramètres!$A$1:$I$89,3,0)*VLOOKUP('Données projet'!$B$9,Paramètres!$A$1:$I$89,5,0)</f>
        <v>245.92464000000001</v>
      </c>
      <c r="P57" s="14">
        <f t="shared" si="33"/>
        <v>59.712430831913537</v>
      </c>
      <c r="Q57" s="22">
        <f t="shared" si="53"/>
        <v>532.31789836558266</v>
      </c>
      <c r="R57" s="62">
        <f t="shared" si="0"/>
        <v>825.65123169891604</v>
      </c>
      <c r="S57" s="62">
        <f ca="1">AVERAGE(OFFSET($R$3,0,0,'Données projet'!$E$9+1,1))-AVERAGE(OFFSET($H$3,0,0,'Données projet'!$E$9+1,1))</f>
        <v>529.25712986118265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270</v>
      </c>
      <c r="AG57" s="13">
        <f>VLOOKUP(A57,'Données projet'!$A$61:$I$81,9,0)</f>
        <v>15.5</v>
      </c>
      <c r="AH57" s="13">
        <f t="array" ref="AH57">INDEX(AG:AG,MIN(IF(ISNUMBER(AG57:AG253),ROW(AG57:AG253),"")))</f>
        <v>15.5</v>
      </c>
      <c r="AI57" s="14">
        <f>IF('Données projet'!$A$62&gt;35,AI56+AH57-AQ56,IF(A57&lt;'Données projet'!$A$62,$AF$205^A57,IF(A57='Données projet'!$A$62,'Données projet'!$B$62,AI56+AH57-AQ56)))</f>
        <v>269.99999999999989</v>
      </c>
      <c r="AJ57" s="14">
        <f>AI57*VLOOKUP('Données projet'!$B$10,Paramètres!$A$1:$I$89,3,0)*VLOOKUP('Données projet'!$B$10,Paramètres!$A$1:$I$89,5,0)</f>
        <v>231.65999999999991</v>
      </c>
      <c r="AK57" s="14">
        <f t="shared" si="35"/>
        <v>56.641461975682766</v>
      </c>
      <c r="AL57" s="22">
        <f t="shared" si="4"/>
        <v>502.125046274314</v>
      </c>
      <c r="AM57" s="62">
        <f t="shared" si="5"/>
        <v>795.45837960764732</v>
      </c>
      <c r="AN57" s="62">
        <f ca="1">AVERAGE(OFFSET($AM$3,0,0,'Données projet'!$E$10+1,1))-AVERAGE(OFFSET($H$3,0,0,'Données projet'!$E$10+1,1))</f>
        <v>446.86777652265448</v>
      </c>
      <c r="AO57" s="62">
        <f t="shared" si="36"/>
        <v>230.82970731138215</v>
      </c>
      <c r="AP57" s="16">
        <f>IF(ISNA(VLOOKUP(A57,'Données projet'!$A$61:$I$81,3,0)),0,VLOOKUP(A57,'Données projet'!$A$61:$I$81,3,0))</f>
        <v>6</v>
      </c>
      <c r="AQ57" s="16">
        <f>IF(ISNA(VLOOKUP(A57,'Données projet'!$A$61:$I$81,4,0)),0,VLOOKUP(A57,'Données projet'!$A$61:$I$81,4,0))</f>
        <v>64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7.3600000000000083</v>
      </c>
      <c r="BD57" s="13">
        <f>IF('Données projet'!$A$88&gt;35,BD56+BC57-BL56,IF(A57&lt;'Données projet'!$A$88,$BA$205^A57,IF(A57='Données projet'!$A$88,'Données projet'!$B$88,BD56+BC57-BL56)))</f>
        <v>271.23999999999995</v>
      </c>
      <c r="BE57" s="14">
        <f>BD57*VLOOKUP('Données projet'!$B$11,Paramètres!$A$1:$I$89,3,0)*VLOOKUP('Données projet'!$B$11,Paramètres!$A$1:$I$89,5,0)</f>
        <v>215.79854399999996</v>
      </c>
      <c r="BF57" s="14">
        <f t="shared" si="37"/>
        <v>53.200697768809484</v>
      </c>
      <c r="BG57" s="22">
        <f t="shared" si="7"/>
        <v>468.50701274734303</v>
      </c>
      <c r="BH57" s="62">
        <f t="shared" si="8"/>
        <v>761.84034608067634</v>
      </c>
      <c r="BI57" s="62">
        <f ca="1">AVERAGE(OFFSET($BH$3,0,0,'Données projet'!$E$11+1,1))-AVERAGE(OFFSET($H$3,0,0,'Données projet'!$E$11+1,1))</f>
        <v>370.59298168107364</v>
      </c>
      <c r="BJ57" s="62">
        <f t="shared" si="38"/>
        <v>404.61777090709171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7.3600000000000083</v>
      </c>
      <c r="BY57" s="13">
        <f>IF('Données projet'!$A$114&gt;35,BY56+BX57-CG56,IF(A57&lt;'Données projet'!$A$114,$BV$205^A57,IF(A57='Données projet'!$A$114,'Données projet'!$B$114,BY56+BX57-CG56)))</f>
        <v>271.23999999999995</v>
      </c>
      <c r="BZ57" s="14">
        <f>BY57*VLOOKUP('Données projet'!$B$12,Paramètres!$A$1:$I$89,3,0)*VLOOKUP('Données projet'!$B$12,Paramètres!$A$1:$I$89,5,0)</f>
        <v>198.87316799999996</v>
      </c>
      <c r="CA57" s="14">
        <f t="shared" si="39"/>
        <v>49.496442782493347</v>
      </c>
      <c r="CB57" s="22">
        <f t="shared" si="10"/>
        <v>432.57707211284247</v>
      </c>
      <c r="CC57" s="62">
        <f t="shared" si="11"/>
        <v>725.91040544617579</v>
      </c>
      <c r="CD57" s="62">
        <f ca="1">AVERAGE(OFFSET($CC$3,0,0,'Données projet'!$E$12+1,1))-AVERAGE(OFFSET($H$3,0,0,'Données projet'!$E$12+1,1))</f>
        <v>344.45199703750711</v>
      </c>
      <c r="CE57" s="62">
        <f t="shared" si="40"/>
        <v>376.41441893222185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6.8</v>
      </c>
      <c r="CT57" s="13">
        <f>IF('Données projet'!$A$140&gt;35,CT56+CS57-DB56,IF(A57&lt;'Données projet'!$A$140,$CQ$205^A57,IF(A57='Données projet'!$A$140,'Données projet'!$B$140,CT56+CS57-DB56)))</f>
        <v>273.20000000000005</v>
      </c>
      <c r="CU57" s="18">
        <f>CT57*VLOOKUP('Données projet'!$B$13,Paramètres!$A$1:$I$89,3,0)*VLOOKUP('Données projet'!$B$13,Paramètres!$A$1:$I$89,5,0)</f>
        <v>179.00064000000003</v>
      </c>
      <c r="CV57" s="14">
        <f t="shared" si="41"/>
        <v>45.099774986145533</v>
      </c>
      <c r="CW57" s="22">
        <f t="shared" si="13"/>
        <v>390.30822276753679</v>
      </c>
      <c r="CX57" s="62">
        <f t="shared" si="14"/>
        <v>683.64155610087005</v>
      </c>
      <c r="CY57" s="62">
        <f ca="1">AVERAGE(OFFSET($CX$3,0,0,'Données projet'!$E$13+1,1))-AVERAGE(OFFSET($H$3,0,0,'Données projet'!$E$13+1,1))</f>
        <v>311.53750850588153</v>
      </c>
      <c r="CZ57" s="62">
        <f t="shared" si="42"/>
        <v>304.84379909635476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7.6</v>
      </c>
      <c r="DO57" s="13">
        <f>IF('Données projet'!$A$166&gt;35,DO56+DN57-DW56,IF(A57&lt;'Données projet'!$A$166,$DL$205^A57,IF(A57='Données projet'!$A$166,'Données projet'!$B$166,DO56+DN57-DW56)))</f>
        <v>258.39999999999998</v>
      </c>
      <c r="DP57" s="18">
        <f>DO57*VLOOKUP('Données projet'!$B$14,Paramètres!$A$1:$I$89,3,0)*VLOOKUP('Données projet'!$B$14,Paramètres!$A$1:$I$89,5,0)</f>
        <v>209.61408</v>
      </c>
      <c r="DQ57" s="14">
        <f t="shared" si="43"/>
        <v>51.851243442662593</v>
      </c>
      <c r="DR57" s="22">
        <f t="shared" si="16"/>
        <v>455.38543832930395</v>
      </c>
      <c r="DS57" s="62">
        <f t="shared" si="17"/>
        <v>748.71877166263721</v>
      </c>
      <c r="DT57" s="62">
        <f ca="1">AVERAGE(OFFSET($DS$3,0,0,'Données projet'!$E$14+1,1))-AVERAGE(OFFSET($H$3,0,0,'Données projet'!$E$14+1,1))</f>
        <v>256.19915261735281</v>
      </c>
      <c r="DU57" s="62">
        <f t="shared" si="44"/>
        <v>297.47246687305056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5.6410256410256405</v>
      </c>
      <c r="EJ57" s="13">
        <f>IF('Données projet'!$A$192&gt;35,EJ56+EI57-ER56,IF(A57&lt;'Données projet'!$A$192,$EG$205^A57,IF(A57='Données projet'!$A$192,'Données projet'!$B$192,EJ56+EI57-ER56)))</f>
        <v>209.74358974358964</v>
      </c>
      <c r="EK57" s="18">
        <f>EJ57*VLOOKUP('Données projet'!$B$15,Paramètres!$A$1:$I$89,3,0)*VLOOKUP('Données projet'!$B$15,Paramètres!$A$1:$I$89,5,0)</f>
        <v>199.5919999999999</v>
      </c>
      <c r="EL57" s="14">
        <f t="shared" si="45"/>
        <v>49.654491020353277</v>
      </c>
      <c r="EM57" s="22">
        <f t="shared" si="19"/>
        <v>434.10430519378178</v>
      </c>
      <c r="EN57" s="62">
        <f t="shared" si="20"/>
        <v>727.43763852711504</v>
      </c>
      <c r="EO57" s="62">
        <f ca="1">AVERAGE(OFFSET($EN$3,0,0,'Données projet'!$E$15+1,1))-AVERAGE(OFFSET($H$3,0,0,'Données projet'!$E$15+1,1))</f>
        <v>406.24139966722936</v>
      </c>
      <c r="EP57" s="62">
        <f t="shared" si="46"/>
        <v>295.95724296920577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9.375</v>
      </c>
      <c r="FE57" s="13">
        <f>IF('Données projet'!$A$218&gt;35,FE56+FD57-FM56,IF(A57&lt;'Données projet'!$A$218,$FB$205^A57,IF(A57='Données projet'!$A$218,'Données projet'!$B$218,FE56+FD57-FM56)))</f>
        <v>240.74999999999994</v>
      </c>
      <c r="FF57" s="18">
        <f>FE57*VLOOKUP('Données projet'!$B$16,Paramètres!$A$1:$I$89,3,0)*VLOOKUP('Données projet'!$B$16,Paramètres!$A$1:$I$89,5,0)</f>
        <v>187.78499999999997</v>
      </c>
      <c r="FG57" s="14">
        <f t="shared" si="47"/>
        <v>47.049914090154054</v>
      </c>
      <c r="FH57" s="22">
        <f t="shared" si="22"/>
        <v>409.00414204035161</v>
      </c>
      <c r="FI57" s="62">
        <f t="shared" si="23"/>
        <v>702.33747537368492</v>
      </c>
      <c r="FJ57" s="62">
        <f ca="1">AVERAGE(OFFSET($FI$3,0,0,'Données projet'!$E$16+1,1))-AVERAGE(OFFSET($H$3,0,0,'Données projet'!$E$16+1,1))</f>
        <v>292.57482726862594</v>
      </c>
      <c r="FK57" s="62">
        <f t="shared" si="48"/>
        <v>283.48738729114024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10.199999999999999</v>
      </c>
      <c r="FZ57" s="13">
        <f>IF('Données projet'!$A$244&gt;35,FZ56+FY57-GH56,IF(A57&lt;'Données projet'!$A$244,$FW$205^A57,IF(A57='Données projet'!$A$244,'Données projet'!$B$244,FZ56+FY57-GH56)))</f>
        <v>271.8</v>
      </c>
      <c r="GA57" s="18">
        <f>FZ57*VLOOKUP('Données projet'!$B$17,Paramètres!$A$1:$I$89,3,0)*VLOOKUP('Données projet'!$B$17,Paramètres!$A$1:$I$89,5,0)</f>
        <v>262.88496000000004</v>
      </c>
      <c r="GB57" s="14">
        <f t="shared" si="49"/>
        <v>63.336939343271965</v>
      </c>
      <c r="GC57" s="22">
        <f t="shared" si="25"/>
        <v>568.16980802286537</v>
      </c>
      <c r="GD57" s="62">
        <f t="shared" si="26"/>
        <v>861.50314135619874</v>
      </c>
      <c r="GE57" s="62">
        <f ca="1">AVERAGE(OFFSET($GD$3,0,0,'Données projet'!$E$17+1,1))-AVERAGE(OFFSET($H$3,0,0,'Données projet'!$E$17+1,1))</f>
        <v>562.69380557620775</v>
      </c>
      <c r="GF57" s="62">
        <f t="shared" si="50"/>
        <v>294.45557293177131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282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282</v>
      </c>
      <c r="O58" s="14">
        <f>N58*VLOOKUP('Données projet'!$B$9,Paramètres!$A$1:$I$89,3,0)*VLOOKUP('Données projet'!$B$9,Paramètres!$A$1:$I$89,5,0)</f>
        <v>255.15360000000001</v>
      </c>
      <c r="P58" s="14">
        <f t="shared" si="33"/>
        <v>61.688192762754426</v>
      </c>
      <c r="Q58" s="22">
        <f t="shared" si="53"/>
        <v>551.83278906179726</v>
      </c>
      <c r="R58" s="62">
        <f t="shared" si="0"/>
        <v>845.16612239513051</v>
      </c>
      <c r="S58" s="62">
        <f ca="1">AVERAGE(OFFSET($R$3,0,0,'Données projet'!$E$9+1,1))-AVERAGE(OFFSET($H$3,0,0,'Données projet'!$E$9+1,1))</f>
        <v>529.25712986118265</v>
      </c>
      <c r="T58" s="62">
        <f t="shared" si="34"/>
        <v>278.21741231699929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56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14.833333333333334</v>
      </c>
      <c r="AI58" s="14">
        <f>IF('Données projet'!$A$62&gt;35,AI57+AH58-AQ57,IF(A58&lt;'Données projet'!$A$62,$AF$205^A58,IF(A58='Données projet'!$A$62,'Données projet'!$B$62,AI57+AH58-AQ57)))</f>
        <v>220.8333333333332</v>
      </c>
      <c r="AJ58" s="14">
        <f>AI58*VLOOKUP('Données projet'!$B$10,Paramètres!$A$1:$I$89,3,0)*VLOOKUP('Données projet'!$B$10,Paramètres!$A$1:$I$89,5,0)</f>
        <v>189.47499999999991</v>
      </c>
      <c r="AK58" s="14">
        <f t="shared" si="35"/>
        <v>47.423864120172716</v>
      </c>
      <c r="AL58" s="22">
        <f t="shared" si="4"/>
        <v>412.59885500930062</v>
      </c>
      <c r="AM58" s="62">
        <f t="shared" si="5"/>
        <v>705.93218834263394</v>
      </c>
      <c r="AN58" s="62">
        <f ca="1">AVERAGE(OFFSET($AM$3,0,0,'Données projet'!$E$10+1,1))-AVERAGE(OFFSET($H$3,0,0,'Données projet'!$E$10+1,1))</f>
        <v>446.86777652265448</v>
      </c>
      <c r="AO58" s="62">
        <f t="shared" si="36"/>
        <v>230.82970731138215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278.60000000000002</v>
      </c>
      <c r="BB58" s="13">
        <f>VLOOKUP(A58,'Données projet'!$A$87:$I$107,9,0)</f>
        <v>7.3600000000000083</v>
      </c>
      <c r="BC58" s="13">
        <f t="array" ref="BC58">INDEX(BB:BB,MIN(IF(ISNUMBER(BB58:BB254),ROW(BB58:BB254),"")))</f>
        <v>7.3600000000000083</v>
      </c>
      <c r="BD58" s="13">
        <f>IF('Données projet'!$A$88&gt;35,BD57+BC58-BL57,IF(A58&lt;'Données projet'!$A$88,$BA$205^A58,IF(A58='Données projet'!$A$88,'Données projet'!$B$88,BD57+BC58-BL57)))</f>
        <v>278.59999999999997</v>
      </c>
      <c r="BE58" s="14">
        <f>BD58*VLOOKUP('Données projet'!$B$11,Paramètres!$A$1:$I$89,3,0)*VLOOKUP('Données projet'!$B$11,Paramètres!$A$1:$I$89,5,0)</f>
        <v>221.65415999999999</v>
      </c>
      <c r="BF58" s="14">
        <f t="shared" si="37"/>
        <v>54.474252334510162</v>
      </c>
      <c r="BG58" s="22">
        <f t="shared" si="7"/>
        <v>480.92365148260507</v>
      </c>
      <c r="BH58" s="62">
        <f t="shared" si="8"/>
        <v>774.25698481593838</v>
      </c>
      <c r="BI58" s="62">
        <f ca="1">AVERAGE(OFFSET($BH$3,0,0,'Données projet'!$E$11+1,1))-AVERAGE(OFFSET($H$3,0,0,'Données projet'!$E$11+1,1))</f>
        <v>370.59298168107364</v>
      </c>
      <c r="BJ58" s="62">
        <f t="shared" si="38"/>
        <v>404.61777090709171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278.60000000000002</v>
      </c>
      <c r="BW58" s="13">
        <f>VLOOKUP(A58,'Données projet'!$A$113:$I$133,9,0)</f>
        <v>7.3600000000000083</v>
      </c>
      <c r="BX58" s="13">
        <f t="array" ref="BX58">INDEX(BW:BW,MIN(IF(ISNUMBER(BW58:BW254),ROW(BW58:BW254),"")))</f>
        <v>7.3600000000000083</v>
      </c>
      <c r="BY58" s="13">
        <f>IF('Données projet'!$A$114&gt;35,BY57+BX58-CG57,IF(A58&lt;'Données projet'!$A$114,$BV$205^A58,IF(A58='Données projet'!$A$114,'Données projet'!$B$114,BY57+BX58-CG57)))</f>
        <v>278.59999999999997</v>
      </c>
      <c r="BZ58" s="14">
        <f>BY58*VLOOKUP('Données projet'!$B$12,Paramètres!$A$1:$I$89,3,0)*VLOOKUP('Données projet'!$B$12,Paramètres!$A$1:$I$89,5,0)</f>
        <v>204.26951999999997</v>
      </c>
      <c r="CA58" s="14">
        <f t="shared" si="39"/>
        <v>50.681322367447613</v>
      </c>
      <c r="CB58" s="22">
        <f t="shared" si="10"/>
        <v>444.03938378997123</v>
      </c>
      <c r="CC58" s="62">
        <f t="shared" si="11"/>
        <v>737.37271712330448</v>
      </c>
      <c r="CD58" s="62">
        <f ca="1">AVERAGE(OFFSET($CC$3,0,0,'Données projet'!$E$12+1,1))-AVERAGE(OFFSET($H$3,0,0,'Données projet'!$E$12+1,1))</f>
        <v>344.45199703750711</v>
      </c>
      <c r="CE58" s="62">
        <f t="shared" si="40"/>
        <v>376.41441893222185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280</v>
      </c>
      <c r="CR58" s="13">
        <f>VLOOKUP(A58,'Données projet'!$A$139:$I$159,9,0)</f>
        <v>6.8</v>
      </c>
      <c r="CS58" s="13">
        <f t="array" ref="CS58">INDEX(CR:CR,MIN(IF(ISNUMBER(CR58:CR254),ROW(CR58:CR254),"")))</f>
        <v>6.8</v>
      </c>
      <c r="CT58" s="13">
        <f>IF('Données projet'!$A$140&gt;35,CT57+CS58-DB57,IF(A58&lt;'Données projet'!$A$140,$CQ$205^A58,IF(A58='Données projet'!$A$140,'Données projet'!$B$140,CT57+CS58-DB57)))</f>
        <v>280.00000000000006</v>
      </c>
      <c r="CU58" s="18">
        <f>CT58*VLOOKUP('Données projet'!$B$13,Paramètres!$A$1:$I$89,3,0)*VLOOKUP('Données projet'!$B$13,Paramètres!$A$1:$I$89,5,0)</f>
        <v>183.45600000000005</v>
      </c>
      <c r="CV58" s="14">
        <f t="shared" si="41"/>
        <v>46.090229375321144</v>
      </c>
      <c r="CW58" s="22">
        <f t="shared" si="13"/>
        <v>399.79301616201775</v>
      </c>
      <c r="CX58" s="62">
        <f t="shared" si="14"/>
        <v>693.12634949535106</v>
      </c>
      <c r="CY58" s="62">
        <f ca="1">AVERAGE(OFFSET($CX$3,0,0,'Données projet'!$E$13+1,1))-AVERAGE(OFFSET($H$3,0,0,'Données projet'!$E$13+1,1))</f>
        <v>311.53750850588153</v>
      </c>
      <c r="CZ58" s="62">
        <f t="shared" si="42"/>
        <v>304.84379909635476</v>
      </c>
      <c r="DA58" s="16">
        <f>IF(ISNA(VLOOKUP(A58,'Données projet'!$A$139:$I$159,3,0)),0,VLOOKUP(A58,'Données projet'!$A$139:$I$159,3,0))</f>
        <v>4</v>
      </c>
      <c r="DB58" s="16">
        <f>IF(ISNA(VLOOKUP(A58,'Données projet'!$A$139:$I$159,4,0)),0,VLOOKUP(A58,'Données projet'!$A$139:$I$159,4,0))</f>
        <v>52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266</v>
      </c>
      <c r="DM58" s="13">
        <f>VLOOKUP(A58,'Données projet'!$A$165:$I$185,9,0)</f>
        <v>7.6</v>
      </c>
      <c r="DN58" s="13">
        <f t="array" ref="DN58">INDEX(DM:DM,MIN(IF(ISNUMBER(DM58:DM254),ROW(DM58:DM254),"")))</f>
        <v>7.6</v>
      </c>
      <c r="DO58" s="13">
        <f>IF('Données projet'!$A$166&gt;35,DO57+DN58-DW57,IF(A58&lt;'Données projet'!$A$166,$DL$205^A58,IF(A58='Données projet'!$A$166,'Données projet'!$B$166,DO57+DN58-DW57)))</f>
        <v>266</v>
      </c>
      <c r="DP58" s="18">
        <f>DO58*VLOOKUP('Données projet'!$B$14,Paramètres!$A$1:$I$89,3,0)*VLOOKUP('Données projet'!$B$14,Paramètres!$A$1:$I$89,5,0)</f>
        <v>215.7792</v>
      </c>
      <c r="DQ58" s="14">
        <f t="shared" si="43"/>
        <v>53.196483976998607</v>
      </c>
      <c r="DR58" s="22">
        <f t="shared" si="16"/>
        <v>468.46598292660588</v>
      </c>
      <c r="DS58" s="62">
        <f t="shared" si="17"/>
        <v>761.79931625993913</v>
      </c>
      <c r="DT58" s="62">
        <f ca="1">AVERAGE(OFFSET($DS$3,0,0,'Données projet'!$E$14+1,1))-AVERAGE(OFFSET($H$3,0,0,'Données projet'!$E$14+1,1))</f>
        <v>256.19915261735281</v>
      </c>
      <c r="DU58" s="62">
        <f t="shared" si="44"/>
        <v>297.47246687305056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215.38461538461539</v>
      </c>
      <c r="EH58" s="13">
        <f>VLOOKUP(A58,'Données projet'!$A$191:$I$211,9,0)</f>
        <v>5.6410256410256405</v>
      </c>
      <c r="EI58" s="13">
        <f t="array" ref="EI58">INDEX(EH:EH,MIN(IF(ISNUMBER(EH58:EH254),ROW(EH58:EH254),"")))</f>
        <v>5.6410256410256405</v>
      </c>
      <c r="EJ58" s="13">
        <f>IF('Données projet'!$A$192&gt;35,EJ57+EI58-ER57,IF(A58&lt;'Données projet'!$A$192,$EG$205^A58,IF(A58='Données projet'!$A$192,'Données projet'!$B$192,EJ57+EI58-ER57)))</f>
        <v>215.38461538461527</v>
      </c>
      <c r="EK58" s="18">
        <f>EJ58*VLOOKUP('Données projet'!$B$15,Paramètres!$A$1:$I$89,3,0)*VLOOKUP('Données projet'!$B$15,Paramètres!$A$1:$I$89,5,0)</f>
        <v>204.95999999999987</v>
      </c>
      <c r="EL58" s="14">
        <f t="shared" si="45"/>
        <v>50.832666587809335</v>
      </c>
      <c r="EM58" s="22">
        <f t="shared" si="19"/>
        <v>445.50556097376767</v>
      </c>
      <c r="EN58" s="62">
        <f t="shared" si="20"/>
        <v>738.83889430710099</v>
      </c>
      <c r="EO58" s="62">
        <f ca="1">AVERAGE(OFFSET($EN$3,0,0,'Données projet'!$E$15+1,1))-AVERAGE(OFFSET($H$3,0,0,'Données projet'!$E$15+1,1))</f>
        <v>406.24139966722936</v>
      </c>
      <c r="EP58" s="62">
        <f t="shared" si="46"/>
        <v>295.95724296920577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34.615384615384613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9.375</v>
      </c>
      <c r="FE58" s="13">
        <f>IF('Données projet'!$A$218&gt;35,FE57+FD58-FM57,IF(A58&lt;'Données projet'!$A$218,$FB$205^A58,IF(A58='Données projet'!$A$218,'Données projet'!$B$218,FE57+FD58-FM57)))</f>
        <v>250.12499999999994</v>
      </c>
      <c r="FF58" s="18">
        <f>FE58*VLOOKUP('Données projet'!$B$16,Paramètres!$A$1:$I$89,3,0)*VLOOKUP('Données projet'!$B$16,Paramètres!$A$1:$I$89,5,0)</f>
        <v>195.09749999999997</v>
      </c>
      <c r="FG58" s="14">
        <f t="shared" si="47"/>
        <v>48.66519532492584</v>
      </c>
      <c r="FH58" s="22">
        <f t="shared" si="22"/>
        <v>424.55336102424576</v>
      </c>
      <c r="FI58" s="62">
        <f t="shared" si="23"/>
        <v>717.88669435757902</v>
      </c>
      <c r="FJ58" s="62">
        <f ca="1">AVERAGE(OFFSET($FI$3,0,0,'Données projet'!$E$16+1,1))-AVERAGE(OFFSET($H$3,0,0,'Données projet'!$E$16+1,1))</f>
        <v>292.57482726862594</v>
      </c>
      <c r="FK58" s="62">
        <f t="shared" si="48"/>
        <v>283.48738729114024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282</v>
      </c>
      <c r="FX58" s="13">
        <f>VLOOKUP(A58,'Données projet'!$A$243:$I$263,9,0)</f>
        <v>10.199999999999999</v>
      </c>
      <c r="FY58" s="13">
        <f t="array" ref="FY58">INDEX(FX:FX,MIN(IF(ISNUMBER(FX58:FX254),ROW(FX58:FX254),"")))</f>
        <v>10.199999999999999</v>
      </c>
      <c r="FZ58" s="13">
        <f>IF('Données projet'!$A$244&gt;35,FZ57+FY58-GH57,IF(A58&lt;'Données projet'!$A$244,$FW$205^A58,IF(A58='Données projet'!$A$244,'Données projet'!$B$244,FZ57+FY58-GH57)))</f>
        <v>282</v>
      </c>
      <c r="GA58" s="18">
        <f>FZ58*VLOOKUP('Données projet'!$B$17,Paramètres!$A$1:$I$89,3,0)*VLOOKUP('Données projet'!$B$17,Paramètres!$A$1:$I$89,5,0)</f>
        <v>272.75040000000001</v>
      </c>
      <c r="GB58" s="14">
        <f t="shared" si="49"/>
        <v>65.43262883082069</v>
      </c>
      <c r="GC58" s="22">
        <f t="shared" si="25"/>
        <v>589.00210854701277</v>
      </c>
      <c r="GD58" s="62">
        <f t="shared" si="26"/>
        <v>882.33544188034602</v>
      </c>
      <c r="GE58" s="62">
        <f ca="1">AVERAGE(OFFSET($GD$3,0,0,'Données projet'!$E$17+1,1))-AVERAGE(OFFSET($H$3,0,0,'Données projet'!$E$17+1,1))</f>
        <v>562.69380557620775</v>
      </c>
      <c r="GF58" s="62">
        <f t="shared" si="50"/>
        <v>294.45557293177131</v>
      </c>
      <c r="GG58" s="16">
        <f>IF(ISNA(VLOOKUP(A58,'Données projet'!$A$243:$I$263,3,0)),0,VLOOKUP(A58,'Données projet'!$A$243:$I$263,3,0))</f>
        <v>4</v>
      </c>
      <c r="GH58" s="16">
        <f>IF(ISNA(VLOOKUP(A58,'Données projet'!$A$243:$I$263,4,0)),0,VLOOKUP(A58,'Données projet'!$A$243:$I$263,4,0))</f>
        <v>56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529.25712986118265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14.833333333333334</v>
      </c>
      <c r="AI59" s="14">
        <f>IF('Données projet'!$A$62&gt;35,AI58+AH59-AQ58,IF(A59&lt;'Données projet'!$A$62,$AF$205^A59,IF(A59='Données projet'!$A$62,'Données projet'!$B$62,AI58+AH59-AQ58)))</f>
        <v>235.66666666666654</v>
      </c>
      <c r="AJ59" s="14">
        <f>AI59*VLOOKUP('Données projet'!$B$10,Paramètres!$A$1:$I$89,3,0)*VLOOKUP('Données projet'!$B$10,Paramètres!$A$1:$I$89,5,0)</f>
        <v>202.20199999999994</v>
      </c>
      <c r="AK59" s="14">
        <f t="shared" si="35"/>
        <v>50.227791845116698</v>
      </c>
      <c r="AL59" s="22">
        <f t="shared" si="4"/>
        <v>439.6485541302448</v>
      </c>
      <c r="AM59" s="62">
        <f t="shared" si="5"/>
        <v>732.98188746357812</v>
      </c>
      <c r="AN59" s="62">
        <f ca="1">AVERAGE(OFFSET($AM$3,0,0,'Données projet'!$E$10+1,1))-AVERAGE(OFFSET($H$3,0,0,'Données projet'!$E$10+1,1))</f>
        <v>446.86777652265448</v>
      </c>
      <c r="AO59" s="62">
        <f t="shared" si="36"/>
        <v>230.82970731138215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6.2799999999999958</v>
      </c>
      <c r="BD59" s="13">
        <f>IF('Données projet'!$A$88&gt;35,BD58+BC59-BL58,IF(A59&lt;'Données projet'!$A$88,$BA$205^A59,IF(A59='Données projet'!$A$88,'Données projet'!$B$88,BD58+BC59-BL58)))</f>
        <v>284.87999999999994</v>
      </c>
      <c r="BE59" s="14">
        <f>BD59*VLOOKUP('Données projet'!$B$11,Paramètres!$A$1:$I$89,3,0)*VLOOKUP('Données projet'!$B$11,Paramètres!$A$1:$I$89,5,0)</f>
        <v>226.65052799999998</v>
      </c>
      <c r="BF59" s="14">
        <f t="shared" si="37"/>
        <v>55.557830188244751</v>
      </c>
      <c r="BG59" s="22">
        <f t="shared" si="7"/>
        <v>491.51289051119289</v>
      </c>
      <c r="BH59" s="62">
        <f t="shared" si="8"/>
        <v>784.84622384452621</v>
      </c>
      <c r="BI59" s="62">
        <f ca="1">AVERAGE(OFFSET($BH$3,0,0,'Données projet'!$E$11+1,1))-AVERAGE(OFFSET($H$3,0,0,'Données projet'!$E$11+1,1))</f>
        <v>370.59298168107364</v>
      </c>
      <c r="BJ59" s="62">
        <f t="shared" si="38"/>
        <v>404.61777090709171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6.2799999999999958</v>
      </c>
      <c r="BY59" s="13">
        <f>IF('Données projet'!$A$114&gt;35,BY58+BX59-CG58,IF(A59&lt;'Données projet'!$A$114,$BV$205^A59,IF(A59='Données projet'!$A$114,'Données projet'!$B$114,BY58+BX59-CG58)))</f>
        <v>284.87999999999994</v>
      </c>
      <c r="BZ59" s="14">
        <f>BY59*VLOOKUP('Données projet'!$B$12,Paramètres!$A$1:$I$89,3,0)*VLOOKUP('Données projet'!$B$12,Paramètres!$A$1:$I$89,5,0)</f>
        <v>208.87401599999995</v>
      </c>
      <c r="CA59" s="14">
        <f t="shared" si="39"/>
        <v>51.689452927517024</v>
      </c>
      <c r="CB59" s="22">
        <f t="shared" si="10"/>
        <v>453.81470838209202</v>
      </c>
      <c r="CC59" s="62">
        <f t="shared" si="11"/>
        <v>747.14804171542528</v>
      </c>
      <c r="CD59" s="62">
        <f ca="1">AVERAGE(OFFSET($CC$3,0,0,'Données projet'!$E$12+1,1))-AVERAGE(OFFSET($H$3,0,0,'Données projet'!$E$12+1,1))</f>
        <v>344.45199703750711</v>
      </c>
      <c r="CE59" s="62">
        <f t="shared" si="40"/>
        <v>376.41441893222185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6.4</v>
      </c>
      <c r="CT59" s="13">
        <f>IF('Données projet'!$A$140&gt;35,CT58+CS59-DB58,IF(A59&lt;'Données projet'!$A$140,$CQ$205^A59,IF(A59='Données projet'!$A$140,'Données projet'!$B$140,CT58+CS59-DB58)))</f>
        <v>234.40000000000003</v>
      </c>
      <c r="CU59" s="18">
        <f>CT59*VLOOKUP('Données projet'!$B$13,Paramètres!$A$1:$I$89,3,0)*VLOOKUP('Données projet'!$B$13,Paramètres!$A$1:$I$89,5,0)</f>
        <v>153.57888000000003</v>
      </c>
      <c r="CV59" s="14">
        <f t="shared" si="41"/>
        <v>39.390779474606148</v>
      </c>
      <c r="CW59" s="22">
        <f t="shared" si="13"/>
        <v>336.08882358493906</v>
      </c>
      <c r="CX59" s="62">
        <f t="shared" si="14"/>
        <v>629.42215691827232</v>
      </c>
      <c r="CY59" s="62">
        <f ca="1">AVERAGE(OFFSET($CX$3,0,0,'Données projet'!$E$13+1,1))-AVERAGE(OFFSET($H$3,0,0,'Données projet'!$E$13+1,1))</f>
        <v>311.53750850588153</v>
      </c>
      <c r="CZ59" s="62">
        <f t="shared" si="42"/>
        <v>304.84379909635476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273.39999999999998</v>
      </c>
      <c r="DP59" s="18">
        <f>DO59*VLOOKUP('Données projet'!$B$14,Paramètres!$A$1:$I$89,3,0)*VLOOKUP('Données projet'!$B$14,Paramètres!$A$1:$I$89,5,0)</f>
        <v>221.78208000000001</v>
      </c>
      <c r="DQ59" s="14">
        <f t="shared" si="43"/>
        <v>54.502029950220781</v>
      </c>
      <c r="DR59" s="22">
        <f t="shared" si="16"/>
        <v>481.19482482996779</v>
      </c>
      <c r="DS59" s="62">
        <f t="shared" si="17"/>
        <v>774.5281581633011</v>
      </c>
      <c r="DT59" s="62">
        <f ca="1">AVERAGE(OFFSET($DS$3,0,0,'Données projet'!$E$14+1,1))-AVERAGE(OFFSET($H$3,0,0,'Données projet'!$E$14+1,1))</f>
        <v>256.19915261735281</v>
      </c>
      <c r="DU59" s="62">
        <f t="shared" si="44"/>
        <v>297.47246687305056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5.3846153846153815</v>
      </c>
      <c r="EJ59" s="13">
        <f>IF('Données projet'!$A$192&gt;35,EJ58+EI59-ER58,IF(A59&lt;'Données projet'!$A$192,$EG$205^A59,IF(A59='Données projet'!$A$192,'Données projet'!$B$192,EJ58+EI59-ER58)))</f>
        <v>186.15384615384605</v>
      </c>
      <c r="EK59" s="18">
        <f>EJ59*VLOOKUP('Données projet'!$B$15,Paramètres!$A$1:$I$89,3,0)*VLOOKUP('Données projet'!$B$15,Paramètres!$A$1:$I$89,5,0)</f>
        <v>177.14399999999989</v>
      </c>
      <c r="EL59" s="14">
        <f t="shared" si="45"/>
        <v>44.6861885307368</v>
      </c>
      <c r="EM59" s="22">
        <f t="shared" si="19"/>
        <v>386.35424502436632</v>
      </c>
      <c r="EN59" s="62">
        <f t="shared" si="20"/>
        <v>679.68757835769964</v>
      </c>
      <c r="EO59" s="62">
        <f ca="1">AVERAGE(OFFSET($EN$3,0,0,'Données projet'!$E$15+1,1))-AVERAGE(OFFSET($H$3,0,0,'Données projet'!$E$15+1,1))</f>
        <v>406.24139966722936</v>
      </c>
      <c r="EP59" s="62">
        <f t="shared" si="46"/>
        <v>295.95724296920577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9.375</v>
      </c>
      <c r="FE59" s="13">
        <f>IF('Données projet'!$A$218&gt;35,FE58+FD59-FM58,IF(A59&lt;'Données projet'!$A$218,$FB$205^A59,IF(A59='Données projet'!$A$218,'Données projet'!$B$218,FE58+FD59-FM58)))</f>
        <v>259.49999999999994</v>
      </c>
      <c r="FF59" s="18">
        <f>FE59*VLOOKUP('Données projet'!$B$16,Paramètres!$A$1:$I$89,3,0)*VLOOKUP('Données projet'!$B$16,Paramètres!$A$1:$I$89,5,0)</f>
        <v>202.40999999999997</v>
      </c>
      <c r="FG59" s="14">
        <f t="shared" si="47"/>
        <v>50.273442991661867</v>
      </c>
      <c r="FH59" s="22">
        <f t="shared" si="22"/>
        <v>440.09032987714431</v>
      </c>
      <c r="FI59" s="62">
        <f t="shared" si="23"/>
        <v>733.42366321047757</v>
      </c>
      <c r="FJ59" s="62">
        <f ca="1">AVERAGE(OFFSET($FI$3,0,0,'Données projet'!$E$16+1,1))-AVERAGE(OFFSET($H$3,0,0,'Données projet'!$E$16+1,1))</f>
        <v>292.57482726862594</v>
      </c>
      <c r="FK59" s="62">
        <f t="shared" si="48"/>
        <v>283.48738729114024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9.4</v>
      </c>
      <c r="FZ59" s="13">
        <f>IF('Données projet'!$A$244&gt;35,FZ58+FY59-GH58,IF(A59&lt;'Données projet'!$A$244,$FW$205^A59,IF(A59='Données projet'!$A$244,'Données projet'!$B$244,FZ58+FY59-GH58)))</f>
        <v>235.39999999999998</v>
      </c>
      <c r="GA59" s="18">
        <f>FZ59*VLOOKUP('Données projet'!$B$17,Paramètres!$A$1:$I$89,3,0)*VLOOKUP('Données projet'!$B$17,Paramètres!$A$1:$I$89,5,0)</f>
        <v>227.67887999999996</v>
      </c>
      <c r="GB59" s="14">
        <f t="shared" si="49"/>
        <v>55.780505229774469</v>
      </c>
      <c r="GC59" s="22">
        <f t="shared" si="25"/>
        <v>493.69176260852379</v>
      </c>
      <c r="GD59" s="62">
        <f t="shared" si="26"/>
        <v>787.0250959418571</v>
      </c>
      <c r="GE59" s="62">
        <f ca="1">AVERAGE(OFFSET($GD$3,0,0,'Données projet'!$E$17+1,1))-AVERAGE(OFFSET($H$3,0,0,'Données projet'!$E$17+1,1))</f>
        <v>562.69380557620775</v>
      </c>
      <c r="GF59" s="62">
        <f t="shared" si="50"/>
        <v>294.45557293177131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529.25712986118265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14.833333333333334</v>
      </c>
      <c r="AI60" s="14">
        <f>IF('Données projet'!$A$62&gt;35,AI59+AH60-AQ59,IF(A60&lt;'Données projet'!$A$62,$AF$205^A60,IF(A60='Données projet'!$A$62,'Données projet'!$B$62,AI59+AH60-AQ59)))</f>
        <v>250.49999999999989</v>
      </c>
      <c r="AJ60" s="14">
        <f>AI60*VLOOKUP('Données projet'!$B$10,Paramètres!$A$1:$I$89,3,0)*VLOOKUP('Données projet'!$B$10,Paramètres!$A$1:$I$89,5,0)</f>
        <v>214.92899999999992</v>
      </c>
      <c r="AK60" s="14">
        <f t="shared" si="35"/>
        <v>53.011237531572512</v>
      </c>
      <c r="AL60" s="22">
        <f t="shared" si="4"/>
        <v>466.66258036748872</v>
      </c>
      <c r="AM60" s="62">
        <f t="shared" si="5"/>
        <v>759.99591370082203</v>
      </c>
      <c r="AN60" s="62">
        <f ca="1">AVERAGE(OFFSET($AM$3,0,0,'Données projet'!$E$10+1,1))-AVERAGE(OFFSET($H$3,0,0,'Données projet'!$E$10+1,1))</f>
        <v>446.86777652265448</v>
      </c>
      <c r="AO60" s="62">
        <f t="shared" si="36"/>
        <v>230.82970731138215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6.2799999999999958</v>
      </c>
      <c r="BD60" s="13">
        <f>IF('Données projet'!$A$88&gt;35,BD59+BC60-BL59,IF(A60&lt;'Données projet'!$A$88,$BA$205^A60,IF(A60='Données projet'!$A$88,'Données projet'!$B$88,BD59+BC60-BL59)))</f>
        <v>291.15999999999991</v>
      </c>
      <c r="BE60" s="14">
        <f>BD60*VLOOKUP('Données projet'!$B$11,Paramètres!$A$1:$I$89,3,0)*VLOOKUP('Données projet'!$B$11,Paramètres!$A$1:$I$89,5,0)</f>
        <v>231.64689599999994</v>
      </c>
      <c r="BF60" s="14">
        <f t="shared" si="37"/>
        <v>56.63863094599396</v>
      </c>
      <c r="BG60" s="22">
        <f t="shared" si="7"/>
        <v>502.09729276427265</v>
      </c>
      <c r="BH60" s="62">
        <f t="shared" si="8"/>
        <v>795.43062609760591</v>
      </c>
      <c r="BI60" s="62">
        <f ca="1">AVERAGE(OFFSET($BH$3,0,0,'Données projet'!$E$11+1,1))-AVERAGE(OFFSET($H$3,0,0,'Données projet'!$E$11+1,1))</f>
        <v>370.59298168107364</v>
      </c>
      <c r="BJ60" s="62">
        <f t="shared" si="38"/>
        <v>404.61777090709171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6.2799999999999958</v>
      </c>
      <c r="BY60" s="13">
        <f>IF('Données projet'!$A$114&gt;35,BY59+BX60-CG59,IF(A60&lt;'Données projet'!$A$114,$BV$205^A60,IF(A60='Données projet'!$A$114,'Données projet'!$B$114,BY59+BX60-CG59)))</f>
        <v>291.15999999999991</v>
      </c>
      <c r="BZ60" s="14">
        <f>BY60*VLOOKUP('Données projet'!$B$12,Paramètres!$A$1:$I$89,3,0)*VLOOKUP('Données projet'!$B$12,Paramètres!$A$1:$I$89,5,0)</f>
        <v>213.47851199999994</v>
      </c>
      <c r="CA60" s="14">
        <f t="shared" si="39"/>
        <v>52.694999755073347</v>
      </c>
      <c r="CB60" s="22">
        <f t="shared" si="10"/>
        <v>463.58553297341928</v>
      </c>
      <c r="CC60" s="62">
        <f t="shared" si="11"/>
        <v>756.91886630675253</v>
      </c>
      <c r="CD60" s="62">
        <f ca="1">AVERAGE(OFFSET($CC$3,0,0,'Données projet'!$E$12+1,1))-AVERAGE(OFFSET($H$3,0,0,'Données projet'!$E$12+1,1))</f>
        <v>344.45199703750711</v>
      </c>
      <c r="CE60" s="62">
        <f t="shared" si="40"/>
        <v>376.41441893222185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6.4</v>
      </c>
      <c r="CT60" s="13">
        <f>IF('Données projet'!$A$140&gt;35,CT59+CS60-DB59,IF(A60&lt;'Données projet'!$A$140,$CQ$205^A60,IF(A60='Données projet'!$A$140,'Données projet'!$B$140,CT59+CS60-DB59)))</f>
        <v>240.80000000000004</v>
      </c>
      <c r="CU60" s="18">
        <f>CT60*VLOOKUP('Données projet'!$B$13,Paramètres!$A$1:$I$89,3,0)*VLOOKUP('Données projet'!$B$13,Paramètres!$A$1:$I$89,5,0)</f>
        <v>157.77216000000001</v>
      </c>
      <c r="CV60" s="14">
        <f t="shared" si="41"/>
        <v>40.339610539653599</v>
      </c>
      <c r="CW60" s="22">
        <f t="shared" si="13"/>
        <v>345.04466702323003</v>
      </c>
      <c r="CX60" s="62">
        <f t="shared" si="14"/>
        <v>638.37800035656335</v>
      </c>
      <c r="CY60" s="62">
        <f ca="1">AVERAGE(OFFSET($CX$3,0,0,'Données projet'!$E$13+1,1))-AVERAGE(OFFSET($H$3,0,0,'Données projet'!$E$13+1,1))</f>
        <v>311.53750850588153</v>
      </c>
      <c r="CZ60" s="62">
        <f t="shared" si="42"/>
        <v>304.84379909635476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280.79999999999995</v>
      </c>
      <c r="DP60" s="18">
        <f>DO60*VLOOKUP('Données projet'!$B$14,Paramètres!$A$1:$I$89,3,0)*VLOOKUP('Données projet'!$B$14,Paramètres!$A$1:$I$89,5,0)</f>
        <v>227.78495999999998</v>
      </c>
      <c r="DQ60" s="14">
        <f t="shared" si="43"/>
        <v>55.803468680001743</v>
      </c>
      <c r="DR60" s="22">
        <f t="shared" si="16"/>
        <v>493.91651328433619</v>
      </c>
      <c r="DS60" s="62">
        <f t="shared" si="17"/>
        <v>787.2498466176695</v>
      </c>
      <c r="DT60" s="62">
        <f ca="1">AVERAGE(OFFSET($DS$3,0,0,'Données projet'!$E$14+1,1))-AVERAGE(OFFSET($H$3,0,0,'Données projet'!$E$14+1,1))</f>
        <v>256.19915261735281</v>
      </c>
      <c r="DU60" s="62">
        <f t="shared" si="44"/>
        <v>297.47246687305056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5.3846153846153815</v>
      </c>
      <c r="EJ60" s="13">
        <f>IF('Données projet'!$A$192&gt;35,EJ59+EI60-ER59,IF(A60&lt;'Données projet'!$A$192,$EG$205^A60,IF(A60='Données projet'!$A$192,'Données projet'!$B$192,EJ59+EI60-ER59)))</f>
        <v>191.53846153846143</v>
      </c>
      <c r="EK60" s="18">
        <f>EJ60*VLOOKUP('Données projet'!$B$15,Paramètres!$A$1:$I$89,3,0)*VLOOKUP('Données projet'!$B$15,Paramètres!$A$1:$I$89,5,0)</f>
        <v>182.26799999999992</v>
      </c>
      <c r="EL60" s="14">
        <f t="shared" si="45"/>
        <v>45.82640608003836</v>
      </c>
      <c r="EM60" s="22">
        <f t="shared" si="19"/>
        <v>397.26442392273333</v>
      </c>
      <c r="EN60" s="62">
        <f t="shared" si="20"/>
        <v>690.59775725606664</v>
      </c>
      <c r="EO60" s="62">
        <f ca="1">AVERAGE(OFFSET($EN$3,0,0,'Données projet'!$E$15+1,1))-AVERAGE(OFFSET($H$3,0,0,'Données projet'!$E$15+1,1))</f>
        <v>406.24139966722936</v>
      </c>
      <c r="EP60" s="62">
        <f t="shared" si="46"/>
        <v>295.95724296920577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9.375</v>
      </c>
      <c r="FE60" s="13">
        <f>IF('Données projet'!$A$218&gt;35,FE59+FD60-FM59,IF(A60&lt;'Données projet'!$A$218,$FB$205^A60,IF(A60='Données projet'!$A$218,'Données projet'!$B$218,FE59+FD60-FM59)))</f>
        <v>268.87499999999994</v>
      </c>
      <c r="FF60" s="18">
        <f>FE60*VLOOKUP('Données projet'!$B$16,Paramètres!$A$1:$I$89,3,0)*VLOOKUP('Données projet'!$B$16,Paramètres!$A$1:$I$89,5,0)</f>
        <v>209.72249999999997</v>
      </c>
      <c r="FG60" s="14">
        <f t="shared" si="47"/>
        <v>51.874940300502296</v>
      </c>
      <c r="FH60" s="22">
        <f t="shared" si="22"/>
        <v>455.61554185670815</v>
      </c>
      <c r="FI60" s="62">
        <f t="shared" si="23"/>
        <v>748.94887519004146</v>
      </c>
      <c r="FJ60" s="62">
        <f ca="1">AVERAGE(OFFSET($FI$3,0,0,'Données projet'!$E$16+1,1))-AVERAGE(OFFSET($H$3,0,0,'Données projet'!$E$16+1,1))</f>
        <v>292.57482726862594</v>
      </c>
      <c r="FK60" s="62">
        <f t="shared" si="48"/>
        <v>283.48738729114024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9.4</v>
      </c>
      <c r="FZ60" s="13">
        <f>IF('Données projet'!$A$244&gt;35,FZ59+FY60-GH59,IF(A60&lt;'Données projet'!$A$244,$FW$205^A60,IF(A60='Données projet'!$A$244,'Données projet'!$B$244,FZ59+FY60-GH59)))</f>
        <v>244.79999999999998</v>
      </c>
      <c r="GA60" s="18">
        <f>FZ60*VLOOKUP('Données projet'!$B$17,Paramètres!$A$1:$I$89,3,0)*VLOOKUP('Données projet'!$B$17,Paramètres!$A$1:$I$89,5,0)</f>
        <v>236.77055999999999</v>
      </c>
      <c r="GB60" s="14">
        <f t="shared" si="49"/>
        <v>57.744153841586929</v>
      </c>
      <c r="GC60" s="22">
        <f t="shared" si="25"/>
        <v>512.94645994076382</v>
      </c>
      <c r="GD60" s="62">
        <f t="shared" si="26"/>
        <v>806.27979327409707</v>
      </c>
      <c r="GE60" s="62">
        <f ca="1">AVERAGE(OFFSET($GD$3,0,0,'Données projet'!$E$17+1,1))-AVERAGE(OFFSET($H$3,0,0,'Données projet'!$E$17+1,1))</f>
        <v>562.69380557620775</v>
      </c>
      <c r="GF60" s="62">
        <f t="shared" si="50"/>
        <v>294.45557293177131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529.25712986118265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14.833333333333334</v>
      </c>
      <c r="AI61" s="14">
        <f>IF('Données projet'!$A$62&gt;35,AI60+AH61-AQ60,IF(A61&lt;'Données projet'!$A$62,$AF$205^A61,IF(A61='Données projet'!$A$62,'Données projet'!$B$62,AI60+AH61-AQ60)))</f>
        <v>265.3333333333332</v>
      </c>
      <c r="AJ61" s="14">
        <f>AI61*VLOOKUP('Données projet'!$B$10,Paramètres!$A$1:$I$89,3,0)*VLOOKUP('Données projet'!$B$10,Paramètres!$A$1:$I$89,5,0)</f>
        <v>227.65599999999992</v>
      </c>
      <c r="AK61" s="14">
        <f t="shared" si="35"/>
        <v>55.775552165489643</v>
      </c>
      <c r="AL61" s="22">
        <f t="shared" si="4"/>
        <v>493.64328668822759</v>
      </c>
      <c r="AM61" s="62">
        <f t="shared" si="5"/>
        <v>786.97662002156085</v>
      </c>
      <c r="AN61" s="62">
        <f ca="1">AVERAGE(OFFSET($AM$3,0,0,'Données projet'!$E$10+1,1))-AVERAGE(OFFSET($H$3,0,0,'Données projet'!$E$10+1,1))</f>
        <v>446.86777652265448</v>
      </c>
      <c r="AO61" s="62">
        <f t="shared" si="36"/>
        <v>230.82970731138215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6.2799999999999958</v>
      </c>
      <c r="BD61" s="13">
        <f>IF('Données projet'!$A$88&gt;35,BD60+BC61-BL60,IF(A61&lt;'Données projet'!$A$88,$BA$205^A61,IF(A61='Données projet'!$A$88,'Données projet'!$B$88,BD60+BC61-BL60)))</f>
        <v>297.43999999999988</v>
      </c>
      <c r="BE61" s="14">
        <f>BD61*VLOOKUP('Données projet'!$B$11,Paramètres!$A$1:$I$89,3,0)*VLOOKUP('Données projet'!$B$11,Paramètres!$A$1:$I$89,5,0)</f>
        <v>236.64326399999993</v>
      </c>
      <c r="BF61" s="14">
        <f t="shared" si="37"/>
        <v>57.716721405473052</v>
      </c>
      <c r="BG61" s="22">
        <f t="shared" si="7"/>
        <v>512.67697458119881</v>
      </c>
      <c r="BH61" s="62">
        <f t="shared" si="8"/>
        <v>806.01030791453218</v>
      </c>
      <c r="BI61" s="62">
        <f ca="1">AVERAGE(OFFSET($BH$3,0,0,'Données projet'!$E$11+1,1))-AVERAGE(OFFSET($H$3,0,0,'Données projet'!$E$11+1,1))</f>
        <v>370.59298168107364</v>
      </c>
      <c r="BJ61" s="62">
        <f t="shared" si="38"/>
        <v>404.61777090709171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6.2799999999999958</v>
      </c>
      <c r="BY61" s="13">
        <f>IF('Données projet'!$A$114&gt;35,BY60+BX61-CG60,IF(A61&lt;'Données projet'!$A$114,$BV$205^A61,IF(A61='Données projet'!$A$114,'Données projet'!$B$114,BY60+BX61-CG60)))</f>
        <v>297.43999999999988</v>
      </c>
      <c r="BZ61" s="14">
        <f>BY61*VLOOKUP('Données projet'!$B$12,Paramètres!$A$1:$I$89,3,0)*VLOOKUP('Données projet'!$B$12,Paramètres!$A$1:$I$89,5,0)</f>
        <v>218.08300799999989</v>
      </c>
      <c r="CA61" s="14">
        <f t="shared" si="39"/>
        <v>53.698024996844545</v>
      </c>
      <c r="CB61" s="22">
        <f t="shared" si="10"/>
        <v>473.35196580283736</v>
      </c>
      <c r="CC61" s="62">
        <f t="shared" si="11"/>
        <v>766.68529913617067</v>
      </c>
      <c r="CD61" s="62">
        <f ca="1">AVERAGE(OFFSET($CC$3,0,0,'Données projet'!$E$12+1,1))-AVERAGE(OFFSET($H$3,0,0,'Données projet'!$E$12+1,1))</f>
        <v>344.45199703750711</v>
      </c>
      <c r="CE61" s="62">
        <f t="shared" si="40"/>
        <v>376.41441893222185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6.4</v>
      </c>
      <c r="CT61" s="13">
        <f>IF('Données projet'!$A$140&gt;35,CT60+CS61-DB60,IF(A61&lt;'Données projet'!$A$140,$CQ$205^A61,IF(A61='Données projet'!$A$140,'Données projet'!$B$140,CT60+CS61-DB60)))</f>
        <v>247.20000000000005</v>
      </c>
      <c r="CU61" s="18">
        <f>CT61*VLOOKUP('Données projet'!$B$13,Paramètres!$A$1:$I$89,3,0)*VLOOKUP('Données projet'!$B$13,Paramètres!$A$1:$I$89,5,0)</f>
        <v>161.96544000000003</v>
      </c>
      <c r="CV61" s="14">
        <f t="shared" si="41"/>
        <v>41.285510388923619</v>
      </c>
      <c r="CW61" s="22">
        <f t="shared" si="13"/>
        <v>353.99540526070876</v>
      </c>
      <c r="CX61" s="62">
        <f t="shared" si="14"/>
        <v>647.32873859404208</v>
      </c>
      <c r="CY61" s="62">
        <f ca="1">AVERAGE(OFFSET($CX$3,0,0,'Données projet'!$E$13+1,1))-AVERAGE(OFFSET($H$3,0,0,'Données projet'!$E$13+1,1))</f>
        <v>311.53750850588153</v>
      </c>
      <c r="CZ61" s="62">
        <f t="shared" si="42"/>
        <v>304.84379909635476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288.19999999999993</v>
      </c>
      <c r="DP61" s="18">
        <f>DO61*VLOOKUP('Données projet'!$B$14,Paramètres!$A$1:$I$89,3,0)*VLOOKUP('Données projet'!$B$14,Paramètres!$A$1:$I$89,5,0)</f>
        <v>233.78783999999996</v>
      </c>
      <c r="DQ61" s="14">
        <f t="shared" si="43"/>
        <v>57.100920847849451</v>
      </c>
      <c r="DR61" s="22">
        <f t="shared" si="16"/>
        <v>506.63125847667106</v>
      </c>
      <c r="DS61" s="62">
        <f t="shared" si="17"/>
        <v>799.96459181000432</v>
      </c>
      <c r="DT61" s="62">
        <f ca="1">AVERAGE(OFFSET($DS$3,0,0,'Données projet'!$E$14+1,1))-AVERAGE(OFFSET($H$3,0,0,'Données projet'!$E$14+1,1))</f>
        <v>256.19915261735281</v>
      </c>
      <c r="DU61" s="62">
        <f t="shared" si="44"/>
        <v>297.47246687305056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5.3846153846153815</v>
      </c>
      <c r="EJ61" s="13">
        <f>IF('Données projet'!$A$192&gt;35,EJ60+EI61-ER60,IF(A61&lt;'Données projet'!$A$192,$EG$205^A61,IF(A61='Données projet'!$A$192,'Données projet'!$B$192,EJ60+EI61-ER60)))</f>
        <v>196.92307692307682</v>
      </c>
      <c r="EK61" s="18">
        <f>EJ61*VLOOKUP('Données projet'!$B$15,Paramètres!$A$1:$I$89,3,0)*VLOOKUP('Données projet'!$B$15,Paramètres!$A$1:$I$89,5,0)</f>
        <v>187.39199999999988</v>
      </c>
      <c r="EL61" s="14">
        <f t="shared" si="45"/>
        <v>46.962898087285787</v>
      </c>
      <c r="EM61" s="22">
        <f t="shared" si="19"/>
        <v>408.16811416868921</v>
      </c>
      <c r="EN61" s="62">
        <f t="shared" si="20"/>
        <v>701.50144750202253</v>
      </c>
      <c r="EO61" s="62">
        <f ca="1">AVERAGE(OFFSET($EN$3,0,0,'Données projet'!$E$15+1,1))-AVERAGE(OFFSET($H$3,0,0,'Données projet'!$E$15+1,1))</f>
        <v>406.24139966722936</v>
      </c>
      <c r="EP61" s="62">
        <f t="shared" si="46"/>
        <v>295.95724296920577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9.375</v>
      </c>
      <c r="FE61" s="13">
        <f>IF('Données projet'!$A$218&gt;35,FE60+FD61-FM60,IF(A61&lt;'Données projet'!$A$218,$FB$205^A61,IF(A61='Données projet'!$A$218,'Données projet'!$B$218,FE60+FD61-FM60)))</f>
        <v>278.24999999999994</v>
      </c>
      <c r="FF61" s="18">
        <f>FE61*VLOOKUP('Données projet'!$B$16,Paramètres!$A$1:$I$89,3,0)*VLOOKUP('Données projet'!$B$16,Paramètres!$A$1:$I$89,5,0)</f>
        <v>217.03499999999997</v>
      </c>
      <c r="FG61" s="14">
        <f t="shared" si="47"/>
        <v>53.469949591969474</v>
      </c>
      <c r="FH61" s="22">
        <f t="shared" si="22"/>
        <v>471.12945387268002</v>
      </c>
      <c r="FI61" s="62">
        <f t="shared" si="23"/>
        <v>764.46278720601333</v>
      </c>
      <c r="FJ61" s="62">
        <f ca="1">AVERAGE(OFFSET($FI$3,0,0,'Données projet'!$E$16+1,1))-AVERAGE(OFFSET($H$3,0,0,'Données projet'!$E$16+1,1))</f>
        <v>292.57482726862594</v>
      </c>
      <c r="FK61" s="62">
        <f t="shared" si="48"/>
        <v>283.48738729114024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9.4</v>
      </c>
      <c r="FZ61" s="13">
        <f>IF('Données projet'!$A$244&gt;35,FZ60+FY61-GH60,IF(A61&lt;'Données projet'!$A$244,$FW$205^A61,IF(A61='Données projet'!$A$244,'Données projet'!$B$244,FZ60+FY61-GH60)))</f>
        <v>254.2</v>
      </c>
      <c r="GA61" s="18">
        <f>FZ61*VLOOKUP('Données projet'!$B$17,Paramètres!$A$1:$I$89,3,0)*VLOOKUP('Données projet'!$B$17,Paramètres!$A$1:$I$89,5,0)</f>
        <v>245.86223999999999</v>
      </c>
      <c r="GB61" s="14">
        <f t="shared" si="49"/>
        <v>59.699043025687963</v>
      </c>
      <c r="GC61" s="22">
        <f t="shared" si="25"/>
        <v>532.18590126973982</v>
      </c>
      <c r="GD61" s="62">
        <f t="shared" si="26"/>
        <v>825.51923460307307</v>
      </c>
      <c r="GE61" s="62">
        <f ca="1">AVERAGE(OFFSET($GD$3,0,0,'Données projet'!$E$17+1,1))-AVERAGE(OFFSET($H$3,0,0,'Données projet'!$E$17+1,1))</f>
        <v>562.69380557620775</v>
      </c>
      <c r="GF61" s="62">
        <f t="shared" si="50"/>
        <v>294.45557293177131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529.25712986118265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14.833333333333334</v>
      </c>
      <c r="AI62" s="14">
        <f>IF('Données projet'!$A$62&gt;35,AI61+AH62-AQ61,IF(A62&lt;'Données projet'!$A$62,$AF$205^A62,IF(A62='Données projet'!$A$62,'Données projet'!$B$62,AI61+AH62-AQ61)))</f>
        <v>280.16666666666652</v>
      </c>
      <c r="AJ62" s="14">
        <f>AI62*VLOOKUP('Données projet'!$B$10,Paramètres!$A$1:$I$89,3,0)*VLOOKUP('Données projet'!$B$10,Paramètres!$A$1:$I$89,5,0)</f>
        <v>240.38299999999987</v>
      </c>
      <c r="AK62" s="14">
        <f t="shared" si="35"/>
        <v>58.521927148992098</v>
      </c>
      <c r="AL62" s="22">
        <f t="shared" si="4"/>
        <v>520.59274811782768</v>
      </c>
      <c r="AM62" s="62">
        <f t="shared" si="5"/>
        <v>813.92608145116105</v>
      </c>
      <c r="AN62" s="62">
        <f ca="1">AVERAGE(OFFSET($AM$3,0,0,'Données projet'!$E$10+1,1))-AVERAGE(OFFSET($H$3,0,0,'Données projet'!$E$10+1,1))</f>
        <v>446.86777652265448</v>
      </c>
      <c r="AO62" s="62">
        <f t="shared" si="36"/>
        <v>230.82970731138215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6.2799999999999958</v>
      </c>
      <c r="BD62" s="13">
        <f>IF('Données projet'!$A$88&gt;35,BD61+BC62-BL61,IF(A62&lt;'Données projet'!$A$88,$BA$205^A62,IF(A62='Données projet'!$A$88,'Données projet'!$B$88,BD61+BC62-BL61)))</f>
        <v>303.71999999999986</v>
      </c>
      <c r="BE62" s="14">
        <f>BD62*VLOOKUP('Données projet'!$B$11,Paramètres!$A$1:$I$89,3,0)*VLOOKUP('Données projet'!$B$11,Paramètres!$A$1:$I$89,5,0)</f>
        <v>241.63963199999992</v>
      </c>
      <c r="BF62" s="14">
        <f t="shared" si="37"/>
        <v>58.792165382566672</v>
      </c>
      <c r="BG62" s="22">
        <f t="shared" si="7"/>
        <v>523.25204710797016</v>
      </c>
      <c r="BH62" s="62">
        <f t="shared" si="8"/>
        <v>816.58538044130341</v>
      </c>
      <c r="BI62" s="62">
        <f ca="1">AVERAGE(OFFSET($BH$3,0,0,'Données projet'!$E$11+1,1))-AVERAGE(OFFSET($H$3,0,0,'Données projet'!$E$11+1,1))</f>
        <v>370.59298168107364</v>
      </c>
      <c r="BJ62" s="62">
        <f t="shared" si="38"/>
        <v>404.61777090709171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6.2799999999999958</v>
      </c>
      <c r="BY62" s="13">
        <f>IF('Données projet'!$A$114&gt;35,BY61+BX62-CG61,IF(A62&lt;'Données projet'!$A$114,$BV$205^A62,IF(A62='Données projet'!$A$114,'Données projet'!$B$114,BY61+BX62-CG61)))</f>
        <v>303.71999999999986</v>
      </c>
      <c r="BZ62" s="14">
        <f>BY62*VLOOKUP('Données projet'!$B$12,Paramètres!$A$1:$I$89,3,0)*VLOOKUP('Données projet'!$B$12,Paramètres!$A$1:$I$89,5,0)</f>
        <v>222.68750399999988</v>
      </c>
      <c r="CA62" s="14">
        <f t="shared" si="39"/>
        <v>54.698588025346766</v>
      </c>
      <c r="CB62" s="22">
        <f t="shared" si="10"/>
        <v>483.1141102774788</v>
      </c>
      <c r="CC62" s="62">
        <f t="shared" si="11"/>
        <v>776.44744361081212</v>
      </c>
      <c r="CD62" s="62">
        <f ca="1">AVERAGE(OFFSET($CC$3,0,0,'Données projet'!$E$12+1,1))-AVERAGE(OFFSET($H$3,0,0,'Données projet'!$E$12+1,1))</f>
        <v>344.45199703750711</v>
      </c>
      <c r="CE62" s="62">
        <f t="shared" si="40"/>
        <v>376.41441893222185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6.4</v>
      </c>
      <c r="CT62" s="13">
        <f>IF('Données projet'!$A$140&gt;35,CT61+CS62-DB61,IF(A62&lt;'Données projet'!$A$140,$CQ$205^A62,IF(A62='Données projet'!$A$140,'Données projet'!$B$140,CT61+CS62-DB61)))</f>
        <v>253.60000000000005</v>
      </c>
      <c r="CU62" s="18">
        <f>CT62*VLOOKUP('Données projet'!$B$13,Paramètres!$A$1:$I$89,3,0)*VLOOKUP('Données projet'!$B$13,Paramètres!$A$1:$I$89,5,0)</f>
        <v>166.15872000000002</v>
      </c>
      <c r="CV62" s="14">
        <f t="shared" si="41"/>
        <v>42.228563636586422</v>
      </c>
      <c r="CW62" s="22">
        <f t="shared" si="13"/>
        <v>362.9411856670547</v>
      </c>
      <c r="CX62" s="62">
        <f t="shared" si="14"/>
        <v>656.27451900038795</v>
      </c>
      <c r="CY62" s="62">
        <f ca="1">AVERAGE(OFFSET($CX$3,0,0,'Données projet'!$E$13+1,1))-AVERAGE(OFFSET($H$3,0,0,'Données projet'!$E$13+1,1))</f>
        <v>311.53750850588153</v>
      </c>
      <c r="CZ62" s="62">
        <f t="shared" si="42"/>
        <v>304.84379909635476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295.59999999999991</v>
      </c>
      <c r="DP62" s="18">
        <f>DO62*VLOOKUP('Données projet'!$B$14,Paramètres!$A$1:$I$89,3,0)*VLOOKUP('Données projet'!$B$14,Paramètres!$A$1:$I$89,5,0)</f>
        <v>239.79071999999994</v>
      </c>
      <c r="DQ62" s="14">
        <f t="shared" si="43"/>
        <v>58.394500584818381</v>
      </c>
      <c r="DR62" s="22">
        <f t="shared" si="16"/>
        <v>519.33925918522516</v>
      </c>
      <c r="DS62" s="62">
        <f t="shared" si="17"/>
        <v>812.67259251855853</v>
      </c>
      <c r="DT62" s="62">
        <f ca="1">AVERAGE(OFFSET($DS$3,0,0,'Données projet'!$E$14+1,1))-AVERAGE(OFFSET($H$3,0,0,'Données projet'!$E$14+1,1))</f>
        <v>256.19915261735281</v>
      </c>
      <c r="DU62" s="62">
        <f t="shared" si="44"/>
        <v>297.47246687305056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5.3846153846153815</v>
      </c>
      <c r="EJ62" s="13">
        <f>IF('Données projet'!$A$192&gt;35,EJ61+EI62-ER61,IF(A62&lt;'Données projet'!$A$192,$EG$205^A62,IF(A62='Données projet'!$A$192,'Données projet'!$B$192,EJ61+EI62-ER61)))</f>
        <v>202.30769230769221</v>
      </c>
      <c r="EK62" s="18">
        <f>EJ62*VLOOKUP('Données projet'!$B$15,Paramètres!$A$1:$I$89,3,0)*VLOOKUP('Données projet'!$B$15,Paramètres!$A$1:$I$89,5,0)</f>
        <v>192.51599999999991</v>
      </c>
      <c r="EL62" s="14">
        <f t="shared" si="45"/>
        <v>48.095778128339838</v>
      </c>
      <c r="EM62" s="22">
        <f t="shared" si="19"/>
        <v>419.06551357352504</v>
      </c>
      <c r="EN62" s="62">
        <f t="shared" si="20"/>
        <v>712.39884690685835</v>
      </c>
      <c r="EO62" s="62">
        <f ca="1">AVERAGE(OFFSET($EN$3,0,0,'Données projet'!$E$15+1,1))-AVERAGE(OFFSET($H$3,0,0,'Données projet'!$E$15+1,1))</f>
        <v>406.24139966722936</v>
      </c>
      <c r="EP62" s="62">
        <f t="shared" si="46"/>
        <v>295.95724296920577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9.375</v>
      </c>
      <c r="FE62" s="13">
        <f>IF('Données projet'!$A$218&gt;35,FE61+FD62-FM61,IF(A62&lt;'Données projet'!$A$218,$FB$205^A62,IF(A62='Données projet'!$A$218,'Données projet'!$B$218,FE61+FD62-FM61)))</f>
        <v>287.62499999999994</v>
      </c>
      <c r="FF62" s="18">
        <f>FE62*VLOOKUP('Données projet'!$B$16,Paramètres!$A$1:$I$89,3,0)*VLOOKUP('Données projet'!$B$16,Paramètres!$A$1:$I$89,5,0)</f>
        <v>224.34749999999997</v>
      </c>
      <c r="FG62" s="14">
        <f t="shared" si="47"/>
        <v>55.058714525680479</v>
      </c>
      <c r="FH62" s="22">
        <f t="shared" si="22"/>
        <v>486.63249029889352</v>
      </c>
      <c r="FI62" s="62">
        <f t="shared" si="23"/>
        <v>779.96582363222683</v>
      </c>
      <c r="FJ62" s="62">
        <f ca="1">AVERAGE(OFFSET($FI$3,0,0,'Données projet'!$E$16+1,1))-AVERAGE(OFFSET($H$3,0,0,'Données projet'!$E$16+1,1))</f>
        <v>292.57482726862594</v>
      </c>
      <c r="FK62" s="62">
        <f t="shared" si="48"/>
        <v>283.48738729114024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9.4</v>
      </c>
      <c r="FZ62" s="13">
        <f>IF('Données projet'!$A$244&gt;35,FZ61+FY62-GH61,IF(A62&lt;'Données projet'!$A$244,$FW$205^A62,IF(A62='Données projet'!$A$244,'Données projet'!$B$244,FZ61+FY62-GH61)))</f>
        <v>263.59999999999997</v>
      </c>
      <c r="GA62" s="18">
        <f>FZ62*VLOOKUP('Données projet'!$B$17,Paramètres!$A$1:$I$89,3,0)*VLOOKUP('Données projet'!$B$17,Paramètres!$A$1:$I$89,5,0)</f>
        <v>254.95391999999998</v>
      </c>
      <c r="GB62" s="14">
        <f t="shared" si="49"/>
        <v>61.645533788540583</v>
      </c>
      <c r="GC62" s="22">
        <f t="shared" si="25"/>
        <v>551.41071534837477</v>
      </c>
      <c r="GD62" s="62">
        <f t="shared" si="26"/>
        <v>844.74404868170814</v>
      </c>
      <c r="GE62" s="62">
        <f ca="1">AVERAGE(OFFSET($GD$3,0,0,'Données projet'!$E$17+1,1))-AVERAGE(OFFSET($H$3,0,0,'Données projet'!$E$17+1,1))</f>
        <v>562.69380557620775</v>
      </c>
      <c r="GF62" s="62">
        <f t="shared" si="50"/>
        <v>294.45557293177131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529.25712986118265</v>
      </c>
      <c r="T63" s="62">
        <f t="shared" si="34"/>
        <v>278.21741231699929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295</v>
      </c>
      <c r="AG63" s="13">
        <f>VLOOKUP(A63,'Données projet'!$A$61:$I$81,9,0)</f>
        <v>14.833333333333334</v>
      </c>
      <c r="AH63" s="13">
        <f t="array" ref="AH63">INDEX(AG:AG,MIN(IF(ISNUMBER(AG63:AG259),ROW(AG63:AG259),"")))</f>
        <v>14.833333333333334</v>
      </c>
      <c r="AI63" s="14">
        <f>IF('Données projet'!$A$62&gt;35,AI62+AH63-AQ62,IF(A63&lt;'Données projet'!$A$62,$AF$205^A63,IF(A63='Données projet'!$A$62,'Données projet'!$B$62,AI62+AH63-AQ62)))</f>
        <v>294.99999999999983</v>
      </c>
      <c r="AJ63" s="14">
        <f>AI63*VLOOKUP('Données projet'!$B$10,Paramètres!$A$1:$I$89,3,0)*VLOOKUP('Données projet'!$B$10,Paramètres!$A$1:$I$89,5,0)</f>
        <v>253.10999999999987</v>
      </c>
      <c r="AK63" s="14">
        <f t="shared" si="35"/>
        <v>61.251420602177625</v>
      </c>
      <c r="AL63" s="22">
        <f t="shared" si="4"/>
        <v>547.51280754879247</v>
      </c>
      <c r="AM63" s="62">
        <f t="shared" si="5"/>
        <v>840.84614088212584</v>
      </c>
      <c r="AN63" s="62">
        <f ca="1">AVERAGE(OFFSET($AM$3,0,0,'Données projet'!$E$10+1,1))-AVERAGE(OFFSET($H$3,0,0,'Données projet'!$E$10+1,1))</f>
        <v>446.86777652265448</v>
      </c>
      <c r="AO63" s="62">
        <f t="shared" si="36"/>
        <v>230.82970731138215</v>
      </c>
      <c r="AP63" s="16">
        <f>IF(ISNA(VLOOKUP(A63,'Données projet'!$A$61:$I$81,3,0)),0,VLOOKUP(A63,'Données projet'!$A$61:$I$81,3,0))</f>
        <v>7</v>
      </c>
      <c r="AQ63" s="16">
        <f>IF(ISNA(VLOOKUP(A63,'Données projet'!$A$61:$I$81,4,0)),0,VLOOKUP(A63,'Données projet'!$A$61:$I$81,4,0))</f>
        <v>61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310</v>
      </c>
      <c r="BB63" s="13">
        <f>VLOOKUP(A63,'Données projet'!$A$87:$I$107,9,0)</f>
        <v>6.2799999999999958</v>
      </c>
      <c r="BC63" s="13">
        <f t="array" ref="BC63">INDEX(BB:BB,MIN(IF(ISNUMBER(BB63:BB259),ROW(BB63:BB259),"")))</f>
        <v>6.2799999999999958</v>
      </c>
      <c r="BD63" s="13">
        <f>IF('Données projet'!$A$88&gt;35,BD62+BC63-BL62,IF(A63&lt;'Données projet'!$A$88,$BA$205^A63,IF(A63='Données projet'!$A$88,'Données projet'!$B$88,BD62+BC63-BL62)))</f>
        <v>309.99999999999983</v>
      </c>
      <c r="BE63" s="14">
        <f>BD63*VLOOKUP('Données projet'!$B$11,Paramètres!$A$1:$I$89,3,0)*VLOOKUP('Données projet'!$B$11,Paramètres!$A$1:$I$89,5,0)</f>
        <v>246.63599999999985</v>
      </c>
      <c r="BF63" s="14">
        <f t="shared" si="37"/>
        <v>59.865023903294535</v>
      </c>
      <c r="BG63" s="22">
        <f t="shared" si="7"/>
        <v>533.8226166315709</v>
      </c>
      <c r="BH63" s="62">
        <f t="shared" si="8"/>
        <v>827.15594996490427</v>
      </c>
      <c r="BI63" s="62">
        <f ca="1">AVERAGE(OFFSET($BH$3,0,0,'Données projet'!$E$11+1,1))-AVERAGE(OFFSET($H$3,0,0,'Données projet'!$E$11+1,1))</f>
        <v>370.59298168107364</v>
      </c>
      <c r="BJ63" s="62">
        <f t="shared" si="38"/>
        <v>404.61777090709171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30.2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310</v>
      </c>
      <c r="BW63" s="13">
        <f>VLOOKUP(A63,'Données projet'!$A$113:$I$133,9,0)</f>
        <v>6.2799999999999958</v>
      </c>
      <c r="BX63" s="13">
        <f t="array" ref="BX63">INDEX(BW:BW,MIN(IF(ISNUMBER(BW63:BW259),ROW(BW63:BW259),"")))</f>
        <v>6.2799999999999958</v>
      </c>
      <c r="BY63" s="13">
        <f>IF('Données projet'!$A$114&gt;35,BY62+BX63-CG62,IF(A63&lt;'Données projet'!$A$114,$BV$205^A63,IF(A63='Données projet'!$A$114,'Données projet'!$B$114,BY62+BX63-CG62)))</f>
        <v>309.99999999999983</v>
      </c>
      <c r="BZ63" s="14">
        <f>BY63*VLOOKUP('Données projet'!$B$12,Paramètres!$A$1:$I$89,3,0)*VLOOKUP('Données projet'!$B$12,Paramètres!$A$1:$I$89,5,0)</f>
        <v>227.29199999999986</v>
      </c>
      <c r="CA63" s="14">
        <f t="shared" si="39"/>
        <v>55.69674561748365</v>
      </c>
      <c r="CB63" s="22">
        <f t="shared" si="10"/>
        <v>492.8720652837838</v>
      </c>
      <c r="CC63" s="62">
        <f t="shared" si="11"/>
        <v>786.20539861711711</v>
      </c>
      <c r="CD63" s="62">
        <f ca="1">AVERAGE(OFFSET($CC$3,0,0,'Données projet'!$E$12+1,1))-AVERAGE(OFFSET($H$3,0,0,'Données projet'!$E$12+1,1))</f>
        <v>344.45199703750711</v>
      </c>
      <c r="CE63" s="62">
        <f t="shared" si="40"/>
        <v>376.41441893222185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30.2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260</v>
      </c>
      <c r="CR63" s="13">
        <f>VLOOKUP(A63,'Données projet'!$A$139:$I$159,9,0)</f>
        <v>6.4</v>
      </c>
      <c r="CS63" s="13">
        <f t="array" ref="CS63">INDEX(CR:CR,MIN(IF(ISNUMBER(CR63:CR259),ROW(CR63:CR259),"")))</f>
        <v>6.4</v>
      </c>
      <c r="CT63" s="13">
        <f>IF('Données projet'!$A$140&gt;35,CT62+CS63-DB62,IF(A63&lt;'Données projet'!$A$140,$CQ$205^A63,IF(A63='Données projet'!$A$140,'Données projet'!$B$140,CT62+CS63-DB62)))</f>
        <v>260.00000000000006</v>
      </c>
      <c r="CU63" s="18">
        <f>CT63*VLOOKUP('Données projet'!$B$13,Paramètres!$A$1:$I$89,3,0)*VLOOKUP('Données projet'!$B$13,Paramètres!$A$1:$I$89,5,0)</f>
        <v>170.35200000000003</v>
      </c>
      <c r="CV63" s="14">
        <f t="shared" si="41"/>
        <v>43.168850382694487</v>
      </c>
      <c r="CW63" s="22">
        <f t="shared" si="13"/>
        <v>371.88214774985954</v>
      </c>
      <c r="CX63" s="62">
        <f t="shared" si="14"/>
        <v>665.2154810831928</v>
      </c>
      <c r="CY63" s="62">
        <f ca="1">AVERAGE(OFFSET($CX$3,0,0,'Données projet'!$E$13+1,1))-AVERAGE(OFFSET($H$3,0,0,'Données projet'!$E$13+1,1))</f>
        <v>311.53750850588153</v>
      </c>
      <c r="CZ63" s="62">
        <f t="shared" si="42"/>
        <v>304.84379909635476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303</v>
      </c>
      <c r="DM63" s="13">
        <f>VLOOKUP(A63,'Données projet'!$A$165:$I$185,9,0)</f>
        <v>7.4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302.99999999999989</v>
      </c>
      <c r="DP63" s="18">
        <f>DO63*VLOOKUP('Données projet'!$B$14,Paramètres!$A$1:$I$89,3,0)*VLOOKUP('Données projet'!$B$14,Paramètres!$A$1:$I$89,5,0)</f>
        <v>245.79359999999991</v>
      </c>
      <c r="DQ63" s="14">
        <f t="shared" si="43"/>
        <v>59.684315982017168</v>
      </c>
      <c r="DR63" s="22">
        <f t="shared" si="16"/>
        <v>532.04070366867973</v>
      </c>
      <c r="DS63" s="62">
        <f t="shared" si="17"/>
        <v>825.37403700201298</v>
      </c>
      <c r="DT63" s="62">
        <f ca="1">AVERAGE(OFFSET($DS$3,0,0,'Données projet'!$E$14+1,1))-AVERAGE(OFFSET($H$3,0,0,'Données projet'!$E$14+1,1))</f>
        <v>256.19915261735281</v>
      </c>
      <c r="DU63" s="62">
        <f t="shared" si="44"/>
        <v>297.47246687305056</v>
      </c>
      <c r="DV63" s="16">
        <f>IF(ISNA(VLOOKUP(A63,'Données projet'!$A$165:$I$185,3,0)),0,VLOOKUP(A63,'Données projet'!$A$165:$I$185,3,0))</f>
        <v>3</v>
      </c>
      <c r="DW63" s="16">
        <f>IF(ISNA(VLOOKUP(A63,'Données projet'!$A$165:$I$185,4,0)),0,VLOOKUP(A63,'Données projet'!$A$165:$I$185,4,0))</f>
        <v>303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207.69230769230768</v>
      </c>
      <c r="EH63" s="13">
        <f>VLOOKUP(A63,'Données projet'!$A$191:$I$211,9,0)</f>
        <v>5.3846153846153815</v>
      </c>
      <c r="EI63" s="13">
        <f t="array" ref="EI63">INDEX(EH:EH,MIN(IF(ISNUMBER(EH63:EH259),ROW(EH63:EH259),"")))</f>
        <v>5.3846153846153815</v>
      </c>
      <c r="EJ63" s="13">
        <f>IF('Données projet'!$A$192&gt;35,EJ62+EI63-ER62,IF(A63&lt;'Données projet'!$A$192,$EG$205^A63,IF(A63='Données projet'!$A$192,'Données projet'!$B$192,EJ62+EI63-ER62)))</f>
        <v>207.69230769230759</v>
      </c>
      <c r="EK63" s="18">
        <f>EJ63*VLOOKUP('Données projet'!$B$15,Paramètres!$A$1:$I$89,3,0)*VLOOKUP('Données projet'!$B$15,Paramètres!$A$1:$I$89,5,0)</f>
        <v>197.63999999999993</v>
      </c>
      <c r="EL63" s="14">
        <f t="shared" si="45"/>
        <v>49.22515338895078</v>
      </c>
      <c r="EM63" s="22">
        <f t="shared" si="19"/>
        <v>429.95680881908919</v>
      </c>
      <c r="EN63" s="62">
        <f t="shared" si="20"/>
        <v>723.2901421524225</v>
      </c>
      <c r="EO63" s="62">
        <f ca="1">AVERAGE(OFFSET($EN$3,0,0,'Données projet'!$E$15+1,1))-AVERAGE(OFFSET($H$3,0,0,'Données projet'!$E$15+1,1))</f>
        <v>406.24139966722936</v>
      </c>
      <c r="EP63" s="62">
        <f t="shared" si="46"/>
        <v>295.95724296920577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297</v>
      </c>
      <c r="FC63" s="13">
        <f>VLOOKUP(A63,'Données projet'!$A$217:$I$237,9,0)</f>
        <v>9.375</v>
      </c>
      <c r="FD63" s="13">
        <f t="array" ref="FD63">INDEX(FC:FC,MIN(IF(ISNUMBER(FC63:FC259),ROW(FC63:FC259),"")))</f>
        <v>9.375</v>
      </c>
      <c r="FE63" s="13">
        <f>IF('Données projet'!$A$218&gt;35,FE62+FD63-FM62,IF(A63&lt;'Données projet'!$A$218,$FB$205^A63,IF(A63='Données projet'!$A$218,'Données projet'!$B$218,FE62+FD63-FM62)))</f>
        <v>296.99999999999994</v>
      </c>
      <c r="FF63" s="18">
        <f>FE63*VLOOKUP('Données projet'!$B$16,Paramètres!$A$1:$I$89,3,0)*VLOOKUP('Données projet'!$B$16,Paramètres!$A$1:$I$89,5,0)</f>
        <v>231.65999999999997</v>
      </c>
      <c r="FG63" s="14">
        <f t="shared" si="47"/>
        <v>56.641461975682766</v>
      </c>
      <c r="FH63" s="22">
        <f t="shared" si="22"/>
        <v>502.12504627431412</v>
      </c>
      <c r="FI63" s="62">
        <f t="shared" si="23"/>
        <v>795.45837960764743</v>
      </c>
      <c r="FJ63" s="62">
        <f ca="1">AVERAGE(OFFSET($FI$3,0,0,'Données projet'!$E$16+1,1))-AVERAGE(OFFSET($H$3,0,0,'Données projet'!$E$16+1,1))</f>
        <v>292.57482726862594</v>
      </c>
      <c r="FK63" s="62">
        <f t="shared" si="48"/>
        <v>283.48738729114024</v>
      </c>
      <c r="FL63" s="16">
        <f>IF(ISNA(VLOOKUP(A63,'Données projet'!$A$217:$I$237,3,0)),0,VLOOKUP(A63,'Données projet'!$A$217:$I$237,3,0))</f>
        <v>6</v>
      </c>
      <c r="FM63" s="16">
        <f>IF(ISNA(VLOOKUP(A63,'Données projet'!$A$217:$I$237,4,0)),0,VLOOKUP(A63,'Données projet'!$A$217:$I$237,4,0))</f>
        <v>47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273</v>
      </c>
      <c r="FX63" s="13">
        <f>VLOOKUP(A63,'Données projet'!$A$243:$I$263,9,0)</f>
        <v>9.4</v>
      </c>
      <c r="FY63" s="13">
        <f t="array" ref="FY63">INDEX(FX:FX,MIN(IF(ISNUMBER(FX63:FX259),ROW(FX63:FX259),"")))</f>
        <v>9.4</v>
      </c>
      <c r="FZ63" s="13">
        <f>IF('Données projet'!$A$244&gt;35,FZ62+FY63-GH62,IF(A63&lt;'Données projet'!$A$244,$FW$205^A63,IF(A63='Données projet'!$A$244,'Données projet'!$B$244,FZ62+FY63-GH62)))</f>
        <v>272.99999999999994</v>
      </c>
      <c r="GA63" s="18">
        <f>FZ63*VLOOKUP('Données projet'!$B$17,Paramètres!$A$1:$I$89,3,0)*VLOOKUP('Données projet'!$B$17,Paramètres!$A$1:$I$89,5,0)</f>
        <v>264.04559999999992</v>
      </c>
      <c r="GB63" s="14">
        <f t="shared" si="49"/>
        <v>63.58395992997368</v>
      </c>
      <c r="GC63" s="22">
        <f t="shared" si="25"/>
        <v>570.62148354470401</v>
      </c>
      <c r="GD63" s="62">
        <f t="shared" si="26"/>
        <v>863.95481687803726</v>
      </c>
      <c r="GE63" s="62">
        <f ca="1">AVERAGE(OFFSET($GD$3,0,0,'Données projet'!$E$17+1,1))-AVERAGE(OFFSET($H$3,0,0,'Données projet'!$E$17+1,1))</f>
        <v>562.69380557620775</v>
      </c>
      <c r="GF63" s="62">
        <f t="shared" si="50"/>
        <v>294.45557293177131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281.79999999999995</v>
      </c>
      <c r="O64" s="14">
        <f>N64*VLOOKUP('Données projet'!$B$9,Paramètres!$A$1:$I$89,3,0)*VLOOKUP('Données projet'!$B$9,Paramètres!$A$1:$I$89,5,0)</f>
        <v>254.97263999999996</v>
      </c>
      <c r="P64" s="14">
        <f t="shared" si="33"/>
        <v>61.649533232533919</v>
      </c>
      <c r="Q64" s="22">
        <f t="shared" si="53"/>
        <v>551.45028504666311</v>
      </c>
      <c r="R64" s="62">
        <f t="shared" si="0"/>
        <v>844.78361837999637</v>
      </c>
      <c r="S64" s="62">
        <f ca="1">AVERAGE(OFFSET($R$3,0,0,'Données projet'!$E$9+1,1))-AVERAGE(OFFSET($H$3,0,0,'Données projet'!$E$9+1,1))</f>
        <v>529.25712986118265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13.777777777777779</v>
      </c>
      <c r="AI64" s="14">
        <f>IF('Données projet'!$A$62&gt;35,AI63+AH64-AQ63,IF(A64&lt;'Données projet'!$A$62,$AF$205^A64,IF(A64='Données projet'!$A$62,'Données projet'!$B$62,AI63+AH64-AQ63)))</f>
        <v>247.7777777777776</v>
      </c>
      <c r="AJ64" s="14">
        <f>AI64*VLOOKUP('Données projet'!$B$10,Paramètres!$A$1:$I$89,3,0)*VLOOKUP('Données projet'!$B$10,Paramètres!$A$1:$I$89,5,0)</f>
        <v>212.59333333333319</v>
      </c>
      <c r="AK64" s="14">
        <f t="shared" si="35"/>
        <v>52.501888831663351</v>
      </c>
      <c r="AL64" s="22">
        <f t="shared" si="4"/>
        <v>461.70751193736891</v>
      </c>
      <c r="AM64" s="62">
        <f t="shared" si="5"/>
        <v>755.04084527070222</v>
      </c>
      <c r="AN64" s="62">
        <f ca="1">AVERAGE(OFFSET($AM$3,0,0,'Données projet'!$E$10+1,1))-AVERAGE(OFFSET($H$3,0,0,'Données projet'!$E$10+1,1))</f>
        <v>446.86777652265448</v>
      </c>
      <c r="AO64" s="62">
        <f t="shared" si="36"/>
        <v>230.82970731138215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5.2399999999999975</v>
      </c>
      <c r="BD64" s="13">
        <f>IF('Données projet'!$A$88&gt;35,BD63+BC64-BL63,IF(A64&lt;'Données projet'!$A$88,$BA$205^A64,IF(A64='Données projet'!$A$88,'Données projet'!$B$88,BD63+BC64-BL63)))</f>
        <v>285.03999999999985</v>
      </c>
      <c r="BE64" s="14">
        <f>BD64*VLOOKUP('Données projet'!$B$11,Paramètres!$A$1:$I$89,3,0)*VLOOKUP('Données projet'!$B$11,Paramètres!$A$1:$I$89,5,0)</f>
        <v>226.7778239999999</v>
      </c>
      <c r="BF64" s="14">
        <f t="shared" si="37"/>
        <v>55.585400699018884</v>
      </c>
      <c r="BG64" s="22">
        <f t="shared" si="7"/>
        <v>491.78261635079099</v>
      </c>
      <c r="BH64" s="62">
        <f t="shared" si="8"/>
        <v>785.1159496841243</v>
      </c>
      <c r="BI64" s="62">
        <f ca="1">AVERAGE(OFFSET($BH$3,0,0,'Données projet'!$E$11+1,1))-AVERAGE(OFFSET($H$3,0,0,'Données projet'!$E$11+1,1))</f>
        <v>370.59298168107364</v>
      </c>
      <c r="BJ64" s="62">
        <f t="shared" si="38"/>
        <v>404.61777090709171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5.2399999999999975</v>
      </c>
      <c r="BY64" s="13">
        <f>IF('Données projet'!$A$114&gt;35,BY63+BX64-CG63,IF(A64&lt;'Données projet'!$A$114,$BV$205^A64,IF(A64='Données projet'!$A$114,'Données projet'!$B$114,BY63+BX64-CG63)))</f>
        <v>285.03999999999985</v>
      </c>
      <c r="BZ64" s="14">
        <f>BY64*VLOOKUP('Données projet'!$B$12,Paramètres!$A$1:$I$89,3,0)*VLOOKUP('Données projet'!$B$12,Paramètres!$A$1:$I$89,5,0)</f>
        <v>208.9913279999999</v>
      </c>
      <c r="CA64" s="14">
        <f t="shared" si="39"/>
        <v>51.715103760424256</v>
      </c>
      <c r="CB64" s="22">
        <f t="shared" si="10"/>
        <v>454.06370198273868</v>
      </c>
      <c r="CC64" s="62">
        <f t="shared" si="11"/>
        <v>747.39703531607199</v>
      </c>
      <c r="CD64" s="62">
        <f ca="1">AVERAGE(OFFSET($CC$3,0,0,'Données projet'!$E$12+1,1))-AVERAGE(OFFSET($H$3,0,0,'Données projet'!$E$12+1,1))</f>
        <v>344.45199703750711</v>
      </c>
      <c r="CE64" s="62">
        <f t="shared" si="40"/>
        <v>376.41441893222185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5.8</v>
      </c>
      <c r="CT64" s="13">
        <f>IF('Données projet'!$A$140&gt;35,CT63+CS64-DB63,IF(A64&lt;'Données projet'!$A$140,$CQ$205^A64,IF(A64='Données projet'!$A$140,'Données projet'!$B$140,CT63+CS64-DB63)))</f>
        <v>265.80000000000007</v>
      </c>
      <c r="CU64" s="18">
        <f>CT64*VLOOKUP('Données projet'!$B$13,Paramètres!$A$1:$I$89,3,0)*VLOOKUP('Données projet'!$B$13,Paramètres!$A$1:$I$89,5,0)</f>
        <v>174.15216000000004</v>
      </c>
      <c r="CV64" s="14">
        <f t="shared" si="41"/>
        <v>44.018659241503634</v>
      </c>
      <c r="CW64" s="22">
        <f t="shared" si="13"/>
        <v>379.9808435122855</v>
      </c>
      <c r="CX64" s="62">
        <f t="shared" si="14"/>
        <v>673.31417684561882</v>
      </c>
      <c r="CY64" s="62">
        <f ca="1">AVERAGE(OFFSET($CX$3,0,0,'Données projet'!$E$13+1,1))-AVERAGE(OFFSET($H$3,0,0,'Données projet'!$E$13+1,1))</f>
        <v>311.53750850588153</v>
      </c>
      <c r="CZ64" s="62">
        <f t="shared" si="42"/>
        <v>304.84379909635476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-1.1368683772161603E-13</v>
      </c>
      <c r="DP64" s="18">
        <f>DO64*VLOOKUP('Données projet'!$B$14,Paramètres!$A$1:$I$89,3,0)*VLOOKUP('Données projet'!$B$14,Paramètres!$A$1:$I$89,5,0)</f>
        <v>-9.2222762759774927E-14</v>
      </c>
      <c r="DQ64" s="14" t="e">
        <f t="shared" si="43"/>
        <v>#NUM!</v>
      </c>
      <c r="DR64" s="22" t="e">
        <f t="shared" si="16"/>
        <v>#NUM!</v>
      </c>
      <c r="DS64" s="62" t="e">
        <f t="shared" si="17"/>
        <v>#NUM!</v>
      </c>
      <c r="DT64" s="62">
        <f ca="1">AVERAGE(OFFSET($DS$3,0,0,'Données projet'!$E$14+1,1))-AVERAGE(OFFSET($H$3,0,0,'Données projet'!$E$14+1,1))</f>
        <v>256.19915261735281</v>
      </c>
      <c r="DU64" s="62">
        <f t="shared" si="44"/>
        <v>297.47246687305056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</v>
      </c>
      <c r="EJ64" s="13">
        <f>IF('Données projet'!$A$192&gt;35,EJ63+EI64-ER63,IF(A64&lt;'Données projet'!$A$192,$EG$205^A64,IF(A64='Données projet'!$A$192,'Données projet'!$B$192,EJ63+EI64-ER63)))</f>
        <v>212.69230769230759</v>
      </c>
      <c r="EK64" s="18">
        <f>EJ64*VLOOKUP('Données projet'!$B$15,Paramètres!$A$1:$I$89,3,0)*VLOOKUP('Données projet'!$B$15,Paramètres!$A$1:$I$89,5,0)</f>
        <v>202.39799999999991</v>
      </c>
      <c r="EL64" s="14">
        <f t="shared" si="45"/>
        <v>50.270809420148282</v>
      </c>
      <c r="EM64" s="22">
        <f t="shared" si="19"/>
        <v>440.06484307342475</v>
      </c>
      <c r="EN64" s="62">
        <f t="shared" si="20"/>
        <v>733.39817640675801</v>
      </c>
      <c r="EO64" s="62">
        <f ca="1">AVERAGE(OFFSET($EN$3,0,0,'Données projet'!$E$15+1,1))-AVERAGE(OFFSET($H$3,0,0,'Données projet'!$E$15+1,1))</f>
        <v>406.24139966722936</v>
      </c>
      <c r="EP64" s="62">
        <f t="shared" si="46"/>
        <v>295.95724296920577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8.6666666666666661</v>
      </c>
      <c r="FE64" s="13">
        <f>IF('Données projet'!$A$218&gt;35,FE63+FD64-FM63,IF(A64&lt;'Données projet'!$A$218,$FB$205^A64,IF(A64='Données projet'!$A$218,'Données projet'!$B$218,FE63+FD64-FM63)))</f>
        <v>258.66666666666663</v>
      </c>
      <c r="FF64" s="18">
        <f>FE64*VLOOKUP('Données projet'!$B$16,Paramètres!$A$1:$I$89,3,0)*VLOOKUP('Données projet'!$B$16,Paramètres!$A$1:$I$89,5,0)</f>
        <v>201.76</v>
      </c>
      <c r="FG64" s="14">
        <f t="shared" si="47"/>
        <v>50.130765000424212</v>
      </c>
      <c r="FH64" s="22">
        <f t="shared" si="22"/>
        <v>438.70974904240546</v>
      </c>
      <c r="FI64" s="62">
        <f t="shared" si="23"/>
        <v>732.04308237573878</v>
      </c>
      <c r="FJ64" s="62">
        <f ca="1">AVERAGE(OFFSET($FI$3,0,0,'Données projet'!$E$16+1,1))-AVERAGE(OFFSET($H$3,0,0,'Données projet'!$E$16+1,1))</f>
        <v>292.57482726862594</v>
      </c>
      <c r="FK64" s="62">
        <f t="shared" si="48"/>
        <v>283.48738729114024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8.8000000000000007</v>
      </c>
      <c r="FZ64" s="13">
        <f>IF('Données projet'!$A$244&gt;35,FZ63+FY64-GH63,IF(A64&lt;'Données projet'!$A$244,$FW$205^A64,IF(A64='Données projet'!$A$244,'Données projet'!$B$244,FZ63+FY64-GH63)))</f>
        <v>281.79999999999995</v>
      </c>
      <c r="GA64" s="18">
        <f>FZ64*VLOOKUP('Données projet'!$B$17,Paramètres!$A$1:$I$89,3,0)*VLOOKUP('Données projet'!$B$17,Paramètres!$A$1:$I$89,5,0)</f>
        <v>272.55696</v>
      </c>
      <c r="GB64" s="14">
        <f t="shared" si="49"/>
        <v>65.391622690449097</v>
      </c>
      <c r="GC64" s="22">
        <f t="shared" si="25"/>
        <v>588.59378151919873</v>
      </c>
      <c r="GD64" s="62">
        <f t="shared" si="26"/>
        <v>881.92711485253199</v>
      </c>
      <c r="GE64" s="62">
        <f ca="1">AVERAGE(OFFSET($GD$3,0,0,'Données projet'!$E$17+1,1))-AVERAGE(OFFSET($H$3,0,0,'Données projet'!$E$17+1,1))</f>
        <v>562.69380557620775</v>
      </c>
      <c r="GF64" s="62">
        <f t="shared" si="50"/>
        <v>294.45557293177131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290.59999999999997</v>
      </c>
      <c r="O65" s="14">
        <f>N65*VLOOKUP('Données projet'!$B$9,Paramètres!$A$1:$I$89,3,0)*VLOOKUP('Données projet'!$B$9,Paramètres!$A$1:$I$89,5,0)</f>
        <v>262.93487999999996</v>
      </c>
      <c r="P65" s="14">
        <f t="shared" si="33"/>
        <v>63.347566493432765</v>
      </c>
      <c r="Q65" s="22">
        <f t="shared" si="53"/>
        <v>568.27526097606199</v>
      </c>
      <c r="R65" s="62">
        <f t="shared" si="0"/>
        <v>861.60859430939536</v>
      </c>
      <c r="S65" s="62">
        <f ca="1">AVERAGE(OFFSET($R$3,0,0,'Données projet'!$E$9+1,1))-AVERAGE(OFFSET($H$3,0,0,'Données projet'!$E$9+1,1))</f>
        <v>529.25712986118265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13.777777777777779</v>
      </c>
      <c r="AI65" s="14">
        <f>IF('Données projet'!$A$62&gt;35,AI64+AH65-AQ64,IF(A65&lt;'Données projet'!$A$62,$AF$205^A65,IF(A65='Données projet'!$A$62,'Données projet'!$B$62,AI64+AH65-AQ64)))</f>
        <v>261.55555555555537</v>
      </c>
      <c r="AJ65" s="14">
        <f>AI65*VLOOKUP('Données projet'!$B$10,Paramètres!$A$1:$I$89,3,0)*VLOOKUP('Données projet'!$B$10,Paramètres!$A$1:$I$89,5,0)</f>
        <v>224.41466666666653</v>
      </c>
      <c r="AK65" s="14">
        <f t="shared" si="35"/>
        <v>55.073279400945509</v>
      </c>
      <c r="AL65" s="22">
        <f t="shared" si="4"/>
        <v>486.77483940109096</v>
      </c>
      <c r="AM65" s="62">
        <f t="shared" si="5"/>
        <v>780.10817273442422</v>
      </c>
      <c r="AN65" s="62">
        <f ca="1">AVERAGE(OFFSET($AM$3,0,0,'Données projet'!$E$10+1,1))-AVERAGE(OFFSET($H$3,0,0,'Données projet'!$E$10+1,1))</f>
        <v>446.86777652265448</v>
      </c>
      <c r="AO65" s="62">
        <f t="shared" si="36"/>
        <v>230.82970731138215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5.2399999999999975</v>
      </c>
      <c r="BD65" s="13">
        <f>IF('Données projet'!$A$88&gt;35,BD64+BC65-BL64,IF(A65&lt;'Données projet'!$A$88,$BA$205^A65,IF(A65='Données projet'!$A$88,'Données projet'!$B$88,BD64+BC65-BL64)))</f>
        <v>290.27999999999986</v>
      </c>
      <c r="BE65" s="14">
        <f>BD65*VLOOKUP('Données projet'!$B$11,Paramètres!$A$1:$I$89,3,0)*VLOOKUP('Données projet'!$B$11,Paramètres!$A$1:$I$89,5,0)</f>
        <v>230.94676799999991</v>
      </c>
      <c r="BF65" s="14">
        <f t="shared" si="37"/>
        <v>56.487345939251334</v>
      </c>
      <c r="BG65" s="22">
        <f t="shared" si="7"/>
        <v>500.61441511086258</v>
      </c>
      <c r="BH65" s="62">
        <f t="shared" si="8"/>
        <v>793.94774844419589</v>
      </c>
      <c r="BI65" s="62">
        <f ca="1">AVERAGE(OFFSET($BH$3,0,0,'Données projet'!$E$11+1,1))-AVERAGE(OFFSET($H$3,0,0,'Données projet'!$E$11+1,1))</f>
        <v>370.59298168107364</v>
      </c>
      <c r="BJ65" s="62">
        <f t="shared" si="38"/>
        <v>404.61777090709171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5.2399999999999975</v>
      </c>
      <c r="BY65" s="13">
        <f>IF('Données projet'!$A$114&gt;35,BY64+BX65-CG64,IF(A65&lt;'Données projet'!$A$114,$BV$205^A65,IF(A65='Données projet'!$A$114,'Données projet'!$B$114,BY64+BX65-CG64)))</f>
        <v>290.27999999999986</v>
      </c>
      <c r="BZ65" s="14">
        <f>BY65*VLOOKUP('Données projet'!$B$12,Paramètres!$A$1:$I$89,3,0)*VLOOKUP('Données projet'!$B$12,Paramètres!$A$1:$I$89,5,0)</f>
        <v>212.83329599999988</v>
      </c>
      <c r="CA65" s="14">
        <f t="shared" si="39"/>
        <v>52.554248411686309</v>
      </c>
      <c r="CB65" s="22">
        <f t="shared" si="10"/>
        <v>462.21663985035343</v>
      </c>
      <c r="CC65" s="62">
        <f t="shared" si="11"/>
        <v>755.54997318368669</v>
      </c>
      <c r="CD65" s="62">
        <f ca="1">AVERAGE(OFFSET($CC$3,0,0,'Données projet'!$E$12+1,1))-AVERAGE(OFFSET($H$3,0,0,'Données projet'!$E$12+1,1))</f>
        <v>344.45199703750711</v>
      </c>
      <c r="CE65" s="62">
        <f t="shared" si="40"/>
        <v>376.41441893222185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5.8</v>
      </c>
      <c r="CT65" s="13">
        <f>IF('Données projet'!$A$140&gt;35,CT64+CS65-DB64,IF(A65&lt;'Données projet'!$A$140,$CQ$205^A65,IF(A65='Données projet'!$A$140,'Données projet'!$B$140,CT64+CS65-DB64)))</f>
        <v>271.60000000000008</v>
      </c>
      <c r="CU65" s="18">
        <f>CT65*VLOOKUP('Données projet'!$B$13,Paramètres!$A$1:$I$89,3,0)*VLOOKUP('Données projet'!$B$13,Paramètres!$A$1:$I$89,5,0)</f>
        <v>177.95232000000004</v>
      </c>
      <c r="CV65" s="14">
        <f t="shared" si="41"/>
        <v>44.866312182234566</v>
      </c>
      <c r="CW65" s="22">
        <f t="shared" si="13"/>
        <v>388.07578438405858</v>
      </c>
      <c r="CX65" s="62">
        <f t="shared" si="14"/>
        <v>681.40911771739184</v>
      </c>
      <c r="CY65" s="62">
        <f ca="1">AVERAGE(OFFSET($CX$3,0,0,'Données projet'!$E$13+1,1))-AVERAGE(OFFSET($H$3,0,0,'Données projet'!$E$13+1,1))</f>
        <v>311.53750850588153</v>
      </c>
      <c r="CZ65" s="62">
        <f t="shared" si="42"/>
        <v>304.84379909635476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-1.1368683772161603E-13</v>
      </c>
      <c r="DP65" s="18">
        <f>DO65*VLOOKUP('Données projet'!$B$14,Paramètres!$A$1:$I$89,3,0)*VLOOKUP('Données projet'!$B$14,Paramètres!$A$1:$I$89,5,0)</f>
        <v>-9.2222762759774927E-14</v>
      </c>
      <c r="DQ65" s="14" t="e">
        <f t="shared" si="43"/>
        <v>#NUM!</v>
      </c>
      <c r="DR65" s="22" t="e">
        <f t="shared" si="16"/>
        <v>#NUM!</v>
      </c>
      <c r="DS65" s="62" t="e">
        <f t="shared" si="17"/>
        <v>#NUM!</v>
      </c>
      <c r="DT65" s="62">
        <f ca="1">AVERAGE(OFFSET($DS$3,0,0,'Données projet'!$E$14+1,1))-AVERAGE(OFFSET($H$3,0,0,'Données projet'!$E$14+1,1))</f>
        <v>256.19915261735281</v>
      </c>
      <c r="DU65" s="62">
        <f t="shared" si="44"/>
        <v>297.47246687305056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</v>
      </c>
      <c r="EJ65" s="13">
        <f>IF('Données projet'!$A$192&gt;35,EJ64+EI65-ER64,IF(A65&lt;'Données projet'!$A$192,$EG$205^A65,IF(A65='Données projet'!$A$192,'Données projet'!$B$192,EJ64+EI65-ER64)))</f>
        <v>217.69230769230759</v>
      </c>
      <c r="EK65" s="18">
        <f>EJ65*VLOOKUP('Données projet'!$B$15,Paramètres!$A$1:$I$89,3,0)*VLOOKUP('Données projet'!$B$15,Paramètres!$A$1:$I$89,5,0)</f>
        <v>207.15599999999989</v>
      </c>
      <c r="EL65" s="14">
        <f t="shared" si="45"/>
        <v>51.313607806372978</v>
      </c>
      <c r="EM65" s="22">
        <f t="shared" si="19"/>
        <v>450.16790026276612</v>
      </c>
      <c r="EN65" s="62">
        <f t="shared" si="20"/>
        <v>743.50123359609938</v>
      </c>
      <c r="EO65" s="62">
        <f ca="1">AVERAGE(OFFSET($EN$3,0,0,'Données projet'!$E$15+1,1))-AVERAGE(OFFSET($H$3,0,0,'Données projet'!$E$15+1,1))</f>
        <v>406.24139966722936</v>
      </c>
      <c r="EP65" s="62">
        <f t="shared" si="46"/>
        <v>295.95724296920577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8.6666666666666661</v>
      </c>
      <c r="FE65" s="13">
        <f>IF('Données projet'!$A$218&gt;35,FE64+FD65-FM64,IF(A65&lt;'Données projet'!$A$218,$FB$205^A65,IF(A65='Données projet'!$A$218,'Données projet'!$B$218,FE64+FD65-FM64)))</f>
        <v>267.33333333333331</v>
      </c>
      <c r="FF65" s="18">
        <f>FE65*VLOOKUP('Données projet'!$B$16,Paramètres!$A$1:$I$89,3,0)*VLOOKUP('Données projet'!$B$16,Paramètres!$A$1:$I$89,5,0)</f>
        <v>208.51999999999998</v>
      </c>
      <c r="FG65" s="14">
        <f t="shared" si="47"/>
        <v>51.612035456318509</v>
      </c>
      <c r="FH65" s="22">
        <f t="shared" si="22"/>
        <v>453.06329508642131</v>
      </c>
      <c r="FI65" s="62">
        <f t="shared" si="23"/>
        <v>746.39662841975462</v>
      </c>
      <c r="FJ65" s="62">
        <f ca="1">AVERAGE(OFFSET($FI$3,0,0,'Données projet'!$E$16+1,1))-AVERAGE(OFFSET($H$3,0,0,'Données projet'!$E$16+1,1))</f>
        <v>292.57482726862594</v>
      </c>
      <c r="FK65" s="62">
        <f t="shared" si="48"/>
        <v>283.48738729114024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8.8000000000000007</v>
      </c>
      <c r="FZ65" s="13">
        <f>IF('Données projet'!$A$244&gt;35,FZ64+FY65-GH64,IF(A65&lt;'Données projet'!$A$244,$FW$205^A65,IF(A65='Données projet'!$A$244,'Données projet'!$B$244,FZ64+FY65-GH64)))</f>
        <v>290.59999999999997</v>
      </c>
      <c r="GA65" s="18">
        <f>FZ65*VLOOKUP('Données projet'!$B$17,Paramètres!$A$1:$I$89,3,0)*VLOOKUP('Données projet'!$B$17,Paramètres!$A$1:$I$89,5,0)</f>
        <v>281.06831999999997</v>
      </c>
      <c r="GB65" s="14">
        <f t="shared" si="49"/>
        <v>67.19272554541665</v>
      </c>
      <c r="GC65" s="22">
        <f t="shared" si="25"/>
        <v>606.55465432493395</v>
      </c>
      <c r="GD65" s="62">
        <f t="shared" si="26"/>
        <v>899.88798765826732</v>
      </c>
      <c r="GE65" s="62">
        <f ca="1">AVERAGE(OFFSET($GD$3,0,0,'Données projet'!$E$17+1,1))-AVERAGE(OFFSET($H$3,0,0,'Données projet'!$E$17+1,1))</f>
        <v>562.69380557620775</v>
      </c>
      <c r="GF65" s="62">
        <f t="shared" si="50"/>
        <v>294.45557293177131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299.39999999999998</v>
      </c>
      <c r="O66" s="14">
        <f>N66*VLOOKUP('Données projet'!$B$9,Paramètres!$A$1:$I$89,3,0)*VLOOKUP('Données projet'!$B$9,Paramètres!$A$1:$I$89,5,0)</f>
        <v>270.89711999999997</v>
      </c>
      <c r="P66" s="14">
        <f t="shared" si="33"/>
        <v>65.039624021315475</v>
      </c>
      <c r="Q66" s="22">
        <f t="shared" si="53"/>
        <v>585.08982917045773</v>
      </c>
      <c r="R66" s="62">
        <f t="shared" si="0"/>
        <v>878.42316250379099</v>
      </c>
      <c r="S66" s="62">
        <f ca="1">AVERAGE(OFFSET($R$3,0,0,'Données projet'!$E$9+1,1))-AVERAGE(OFFSET($H$3,0,0,'Données projet'!$E$9+1,1))</f>
        <v>529.25712986118265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13.777777777777779</v>
      </c>
      <c r="AI66" s="14">
        <f>IF('Données projet'!$A$62&gt;35,AI65+AH66-AQ65,IF(A66&lt;'Données projet'!$A$62,$AF$205^A66,IF(A66='Données projet'!$A$62,'Données projet'!$B$62,AI65+AH66-AQ65)))</f>
        <v>275.33333333333314</v>
      </c>
      <c r="AJ66" s="14">
        <f>AI66*VLOOKUP('Données projet'!$B$10,Paramètres!$A$1:$I$89,3,0)*VLOOKUP('Données projet'!$B$10,Paramètres!$A$1:$I$89,5,0)</f>
        <v>236.23599999999988</v>
      </c>
      <c r="AK66" s="14">
        <f t="shared" si="35"/>
        <v>57.628943995616872</v>
      </c>
      <c r="AL66" s="22">
        <f t="shared" si="4"/>
        <v>511.81477745903248</v>
      </c>
      <c r="AM66" s="62">
        <f t="shared" si="5"/>
        <v>805.14811079236574</v>
      </c>
      <c r="AN66" s="62">
        <f ca="1">AVERAGE(OFFSET($AM$3,0,0,'Données projet'!$E$10+1,1))-AVERAGE(OFFSET($H$3,0,0,'Données projet'!$E$10+1,1))</f>
        <v>446.86777652265448</v>
      </c>
      <c r="AO66" s="62">
        <f t="shared" si="36"/>
        <v>230.82970731138215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5.2399999999999975</v>
      </c>
      <c r="BD66" s="13">
        <f>IF('Données projet'!$A$88&gt;35,BD65+BC66-BL65,IF(A66&lt;'Données projet'!$A$88,$BA$205^A66,IF(A66='Données projet'!$A$88,'Données projet'!$B$88,BD65+BC66-BL65)))</f>
        <v>295.51999999999987</v>
      </c>
      <c r="BE66" s="14">
        <f>BD66*VLOOKUP('Données projet'!$B$11,Paramètres!$A$1:$I$89,3,0)*VLOOKUP('Données projet'!$B$11,Paramètres!$A$1:$I$89,5,0)</f>
        <v>235.11571199999989</v>
      </c>
      <c r="BF66" s="14">
        <f t="shared" si="37"/>
        <v>57.387397894153374</v>
      </c>
      <c r="BG66" s="22">
        <f t="shared" si="7"/>
        <v>509.44291639898364</v>
      </c>
      <c r="BH66" s="62">
        <f t="shared" si="8"/>
        <v>802.77624973231696</v>
      </c>
      <c r="BI66" s="62">
        <f ca="1">AVERAGE(OFFSET($BH$3,0,0,'Données projet'!$E$11+1,1))-AVERAGE(OFFSET($H$3,0,0,'Données projet'!$E$11+1,1))</f>
        <v>370.59298168107364</v>
      </c>
      <c r="BJ66" s="62">
        <f t="shared" si="38"/>
        <v>404.61777090709171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5.2399999999999975</v>
      </c>
      <c r="BY66" s="13">
        <f>IF('Données projet'!$A$114&gt;35,BY65+BX66-CG65,IF(A66&lt;'Données projet'!$A$114,$BV$205^A66,IF(A66='Données projet'!$A$114,'Données projet'!$B$114,BY65+BX66-CG65)))</f>
        <v>295.51999999999987</v>
      </c>
      <c r="BZ66" s="14">
        <f>BY66*VLOOKUP('Données projet'!$B$12,Paramètres!$A$1:$I$89,3,0)*VLOOKUP('Données projet'!$B$12,Paramètres!$A$1:$I$89,5,0)</f>
        <v>216.67526399999991</v>
      </c>
      <c r="CA66" s="14">
        <f t="shared" si="39"/>
        <v>53.391631603175213</v>
      </c>
      <c r="CB66" s="22">
        <f t="shared" si="10"/>
        <v>470.36650984219659</v>
      </c>
      <c r="CC66" s="62">
        <f t="shared" si="11"/>
        <v>763.69984317552985</v>
      </c>
      <c r="CD66" s="62">
        <f ca="1">AVERAGE(OFFSET($CC$3,0,0,'Données projet'!$E$12+1,1))-AVERAGE(OFFSET($H$3,0,0,'Données projet'!$E$12+1,1))</f>
        <v>344.45199703750711</v>
      </c>
      <c r="CE66" s="62">
        <f t="shared" si="40"/>
        <v>376.41441893222185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5.8</v>
      </c>
      <c r="CT66" s="13">
        <f>IF('Données projet'!$A$140&gt;35,CT65+CS66-DB65,IF(A66&lt;'Données projet'!$A$140,$CQ$205^A66,IF(A66='Données projet'!$A$140,'Données projet'!$B$140,CT65+CS66-DB65)))</f>
        <v>277.40000000000009</v>
      </c>
      <c r="CU66" s="18">
        <f>CT66*VLOOKUP('Données projet'!$B$13,Paramètres!$A$1:$I$89,3,0)*VLOOKUP('Données projet'!$B$13,Paramètres!$A$1:$I$89,5,0)</f>
        <v>181.75248000000008</v>
      </c>
      <c r="CV66" s="14">
        <f t="shared" si="41"/>
        <v>45.71186054742418</v>
      </c>
      <c r="CW66" s="22">
        <f t="shared" si="13"/>
        <v>396.1670597867639</v>
      </c>
      <c r="CX66" s="62">
        <f t="shared" si="14"/>
        <v>689.50039312009721</v>
      </c>
      <c r="CY66" s="62">
        <f ca="1">AVERAGE(OFFSET($CX$3,0,0,'Données projet'!$E$13+1,1))-AVERAGE(OFFSET($H$3,0,0,'Données projet'!$E$13+1,1))</f>
        <v>311.53750850588153</v>
      </c>
      <c r="CZ66" s="62">
        <f t="shared" si="42"/>
        <v>304.84379909635476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-1.1368683772161603E-13</v>
      </c>
      <c r="DP66" s="18">
        <f>DO66*VLOOKUP('Données projet'!$B$14,Paramètres!$A$1:$I$89,3,0)*VLOOKUP('Données projet'!$B$14,Paramètres!$A$1:$I$89,5,0)</f>
        <v>-9.2222762759774927E-14</v>
      </c>
      <c r="DQ66" s="14" t="e">
        <f t="shared" si="43"/>
        <v>#NUM!</v>
      </c>
      <c r="DR66" s="22" t="e">
        <f t="shared" si="16"/>
        <v>#NUM!</v>
      </c>
      <c r="DS66" s="62" t="e">
        <f t="shared" si="17"/>
        <v>#NUM!</v>
      </c>
      <c r="DT66" s="62">
        <f ca="1">AVERAGE(OFFSET($DS$3,0,0,'Données projet'!$E$14+1,1))-AVERAGE(OFFSET($H$3,0,0,'Données projet'!$E$14+1,1))</f>
        <v>256.19915261735281</v>
      </c>
      <c r="DU66" s="62">
        <f t="shared" si="44"/>
        <v>297.47246687305056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</v>
      </c>
      <c r="EJ66" s="13">
        <f>IF('Données projet'!$A$192&gt;35,EJ65+EI66-ER65,IF(A66&lt;'Données projet'!$A$192,$EG$205^A66,IF(A66='Données projet'!$A$192,'Données projet'!$B$192,EJ65+EI66-ER65)))</f>
        <v>222.69230769230759</v>
      </c>
      <c r="EK66" s="18">
        <f>EJ66*VLOOKUP('Données projet'!$B$15,Paramètres!$A$1:$I$89,3,0)*VLOOKUP('Données projet'!$B$15,Paramètres!$A$1:$I$89,5,0)</f>
        <v>211.9139999999999</v>
      </c>
      <c r="EL66" s="14">
        <f t="shared" si="45"/>
        <v>52.353621737631663</v>
      </c>
      <c r="EM66" s="22">
        <f t="shared" si="19"/>
        <v>460.26610785970826</v>
      </c>
      <c r="EN66" s="62">
        <f t="shared" si="20"/>
        <v>753.59944119304157</v>
      </c>
      <c r="EO66" s="62">
        <f ca="1">AVERAGE(OFFSET($EN$3,0,0,'Données projet'!$E$15+1,1))-AVERAGE(OFFSET($H$3,0,0,'Données projet'!$E$15+1,1))</f>
        <v>406.24139966722936</v>
      </c>
      <c r="EP66" s="62">
        <f t="shared" si="46"/>
        <v>295.95724296920577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8.6666666666666661</v>
      </c>
      <c r="FE66" s="13">
        <f>IF('Données projet'!$A$218&gt;35,FE65+FD66-FM65,IF(A66&lt;'Données projet'!$A$218,$FB$205^A66,IF(A66='Données projet'!$A$218,'Données projet'!$B$218,FE65+FD66-FM65)))</f>
        <v>276</v>
      </c>
      <c r="FF66" s="18">
        <f>FE66*VLOOKUP('Données projet'!$B$16,Paramètres!$A$1:$I$89,3,0)*VLOOKUP('Données projet'!$B$16,Paramètres!$A$1:$I$89,5,0)</f>
        <v>215.28</v>
      </c>
      <c r="FG66" s="14">
        <f t="shared" si="47"/>
        <v>53.087725740853138</v>
      </c>
      <c r="FH66" s="22">
        <f t="shared" si="22"/>
        <v>467.40712233198587</v>
      </c>
      <c r="FI66" s="62">
        <f t="shared" si="23"/>
        <v>760.74045566531913</v>
      </c>
      <c r="FJ66" s="62">
        <f ca="1">AVERAGE(OFFSET($FI$3,0,0,'Données projet'!$E$16+1,1))-AVERAGE(OFFSET($H$3,0,0,'Données projet'!$E$16+1,1))</f>
        <v>292.57482726862594</v>
      </c>
      <c r="FK66" s="62">
        <f t="shared" si="48"/>
        <v>283.48738729114024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8.8000000000000007</v>
      </c>
      <c r="FZ66" s="13">
        <f>IF('Données projet'!$A$244&gt;35,FZ65+FY66-GH65,IF(A66&lt;'Données projet'!$A$244,$FW$205^A66,IF(A66='Données projet'!$A$244,'Données projet'!$B$244,FZ65+FY66-GH65)))</f>
        <v>299.39999999999998</v>
      </c>
      <c r="GA66" s="18">
        <f>FZ66*VLOOKUP('Données projet'!$B$17,Paramètres!$A$1:$I$89,3,0)*VLOOKUP('Données projet'!$B$17,Paramètres!$A$1:$I$89,5,0)</f>
        <v>289.57968</v>
      </c>
      <c r="GB66" s="14">
        <f t="shared" si="49"/>
        <v>68.987489943980663</v>
      </c>
      <c r="GC66" s="22">
        <f t="shared" si="25"/>
        <v>624.504487652433</v>
      </c>
      <c r="GD66" s="62">
        <f t="shared" si="26"/>
        <v>917.83782098576626</v>
      </c>
      <c r="GE66" s="62">
        <f ca="1">AVERAGE(OFFSET($GD$3,0,0,'Données projet'!$E$17+1,1))-AVERAGE(OFFSET($H$3,0,0,'Données projet'!$E$17+1,1))</f>
        <v>562.69380557620775</v>
      </c>
      <c r="GF66" s="62">
        <f t="shared" si="50"/>
        <v>294.45557293177131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308.2</v>
      </c>
      <c r="O67" s="14">
        <f>N67*VLOOKUP('Données projet'!$B$9,Paramètres!$A$1:$I$89,3,0)*VLOOKUP('Données projet'!$B$9,Paramètres!$A$1:$I$89,5,0)</f>
        <v>278.85935999999998</v>
      </c>
      <c r="P67" s="14">
        <f t="shared" si="33"/>
        <v>66.725901622172444</v>
      </c>
      <c r="Q67" s="22">
        <f t="shared" ref="Q67:Q98" si="54">(O67+P67)*0.475*44/12</f>
        <v>601.89433065861692</v>
      </c>
      <c r="R67" s="62">
        <f t="shared" ref="R67:R130" si="55">Q67+(I67+J67)*44/12</f>
        <v>895.22766399195029</v>
      </c>
      <c r="S67" s="62">
        <f ca="1">AVERAGE(OFFSET($R$3,0,0,'Données projet'!$E$9+1,1))-AVERAGE(OFFSET($H$3,0,0,'Données projet'!$E$9+1,1))</f>
        <v>529.25712986118265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13.777777777777779</v>
      </c>
      <c r="AI67" s="14">
        <f>IF('Données projet'!$A$62&gt;35,AI66+AH67-AQ66,IF(A67&lt;'Données projet'!$A$62,$AF$205^A67,IF(A67='Données projet'!$A$62,'Données projet'!$B$62,AI66+AH67-AQ66)))</f>
        <v>289.11111111111092</v>
      </c>
      <c r="AJ67" s="14">
        <f>AI67*VLOOKUP('Données projet'!$B$10,Paramètres!$A$1:$I$89,3,0)*VLOOKUP('Données projet'!$B$10,Paramètres!$A$1:$I$89,5,0)</f>
        <v>248.05733333333319</v>
      </c>
      <c r="AK67" s="14">
        <f t="shared" si="35"/>
        <v>60.169759343876592</v>
      </c>
      <c r="AL67" s="22">
        <f t="shared" si="4"/>
        <v>536.82885307947356</v>
      </c>
      <c r="AM67" s="62">
        <f t="shared" si="5"/>
        <v>830.16218641280693</v>
      </c>
      <c r="AN67" s="62">
        <f ca="1">AVERAGE(OFFSET($AM$3,0,0,'Données projet'!$E$10+1,1))-AVERAGE(OFFSET($H$3,0,0,'Données projet'!$E$10+1,1))</f>
        <v>446.86777652265448</v>
      </c>
      <c r="AO67" s="62">
        <f t="shared" si="36"/>
        <v>230.82970731138215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5.2399999999999975</v>
      </c>
      <c r="BD67" s="13">
        <f>IF('Données projet'!$A$88&gt;35,BD66+BC67-BL66,IF(A67&lt;'Données projet'!$A$88,$BA$205^A67,IF(A67='Données projet'!$A$88,'Données projet'!$B$88,BD66+BC67-BL66)))</f>
        <v>300.75999999999988</v>
      </c>
      <c r="BE67" s="14">
        <f>BD67*VLOOKUP('Données projet'!$B$11,Paramètres!$A$1:$I$89,3,0)*VLOOKUP('Données projet'!$B$11,Paramètres!$A$1:$I$89,5,0)</f>
        <v>239.2846559999999</v>
      </c>
      <c r="BF67" s="14">
        <f t="shared" si="37"/>
        <v>58.285594007367486</v>
      </c>
      <c r="BG67" s="22">
        <f t="shared" si="7"/>
        <v>518.2681854294982</v>
      </c>
      <c r="BH67" s="62">
        <f t="shared" si="8"/>
        <v>811.60151876283157</v>
      </c>
      <c r="BI67" s="62">
        <f ca="1">AVERAGE(OFFSET($BH$3,0,0,'Données projet'!$E$11+1,1))-AVERAGE(OFFSET($H$3,0,0,'Données projet'!$E$11+1,1))</f>
        <v>370.59298168107364</v>
      </c>
      <c r="BJ67" s="62">
        <f t="shared" si="38"/>
        <v>404.61777090709171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5.2399999999999975</v>
      </c>
      <c r="BY67" s="13">
        <f>IF('Données projet'!$A$114&gt;35,BY66+BX67-CG66,IF(A67&lt;'Données projet'!$A$114,$BV$205^A67,IF(A67='Données projet'!$A$114,'Données projet'!$B$114,BY66+BX67-CG66)))</f>
        <v>300.75999999999988</v>
      </c>
      <c r="BZ67" s="14">
        <f>BY67*VLOOKUP('Données projet'!$B$12,Paramètres!$A$1:$I$89,3,0)*VLOOKUP('Données projet'!$B$12,Paramètres!$A$1:$I$89,5,0)</f>
        <v>220.51723199999989</v>
      </c>
      <c r="CA67" s="14">
        <f t="shared" si="39"/>
        <v>54.22728817140964</v>
      </c>
      <c r="CB67" s="22">
        <f t="shared" si="10"/>
        <v>478.51337263187162</v>
      </c>
      <c r="CC67" s="62">
        <f t="shared" si="11"/>
        <v>771.84670596520493</v>
      </c>
      <c r="CD67" s="62">
        <f ca="1">AVERAGE(OFFSET($CC$3,0,0,'Données projet'!$E$12+1,1))-AVERAGE(OFFSET($H$3,0,0,'Données projet'!$E$12+1,1))</f>
        <v>344.45199703750711</v>
      </c>
      <c r="CE67" s="62">
        <f t="shared" si="40"/>
        <v>376.41441893222185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5.8</v>
      </c>
      <c r="CT67" s="13">
        <f>IF('Données projet'!$A$140&gt;35,CT66+CS67-DB66,IF(A67&lt;'Données projet'!$A$140,$CQ$205^A67,IF(A67='Données projet'!$A$140,'Données projet'!$B$140,CT66+CS67-DB66)))</f>
        <v>283.2000000000001</v>
      </c>
      <c r="CU67" s="18">
        <f>CT67*VLOOKUP('Données projet'!$B$13,Paramètres!$A$1:$I$89,3,0)*VLOOKUP('Données projet'!$B$13,Paramètres!$A$1:$I$89,5,0)</f>
        <v>185.55264000000008</v>
      </c>
      <c r="CV67" s="14">
        <f t="shared" si="41"/>
        <v>46.555353409936501</v>
      </c>
      <c r="CW67" s="22">
        <f t="shared" si="13"/>
        <v>404.25475518897287</v>
      </c>
      <c r="CX67" s="62">
        <f t="shared" si="14"/>
        <v>697.58808852230618</v>
      </c>
      <c r="CY67" s="62">
        <f ca="1">AVERAGE(OFFSET($CX$3,0,0,'Données projet'!$E$13+1,1))-AVERAGE(OFFSET($H$3,0,0,'Données projet'!$E$13+1,1))</f>
        <v>311.53750850588153</v>
      </c>
      <c r="CZ67" s="62">
        <f t="shared" si="42"/>
        <v>304.84379909635476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-1.1368683772161603E-13</v>
      </c>
      <c r="DP67" s="18">
        <f>DO67*VLOOKUP('Données projet'!$B$14,Paramètres!$A$1:$I$89,3,0)*VLOOKUP('Données projet'!$B$14,Paramètres!$A$1:$I$89,5,0)</f>
        <v>-9.2222762759774927E-14</v>
      </c>
      <c r="DQ67" s="14" t="e">
        <f t="shared" si="43"/>
        <v>#NUM!</v>
      </c>
      <c r="DR67" s="22" t="e">
        <f t="shared" si="16"/>
        <v>#NUM!</v>
      </c>
      <c r="DS67" s="62" t="e">
        <f t="shared" si="17"/>
        <v>#NUM!</v>
      </c>
      <c r="DT67" s="62">
        <f ca="1">AVERAGE(OFFSET($DS$3,0,0,'Données projet'!$E$14+1,1))-AVERAGE(OFFSET($H$3,0,0,'Données projet'!$E$14+1,1))</f>
        <v>256.19915261735281</v>
      </c>
      <c r="DU67" s="62">
        <f t="shared" si="44"/>
        <v>297.47246687305056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</v>
      </c>
      <c r="EJ67" s="13">
        <f>IF('Données projet'!$A$192&gt;35,EJ66+EI67-ER66,IF(A67&lt;'Données projet'!$A$192,$EG$205^A67,IF(A67='Données projet'!$A$192,'Données projet'!$B$192,EJ66+EI67-ER66)))</f>
        <v>227.69230769230759</v>
      </c>
      <c r="EK67" s="18">
        <f>EJ67*VLOOKUP('Données projet'!$B$15,Paramètres!$A$1:$I$89,3,0)*VLOOKUP('Données projet'!$B$15,Paramètres!$A$1:$I$89,5,0)</f>
        <v>216.67199999999991</v>
      </c>
      <c r="EL67" s="14">
        <f t="shared" si="45"/>
        <v>53.390920929716366</v>
      </c>
      <c r="EM67" s="22">
        <f t="shared" si="19"/>
        <v>470.35958728592249</v>
      </c>
      <c r="EN67" s="62">
        <f t="shared" si="20"/>
        <v>763.6929206192558</v>
      </c>
      <c r="EO67" s="62">
        <f ca="1">AVERAGE(OFFSET($EN$3,0,0,'Données projet'!$E$15+1,1))-AVERAGE(OFFSET($H$3,0,0,'Données projet'!$E$15+1,1))</f>
        <v>406.24139966722936</v>
      </c>
      <c r="EP67" s="62">
        <f t="shared" si="46"/>
        <v>295.95724296920577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8.6666666666666661</v>
      </c>
      <c r="FE67" s="13">
        <f>IF('Données projet'!$A$218&gt;35,FE66+FD67-FM66,IF(A67&lt;'Données projet'!$A$218,$FB$205^A67,IF(A67='Données projet'!$A$218,'Données projet'!$B$218,FE66+FD67-FM66)))</f>
        <v>284.66666666666669</v>
      </c>
      <c r="FF67" s="18">
        <f>FE67*VLOOKUP('Données projet'!$B$16,Paramètres!$A$1:$I$89,3,0)*VLOOKUP('Données projet'!$B$16,Paramètres!$A$1:$I$89,5,0)</f>
        <v>222.04000000000002</v>
      </c>
      <c r="FG67" s="14">
        <f t="shared" si="47"/>
        <v>54.558031180803596</v>
      </c>
      <c r="FH67" s="22">
        <f t="shared" si="22"/>
        <v>481.74157097323291</v>
      </c>
      <c r="FI67" s="62">
        <f t="shared" si="23"/>
        <v>775.07490430656617</v>
      </c>
      <c r="FJ67" s="62">
        <f ca="1">AVERAGE(OFFSET($FI$3,0,0,'Données projet'!$E$16+1,1))-AVERAGE(OFFSET($H$3,0,0,'Données projet'!$E$16+1,1))</f>
        <v>292.57482726862594</v>
      </c>
      <c r="FK67" s="62">
        <f t="shared" si="48"/>
        <v>283.48738729114024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8.8000000000000007</v>
      </c>
      <c r="FZ67" s="13">
        <f>IF('Données projet'!$A$244&gt;35,FZ66+FY67-GH66,IF(A67&lt;'Données projet'!$A$244,$FW$205^A67,IF(A67='Données projet'!$A$244,'Données projet'!$B$244,FZ66+FY67-GH66)))</f>
        <v>308.2</v>
      </c>
      <c r="GA67" s="18">
        <f>FZ67*VLOOKUP('Données projet'!$B$17,Paramètres!$A$1:$I$89,3,0)*VLOOKUP('Données projet'!$B$17,Paramètres!$A$1:$I$89,5,0)</f>
        <v>298.09104000000002</v>
      </c>
      <c r="GB67" s="14">
        <f t="shared" si="49"/>
        <v>70.776123577436934</v>
      </c>
      <c r="GC67" s="22">
        <f t="shared" si="25"/>
        <v>642.44364323070261</v>
      </c>
      <c r="GD67" s="62">
        <f t="shared" si="26"/>
        <v>935.77697656403598</v>
      </c>
      <c r="GE67" s="62">
        <f ca="1">AVERAGE(OFFSET($GD$3,0,0,'Données projet'!$E$17+1,1))-AVERAGE(OFFSET($H$3,0,0,'Données projet'!$E$17+1,1))</f>
        <v>562.69380557620775</v>
      </c>
      <c r="GF67" s="62">
        <f t="shared" si="50"/>
        <v>294.45557293177131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317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317</v>
      </c>
      <c r="O68" s="14">
        <f>N68*VLOOKUP('Données projet'!$B$9,Paramètres!$A$1:$I$89,3,0)*VLOOKUP('Données projet'!$B$9,Paramètres!$A$1:$I$89,5,0)</f>
        <v>286.82159999999999</v>
      </c>
      <c r="P68" s="14">
        <f t="shared" si="33"/>
        <v>68.406583284351484</v>
      </c>
      <c r="Q68" s="22">
        <f t="shared" si="54"/>
        <v>618.68908588691215</v>
      </c>
      <c r="R68" s="62">
        <f t="shared" si="55"/>
        <v>912.02241922024541</v>
      </c>
      <c r="S68" s="62">
        <f ca="1">AVERAGE(OFFSET($R$3,0,0,'Données projet'!$E$9+1,1))-AVERAGE(OFFSET($H$3,0,0,'Données projet'!$E$9+1,1))</f>
        <v>529.25712986118265</v>
      </c>
      <c r="T68" s="62">
        <f t="shared" si="34"/>
        <v>278.21741231699929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56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13.777777777777779</v>
      </c>
      <c r="AI68" s="14">
        <f>IF('Données projet'!$A$62&gt;35,AI67+AH68-AQ67,IF(A68&lt;'Données projet'!$A$62,$AF$205^A68,IF(A68='Données projet'!$A$62,'Données projet'!$B$62,AI67+AH68-AQ67)))</f>
        <v>302.88888888888869</v>
      </c>
      <c r="AJ68" s="14">
        <f>AI68*VLOOKUP('Données projet'!$B$10,Paramètres!$A$1:$I$89,3,0)*VLOOKUP('Données projet'!$B$10,Paramètres!$A$1:$I$89,5,0)</f>
        <v>259.8786666666665</v>
      </c>
      <c r="AK68" s="14">
        <f t="shared" si="35"/>
        <v>62.69651389011603</v>
      </c>
      <c r="AL68" s="22">
        <f t="shared" ref="AL68:AL131" si="58">(AJ68+AK68)*0.475*44/12</f>
        <v>561.81843946972958</v>
      </c>
      <c r="AM68" s="62">
        <f t="shared" ref="AM68:AM131" si="59">AL68+(AD68+AE68)*44/12</f>
        <v>855.15177280306284</v>
      </c>
      <c r="AN68" s="62">
        <f ca="1">AVERAGE(OFFSET($AM$3,0,0,'Données projet'!$E$10+1,1))-AVERAGE(OFFSET($H$3,0,0,'Données projet'!$E$10+1,1))</f>
        <v>446.86777652265448</v>
      </c>
      <c r="AO68" s="62">
        <f t="shared" si="36"/>
        <v>230.82970731138215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306</v>
      </c>
      <c r="BB68" s="13">
        <f>VLOOKUP(A68,'Données projet'!$A$87:$I$107,9,0)</f>
        <v>5.2399999999999975</v>
      </c>
      <c r="BC68" s="13">
        <f t="array" ref="BC68">INDEX(BB:BB,MIN(IF(ISNUMBER(BB68:BB264),ROW(BB68:BB264),"")))</f>
        <v>5.2399999999999975</v>
      </c>
      <c r="BD68" s="13">
        <f>IF('Données projet'!$A$88&gt;35,BD67+BC68-BL67,IF(A68&lt;'Données projet'!$A$88,$BA$205^A68,IF(A68='Données projet'!$A$88,'Données projet'!$B$88,BD67+BC68-BL67)))</f>
        <v>305.99999999999989</v>
      </c>
      <c r="BE68" s="14">
        <f>BD68*VLOOKUP('Données projet'!$B$11,Paramètres!$A$1:$I$89,3,0)*VLOOKUP('Données projet'!$B$11,Paramètres!$A$1:$I$89,5,0)</f>
        <v>243.45359999999991</v>
      </c>
      <c r="BF68" s="14">
        <f t="shared" si="37"/>
        <v>59.181970343065267</v>
      </c>
      <c r="BG68" s="22">
        <f t="shared" ref="BG68:BG131" si="61">(BE68+BF68)*0.475*44/12</f>
        <v>527.09028501417185</v>
      </c>
      <c r="BH68" s="62">
        <f t="shared" ref="BH68:BH131" si="62">BG68+(AY68+AZ68)*44/12</f>
        <v>820.42361834750523</v>
      </c>
      <c r="BI68" s="62">
        <f ca="1">AVERAGE(OFFSET($BH$3,0,0,'Données projet'!$E$11+1,1))-AVERAGE(OFFSET($H$3,0,0,'Données projet'!$E$11+1,1))</f>
        <v>370.59298168107364</v>
      </c>
      <c r="BJ68" s="62">
        <f t="shared" si="38"/>
        <v>404.61777090709171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306</v>
      </c>
      <c r="BW68" s="13">
        <f>VLOOKUP(A68,'Données projet'!$A$113:$I$133,9,0)</f>
        <v>5.2399999999999975</v>
      </c>
      <c r="BX68" s="13">
        <f t="array" ref="BX68">INDEX(BW:BW,MIN(IF(ISNUMBER(BW68:BW264),ROW(BW68:BW264),"")))</f>
        <v>5.2399999999999975</v>
      </c>
      <c r="BY68" s="13">
        <f>IF('Données projet'!$A$114&gt;35,BY67+BX68-CG67,IF(A68&lt;'Données projet'!$A$114,$BV$205^A68,IF(A68='Données projet'!$A$114,'Données projet'!$B$114,BY67+BX68-CG67)))</f>
        <v>305.99999999999989</v>
      </c>
      <c r="BZ68" s="14">
        <f>BY68*VLOOKUP('Données projet'!$B$12,Paramètres!$A$1:$I$89,3,0)*VLOOKUP('Données projet'!$B$12,Paramètres!$A$1:$I$89,5,0)</f>
        <v>224.3591999999999</v>
      </c>
      <c r="CA68" s="14">
        <f t="shared" si="39"/>
        <v>55.061251669487255</v>
      </c>
      <c r="CB68" s="22">
        <f t="shared" ref="CB68:CB131" si="64">(BZ68+CA68)*0.475*44/12</f>
        <v>486.65728665769001</v>
      </c>
      <c r="CC68" s="62">
        <f t="shared" ref="CC68:CC131" si="65">CB68+(BT68+BU68)*44/12</f>
        <v>779.99061999102332</v>
      </c>
      <c r="CD68" s="62">
        <f ca="1">AVERAGE(OFFSET($CC$3,0,0,'Données projet'!$E$12+1,1))-AVERAGE(OFFSET($H$3,0,0,'Données projet'!$E$12+1,1))</f>
        <v>344.45199703750711</v>
      </c>
      <c r="CE68" s="62">
        <f t="shared" si="40"/>
        <v>376.41441893222185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289</v>
      </c>
      <c r="CR68" s="13">
        <f>VLOOKUP(A68,'Données projet'!$A$139:$I$159,9,0)</f>
        <v>5.8</v>
      </c>
      <c r="CS68" s="13">
        <f t="array" ref="CS68">INDEX(CR:CR,MIN(IF(ISNUMBER(CR68:CR264),ROW(CR68:CR264),"")))</f>
        <v>5.8</v>
      </c>
      <c r="CT68" s="13">
        <f>IF('Données projet'!$A$140&gt;35,CT67+CS68-DB67,IF(A68&lt;'Données projet'!$A$140,$CQ$205^A68,IF(A68='Données projet'!$A$140,'Données projet'!$B$140,CT67+CS68-DB67)))</f>
        <v>289.00000000000011</v>
      </c>
      <c r="CU68" s="18">
        <f>CT68*VLOOKUP('Données projet'!$B$13,Paramètres!$A$1:$I$89,3,0)*VLOOKUP('Données projet'!$B$13,Paramètres!$A$1:$I$89,5,0)</f>
        <v>189.35280000000006</v>
      </c>
      <c r="CV68" s="14">
        <f t="shared" si="41"/>
        <v>47.396837717691596</v>
      </c>
      <c r="CW68" s="22">
        <f t="shared" ref="CW68:CW131" si="67">(CU68+CV68)*0.475*44/12</f>
        <v>412.33895235831295</v>
      </c>
      <c r="CX68" s="62">
        <f t="shared" ref="CX68:CX131" si="68">CW68+(CO68+CP68)*44/12</f>
        <v>705.67228569164627</v>
      </c>
      <c r="CY68" s="62">
        <f ca="1">AVERAGE(OFFSET($CX$3,0,0,'Données projet'!$E$13+1,1))-AVERAGE(OFFSET($H$3,0,0,'Données projet'!$E$13+1,1))</f>
        <v>311.53750850588153</v>
      </c>
      <c r="CZ68" s="62">
        <f t="shared" si="42"/>
        <v>304.84379909635476</v>
      </c>
      <c r="DA68" s="16">
        <f>IF(ISNA(VLOOKUP(A68,'Données projet'!$A$139:$I$159,3,0)),0,VLOOKUP(A68,'Données projet'!$A$139:$I$159,3,0))</f>
        <v>5</v>
      </c>
      <c r="DB68" s="16">
        <f>IF(ISNA(VLOOKUP(A68,'Données projet'!$A$139:$I$159,4,0)),0,VLOOKUP(A68,'Données projet'!$A$139:$I$159,4,0))</f>
        <v>46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-1.1368683772161603E-13</v>
      </c>
      <c r="DP68" s="18">
        <f>DO68*VLOOKUP('Données projet'!$B$14,Paramètres!$A$1:$I$89,3,0)*VLOOKUP('Données projet'!$B$14,Paramètres!$A$1:$I$89,5,0)</f>
        <v>-9.2222762759774927E-14</v>
      </c>
      <c r="DQ68" s="14" t="e">
        <f t="shared" si="43"/>
        <v>#NUM!</v>
      </c>
      <c r="DR68" s="22" t="e">
        <f t="shared" ref="DR68:DR131" si="70">(DP68+DQ68)*0.475*44/12</f>
        <v>#NUM!</v>
      </c>
      <c r="DS68" s="62" t="e">
        <f t="shared" ref="DS68:DS131" si="71">DR68+(DJ68+DK68)*44/12</f>
        <v>#NUM!</v>
      </c>
      <c r="DT68" s="62">
        <f ca="1">AVERAGE(OFFSET($DS$3,0,0,'Données projet'!$E$14+1,1))-AVERAGE(OFFSET($H$3,0,0,'Données projet'!$E$14+1,1))</f>
        <v>256.19915261735281</v>
      </c>
      <c r="DU68" s="62">
        <f t="shared" si="44"/>
        <v>297.47246687305056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232.69230769230768</v>
      </c>
      <c r="EH68" s="13">
        <f>VLOOKUP(A68,'Données projet'!$A$191:$I$211,9,0)</f>
        <v>5</v>
      </c>
      <c r="EI68" s="13">
        <f t="array" ref="EI68">INDEX(EH:EH,MIN(IF(ISNUMBER(EH68:EH264),ROW(EH68:EH264),"")))</f>
        <v>5</v>
      </c>
      <c r="EJ68" s="13">
        <f>IF('Données projet'!$A$192&gt;35,EJ67+EI68-ER67,IF(A68&lt;'Données projet'!$A$192,$EG$205^A68,IF(A68='Données projet'!$A$192,'Données projet'!$B$192,EJ67+EI68-ER67)))</f>
        <v>232.69230769230759</v>
      </c>
      <c r="EK68" s="18">
        <f>EJ68*VLOOKUP('Données projet'!$B$15,Paramètres!$A$1:$I$89,3,0)*VLOOKUP('Données projet'!$B$15,Paramètres!$A$1:$I$89,5,0)</f>
        <v>221.42999999999989</v>
      </c>
      <c r="EL68" s="14">
        <f t="shared" si="45"/>
        <v>54.425571861733111</v>
      </c>
      <c r="EM68" s="22">
        <f t="shared" ref="EM68:EM131" si="73">(EK68+EL68)*0.475*44/12</f>
        <v>480.44845432585157</v>
      </c>
      <c r="EN68" s="62">
        <f t="shared" ref="EN68:EN131" si="74">EM68+(EE68+EF68)*44/12</f>
        <v>773.78178765918483</v>
      </c>
      <c r="EO68" s="62">
        <f ca="1">AVERAGE(OFFSET($EN$3,0,0,'Données projet'!$E$15+1,1))-AVERAGE(OFFSET($H$3,0,0,'Données projet'!$E$15+1,1))</f>
        <v>406.24139966722936</v>
      </c>
      <c r="EP68" s="62">
        <f t="shared" si="46"/>
        <v>295.95724296920577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32.692307692307693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8.6666666666666661</v>
      </c>
      <c r="FE68" s="13">
        <f>IF('Données projet'!$A$218&gt;35,FE67+FD68-FM67,IF(A68&lt;'Données projet'!$A$218,$FB$205^A68,IF(A68='Données projet'!$A$218,'Données projet'!$B$218,FE67+FD68-FM67)))</f>
        <v>293.33333333333337</v>
      </c>
      <c r="FF68" s="18">
        <f>FE68*VLOOKUP('Données projet'!$B$16,Paramètres!$A$1:$I$89,3,0)*VLOOKUP('Données projet'!$B$16,Paramètres!$A$1:$I$89,5,0)</f>
        <v>228.80000000000004</v>
      </c>
      <c r="FG68" s="14">
        <f t="shared" si="47"/>
        <v>56.023134533701196</v>
      </c>
      <c r="FH68" s="22">
        <f t="shared" ref="FH68:FH131" si="76">(FF68+FG68)*0.475*44/12</f>
        <v>496.06695931286299</v>
      </c>
      <c r="FI68" s="62">
        <f t="shared" ref="FI68:FI131" si="77">FH68+(EZ68+FA68)*44/12</f>
        <v>789.40029264619625</v>
      </c>
      <c r="FJ68" s="62">
        <f ca="1">AVERAGE(OFFSET($FI$3,0,0,'Données projet'!$E$16+1,1))-AVERAGE(OFFSET($H$3,0,0,'Données projet'!$E$16+1,1))</f>
        <v>292.57482726862594</v>
      </c>
      <c r="FK68" s="62">
        <f t="shared" si="48"/>
        <v>283.48738729114024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317</v>
      </c>
      <c r="FX68" s="13">
        <f>VLOOKUP(A68,'Données projet'!$A$243:$I$263,9,0)</f>
        <v>8.8000000000000007</v>
      </c>
      <c r="FY68" s="13">
        <f t="array" ref="FY68">INDEX(FX:FX,MIN(IF(ISNUMBER(FX68:FX264),ROW(FX68:FX264),"")))</f>
        <v>8.8000000000000007</v>
      </c>
      <c r="FZ68" s="13">
        <f>IF('Données projet'!$A$244&gt;35,FZ67+FY68-GH67,IF(A68&lt;'Données projet'!$A$244,$FW$205^A68,IF(A68='Données projet'!$A$244,'Données projet'!$B$244,FZ67+FY68-GH67)))</f>
        <v>317</v>
      </c>
      <c r="GA68" s="18">
        <f>FZ68*VLOOKUP('Données projet'!$B$17,Paramètres!$A$1:$I$89,3,0)*VLOOKUP('Données projet'!$B$17,Paramètres!$A$1:$I$89,5,0)</f>
        <v>306.60239999999999</v>
      </c>
      <c r="GB68" s="14">
        <f t="shared" si="49"/>
        <v>72.558821602115088</v>
      </c>
      <c r="GC68" s="22">
        <f t="shared" ref="GC68:GC131" si="79">(GA68+GB68)*0.475*44/12</f>
        <v>660.3724609570171</v>
      </c>
      <c r="GD68" s="62">
        <f t="shared" ref="GD68:GD131" si="80">GC68+(FU68+FV68)*44/12</f>
        <v>953.70579429035047</v>
      </c>
      <c r="GE68" s="62">
        <f ca="1">AVERAGE(OFFSET($GD$3,0,0,'Données projet'!$E$17+1,1))-AVERAGE(OFFSET($H$3,0,0,'Données projet'!$E$17+1,1))</f>
        <v>562.69380557620775</v>
      </c>
      <c r="GF68" s="62">
        <f t="shared" si="50"/>
        <v>294.45557293177131</v>
      </c>
      <c r="GG68" s="16">
        <f>IF(ISNA(VLOOKUP(A68,'Données projet'!$A$243:$I$263,3,0)),0,VLOOKUP(A68,'Données projet'!$A$243:$I$263,3,0))</f>
        <v>5</v>
      </c>
      <c r="GH68" s="16">
        <f>IF(ISNA(VLOOKUP(A68,'Données projet'!$A$243:$I$263,4,0)),0,VLOOKUP(A68,'Données projet'!$A$243:$I$263,4,0))</f>
        <v>56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529.25712986118265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13.777777777777779</v>
      </c>
      <c r="AI69" s="14">
        <f>IF('Données projet'!$A$62&gt;35,AI68+AH69-AQ68,IF(A69&lt;'Données projet'!$A$62,$AF$205^A69,IF(A69='Données projet'!$A$62,'Données projet'!$B$62,AI68+AH69-AQ68)))</f>
        <v>316.66666666666646</v>
      </c>
      <c r="AJ69" s="14">
        <f>AI69*VLOOKUP('Données projet'!$B$10,Paramètres!$A$1:$I$89,3,0)*VLOOKUP('Données projet'!$B$10,Paramètres!$A$1:$I$89,5,0)</f>
        <v>271.69999999999987</v>
      </c>
      <c r="AK69" s="14">
        <f t="shared" ref="AK69:AK132" si="89">EXP(-1.0587+0.8836*LN(AJ69)+0.284)</f>
        <v>65.209920294809322</v>
      </c>
      <c r="AL69" s="22">
        <f t="shared" si="58"/>
        <v>586.78477784679262</v>
      </c>
      <c r="AM69" s="62">
        <f t="shared" si="59"/>
        <v>880.11811118012588</v>
      </c>
      <c r="AN69" s="62">
        <f ca="1">AVERAGE(OFFSET($AM$3,0,0,'Données projet'!$E$10+1,1))-AVERAGE(OFFSET($H$3,0,0,'Données projet'!$E$10+1,1))</f>
        <v>446.86777652265448</v>
      </c>
      <c r="AO69" s="62">
        <f t="shared" ref="AO69:AO132" si="90">$AO$3</f>
        <v>230.82970731138215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4.5</v>
      </c>
      <c r="BD69" s="13">
        <f>IF('Données projet'!$A$88&gt;35,BD68+BC69-BL68,IF(A69&lt;'Données projet'!$A$88,$BA$205^A69,IF(A69='Données projet'!$A$88,'Données projet'!$B$88,BD68+BC69-BL68)))</f>
        <v>310.49999999999989</v>
      </c>
      <c r="BE69" s="14">
        <f>BD69*VLOOKUP('Données projet'!$B$11,Paramètres!$A$1:$I$89,3,0)*VLOOKUP('Données projet'!$B$11,Paramètres!$A$1:$I$89,5,0)</f>
        <v>247.0337999999999</v>
      </c>
      <c r="BF69" s="14">
        <f t="shared" ref="BF69:BF132" si="91">EXP(-1.0587+0.8836*LN(BE69)+0.284)</f>
        <v>59.950333213989722</v>
      </c>
      <c r="BG69" s="22">
        <f t="shared" si="61"/>
        <v>534.66403201436515</v>
      </c>
      <c r="BH69" s="62">
        <f t="shared" si="62"/>
        <v>827.99736534769841</v>
      </c>
      <c r="BI69" s="62">
        <f ca="1">AVERAGE(OFFSET($BH$3,0,0,'Données projet'!$E$11+1,1))-AVERAGE(OFFSET($H$3,0,0,'Données projet'!$E$11+1,1))</f>
        <v>370.59298168107364</v>
      </c>
      <c r="BJ69" s="62">
        <f t="shared" ref="BJ69:BJ132" si="92">$BJ$3</f>
        <v>404.61777090709171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4.5</v>
      </c>
      <c r="BY69" s="13">
        <f>IF('Données projet'!$A$114&gt;35,BY68+BX69-CG68,IF(A69&lt;'Données projet'!$A$114,$BV$205^A69,IF(A69='Données projet'!$A$114,'Données projet'!$B$114,BY68+BX69-CG68)))</f>
        <v>310.49999999999989</v>
      </c>
      <c r="BZ69" s="14">
        <f>BY69*VLOOKUP('Données projet'!$B$12,Paramètres!$A$1:$I$89,3,0)*VLOOKUP('Données projet'!$B$12,Paramètres!$A$1:$I$89,5,0)</f>
        <v>227.65859999999992</v>
      </c>
      <c r="CA69" s="14">
        <f t="shared" ref="CA69:CA132" si="93">EXP(-1.0587+0.8836*LN(BZ69)+0.284)</f>
        <v>55.776115016621809</v>
      </c>
      <c r="CB69" s="22">
        <f t="shared" si="64"/>
        <v>493.64879532061622</v>
      </c>
      <c r="CC69" s="62">
        <f t="shared" si="65"/>
        <v>786.98212865394953</v>
      </c>
      <c r="CD69" s="62">
        <f ca="1">AVERAGE(OFFSET($CC$3,0,0,'Données projet'!$E$12+1,1))-AVERAGE(OFFSET($H$3,0,0,'Données projet'!$E$12+1,1))</f>
        <v>344.45199703750711</v>
      </c>
      <c r="CE69" s="62">
        <f t="shared" ref="CE69:CE132" si="94">$CE$3</f>
        <v>376.41441893222185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5.4</v>
      </c>
      <c r="CT69" s="13">
        <f>IF('Données projet'!$A$140&gt;35,CT68+CS69-DB68,IF(A69&lt;'Données projet'!$A$140,$CQ$205^A69,IF(A69='Données projet'!$A$140,'Données projet'!$B$140,CT68+CS69-DB68)))</f>
        <v>248.40000000000009</v>
      </c>
      <c r="CU69" s="18">
        <f>CT69*VLOOKUP('Données projet'!$B$13,Paramètres!$A$1:$I$89,3,0)*VLOOKUP('Données projet'!$B$13,Paramètres!$A$1:$I$89,5,0)</f>
        <v>162.75168000000005</v>
      </c>
      <c r="CV69" s="14">
        <f t="shared" ref="CV69:CV132" si="95">EXP(-1.0587+0.8836*LN(CU69)+0.284)</f>
        <v>41.462547229213008</v>
      </c>
      <c r="CW69" s="22">
        <f t="shared" si="67"/>
        <v>355.67311242421277</v>
      </c>
      <c r="CX69" s="62">
        <f t="shared" si="68"/>
        <v>649.00644575754609</v>
      </c>
      <c r="CY69" s="62">
        <f ca="1">AVERAGE(OFFSET($CX$3,0,0,'Données projet'!$E$13+1,1))-AVERAGE(OFFSET($H$3,0,0,'Données projet'!$E$13+1,1))</f>
        <v>311.53750850588153</v>
      </c>
      <c r="CZ69" s="62">
        <f t="shared" ref="CZ69:CZ132" si="96">$CZ$3</f>
        <v>304.84379909635476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-1.1368683772161603E-13</v>
      </c>
      <c r="DP69" s="18">
        <f>DO69*VLOOKUP('Données projet'!$B$14,Paramètres!$A$1:$I$89,3,0)*VLOOKUP('Données projet'!$B$14,Paramètres!$A$1:$I$89,5,0)</f>
        <v>-9.2222762759774927E-14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256.19915261735281</v>
      </c>
      <c r="DU69" s="62">
        <f t="shared" ref="DU69:DU132" si="98">$DU$3</f>
        <v>297.47246687305056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4.7435897435897401</v>
      </c>
      <c r="EJ69" s="13">
        <f>IF('Données projet'!$A$192&gt;35,EJ68+EI69-ER68,IF(A69&lt;'Données projet'!$A$192,$EG$205^A69,IF(A69='Données projet'!$A$192,'Données projet'!$B$192,EJ68+EI69-ER68)))</f>
        <v>204.74358974358967</v>
      </c>
      <c r="EK69" s="18">
        <f>EJ69*VLOOKUP('Données projet'!$B$15,Paramètres!$A$1:$I$89,3,0)*VLOOKUP('Données projet'!$B$15,Paramètres!$A$1:$I$89,5,0)</f>
        <v>194.83399999999995</v>
      </c>
      <c r="EL69" s="14">
        <f t="shared" ref="EL69:EL132" si="99">EXP(-1.0587+0.8836*LN(EK69)+0.284)</f>
        <v>48.607113902081203</v>
      </c>
      <c r="EM69" s="22">
        <f t="shared" si="73"/>
        <v>423.993273379458</v>
      </c>
      <c r="EN69" s="62">
        <f t="shared" si="74"/>
        <v>717.32660671279132</v>
      </c>
      <c r="EO69" s="62">
        <f ca="1">AVERAGE(OFFSET($EN$3,0,0,'Données projet'!$E$15+1,1))-AVERAGE(OFFSET($H$3,0,0,'Données projet'!$E$15+1,1))</f>
        <v>406.24139966722936</v>
      </c>
      <c r="EP69" s="62">
        <f t="shared" ref="EP69:EP132" si="100">$EP$3</f>
        <v>295.95724296920577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8.6666666666666661</v>
      </c>
      <c r="FE69" s="13">
        <f>IF('Données projet'!$A$218&gt;35,FE68+FD69-FM68,IF(A69&lt;'Données projet'!$A$218,$FB$205^A69,IF(A69='Données projet'!$A$218,'Données projet'!$B$218,FE68+FD69-FM68)))</f>
        <v>302.00000000000006</v>
      </c>
      <c r="FF69" s="18">
        <f>FE69*VLOOKUP('Données projet'!$B$16,Paramètres!$A$1:$I$89,3,0)*VLOOKUP('Données projet'!$B$16,Paramètres!$A$1:$I$89,5,0)</f>
        <v>235.56000000000006</v>
      </c>
      <c r="FG69" s="14">
        <f t="shared" ref="FG69:FG132" si="101">EXP(-1.0587+0.8836*LN(FF69)+0.284)</f>
        <v>57.483207143847771</v>
      </c>
      <c r="FH69" s="22">
        <f t="shared" si="76"/>
        <v>510.38358577553487</v>
      </c>
      <c r="FI69" s="62">
        <f t="shared" si="77"/>
        <v>803.71691910886818</v>
      </c>
      <c r="FJ69" s="62">
        <f ca="1">AVERAGE(OFFSET($FI$3,0,0,'Données projet'!$E$16+1,1))-AVERAGE(OFFSET($H$3,0,0,'Données projet'!$E$16+1,1))</f>
        <v>292.57482726862594</v>
      </c>
      <c r="FK69" s="62">
        <f t="shared" ref="FK69:FK132" si="102">$FK$3</f>
        <v>283.48738729114024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8.1999999999999993</v>
      </c>
      <c r="FZ69" s="13">
        <f>IF('Données projet'!$A$244&gt;35,FZ68+FY69-GH68,IF(A69&lt;'Données projet'!$A$244,$FW$205^A69,IF(A69='Données projet'!$A$244,'Données projet'!$B$244,FZ68+FY69-GH68)))</f>
        <v>269.2</v>
      </c>
      <c r="GA69" s="18">
        <f>FZ69*VLOOKUP('Données projet'!$B$17,Paramètres!$A$1:$I$89,3,0)*VLOOKUP('Données projet'!$B$17,Paramètres!$A$1:$I$89,5,0)</f>
        <v>260.37024000000002</v>
      </c>
      <c r="GB69" s="14">
        <f t="shared" ref="GB69:GB132" si="103">EXP(-1.0587+0.8836*LN(GA69)+0.284)</f>
        <v>62.801291625234725</v>
      </c>
      <c r="GC69" s="22">
        <f t="shared" si="79"/>
        <v>562.85708424728386</v>
      </c>
      <c r="GD69" s="62">
        <f t="shared" si="80"/>
        <v>856.19041758061712</v>
      </c>
      <c r="GE69" s="62">
        <f ca="1">AVERAGE(OFFSET($GD$3,0,0,'Données projet'!$E$17+1,1))-AVERAGE(OFFSET($H$3,0,0,'Données projet'!$E$17+1,1))</f>
        <v>562.69380557620775</v>
      </c>
      <c r="GF69" s="62">
        <f t="shared" ref="GF69:GF132" si="104">$GF$3</f>
        <v>294.45557293177131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529.25712986118265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13.777777777777779</v>
      </c>
      <c r="AI70" s="14">
        <f>IF('Données projet'!$A$62&gt;35,AI69+AH70-AQ69,IF(A70&lt;'Données projet'!$A$62,$AF$205^A70,IF(A70='Données projet'!$A$62,'Données projet'!$B$62,AI69+AH70-AQ69)))</f>
        <v>330.44444444444423</v>
      </c>
      <c r="AJ70" s="14">
        <f>AI70*VLOOKUP('Données projet'!$B$10,Paramètres!$A$1:$I$89,3,0)*VLOOKUP('Données projet'!$B$10,Paramètres!$A$1:$I$89,5,0)</f>
        <v>283.52133333333319</v>
      </c>
      <c r="AK70" s="14">
        <f t="shared" si="89"/>
        <v>67.71062569759917</v>
      </c>
      <c r="AL70" s="22">
        <f t="shared" si="58"/>
        <v>611.72899531220708</v>
      </c>
      <c r="AM70" s="62">
        <f t="shared" si="59"/>
        <v>905.06232864554045</v>
      </c>
      <c r="AN70" s="62">
        <f ca="1">AVERAGE(OFFSET($AM$3,0,0,'Données projet'!$E$10+1,1))-AVERAGE(OFFSET($H$3,0,0,'Données projet'!$E$10+1,1))</f>
        <v>446.86777652265448</v>
      </c>
      <c r="AO70" s="62">
        <f t="shared" si="90"/>
        <v>230.82970731138215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4.5</v>
      </c>
      <c r="BD70" s="13">
        <f>IF('Données projet'!$A$88&gt;35,BD69+BC70-BL69,IF(A70&lt;'Données projet'!$A$88,$BA$205^A70,IF(A70='Données projet'!$A$88,'Données projet'!$B$88,BD69+BC70-BL69)))</f>
        <v>314.99999999999989</v>
      </c>
      <c r="BE70" s="14">
        <f>BD70*VLOOKUP('Données projet'!$B$11,Paramètres!$A$1:$I$89,3,0)*VLOOKUP('Données projet'!$B$11,Paramètres!$A$1:$I$89,5,0)</f>
        <v>250.61399999999992</v>
      </c>
      <c r="BF70" s="14">
        <f t="shared" si="91"/>
        <v>60.717400934916043</v>
      </c>
      <c r="BG70" s="22">
        <f t="shared" si="61"/>
        <v>542.23552329497863</v>
      </c>
      <c r="BH70" s="62">
        <f t="shared" si="62"/>
        <v>835.56885662831201</v>
      </c>
      <c r="BI70" s="62">
        <f ca="1">AVERAGE(OFFSET($BH$3,0,0,'Données projet'!$E$11+1,1))-AVERAGE(OFFSET($H$3,0,0,'Données projet'!$E$11+1,1))</f>
        <v>370.59298168107364</v>
      </c>
      <c r="BJ70" s="62">
        <f t="shared" si="92"/>
        <v>404.61777090709171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4.5</v>
      </c>
      <c r="BY70" s="13">
        <f>IF('Données projet'!$A$114&gt;35,BY69+BX70-CG69,IF(A70&lt;'Données projet'!$A$114,$BV$205^A70,IF(A70='Données projet'!$A$114,'Données projet'!$B$114,BY69+BX70-CG69)))</f>
        <v>314.99999999999989</v>
      </c>
      <c r="BZ70" s="14">
        <f>BY70*VLOOKUP('Données projet'!$B$12,Paramètres!$A$1:$I$89,3,0)*VLOOKUP('Données projet'!$B$12,Paramètres!$A$1:$I$89,5,0)</f>
        <v>230.95799999999988</v>
      </c>
      <c r="CA70" s="14">
        <f t="shared" si="93"/>
        <v>56.489773392384429</v>
      </c>
      <c r="CB70" s="22">
        <f t="shared" si="64"/>
        <v>500.63820532506929</v>
      </c>
      <c r="CC70" s="62">
        <f t="shared" si="65"/>
        <v>793.97153865840255</v>
      </c>
      <c r="CD70" s="62">
        <f ca="1">AVERAGE(OFFSET($CC$3,0,0,'Données projet'!$E$12+1,1))-AVERAGE(OFFSET($H$3,0,0,'Données projet'!$E$12+1,1))</f>
        <v>344.45199703750711</v>
      </c>
      <c r="CE70" s="62">
        <f t="shared" si="94"/>
        <v>376.41441893222185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5.4</v>
      </c>
      <c r="CT70" s="13">
        <f>IF('Données projet'!$A$140&gt;35,CT69+CS70-DB69,IF(A70&lt;'Données projet'!$A$140,$CQ$205^A70,IF(A70='Données projet'!$A$140,'Données projet'!$B$140,CT69+CS70-DB69)))</f>
        <v>253.8000000000001</v>
      </c>
      <c r="CU70" s="18">
        <f>CT70*VLOOKUP('Données projet'!$B$13,Paramètres!$A$1:$I$89,3,0)*VLOOKUP('Données projet'!$B$13,Paramètres!$A$1:$I$89,5,0)</f>
        <v>166.28976000000006</v>
      </c>
      <c r="CV70" s="14">
        <f t="shared" si="95"/>
        <v>42.257989067732332</v>
      </c>
      <c r="CW70" s="22">
        <f t="shared" si="67"/>
        <v>363.2206629596339</v>
      </c>
      <c r="CX70" s="62">
        <f t="shared" si="68"/>
        <v>656.55399629296721</v>
      </c>
      <c r="CY70" s="62">
        <f ca="1">AVERAGE(OFFSET($CX$3,0,0,'Données projet'!$E$13+1,1))-AVERAGE(OFFSET($H$3,0,0,'Données projet'!$E$13+1,1))</f>
        <v>311.53750850588153</v>
      </c>
      <c r="CZ70" s="62">
        <f t="shared" si="96"/>
        <v>304.84379909635476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-1.1368683772161603E-13</v>
      </c>
      <c r="DP70" s="18">
        <f>DO70*VLOOKUP('Données projet'!$B$14,Paramètres!$A$1:$I$89,3,0)*VLOOKUP('Données projet'!$B$14,Paramètres!$A$1:$I$89,5,0)</f>
        <v>-9.2222762759774927E-14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256.19915261735281</v>
      </c>
      <c r="DU70" s="62">
        <f t="shared" si="98"/>
        <v>297.47246687305056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4.7435897435897401</v>
      </c>
      <c r="EJ70" s="13">
        <f>IF('Données projet'!$A$192&gt;35,EJ69+EI70-ER69,IF(A70&lt;'Données projet'!$A$192,$EG$205^A70,IF(A70='Données projet'!$A$192,'Données projet'!$B$192,EJ69+EI70-ER69)))</f>
        <v>209.48717948717942</v>
      </c>
      <c r="EK70" s="18">
        <f>EJ70*VLOOKUP('Données projet'!$B$15,Paramètres!$A$1:$I$89,3,0)*VLOOKUP('Données projet'!$B$15,Paramètres!$A$1:$I$89,5,0)</f>
        <v>199.34799999999993</v>
      </c>
      <c r="EL70" s="14">
        <f t="shared" si="99"/>
        <v>49.600850639748678</v>
      </c>
      <c r="EM70" s="22">
        <f t="shared" si="73"/>
        <v>433.58591486422876</v>
      </c>
      <c r="EN70" s="62">
        <f t="shared" si="74"/>
        <v>726.91924819756207</v>
      </c>
      <c r="EO70" s="62">
        <f ca="1">AVERAGE(OFFSET($EN$3,0,0,'Données projet'!$E$15+1,1))-AVERAGE(OFFSET($H$3,0,0,'Données projet'!$E$15+1,1))</f>
        <v>406.24139966722936</v>
      </c>
      <c r="EP70" s="62">
        <f t="shared" si="100"/>
        <v>295.95724296920577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8.6666666666666661</v>
      </c>
      <c r="FE70" s="13">
        <f>IF('Données projet'!$A$218&gt;35,FE69+FD70-FM69,IF(A70&lt;'Données projet'!$A$218,$FB$205^A70,IF(A70='Données projet'!$A$218,'Données projet'!$B$218,FE69+FD70-FM69)))</f>
        <v>310.66666666666674</v>
      </c>
      <c r="FF70" s="18">
        <f>FE70*VLOOKUP('Données projet'!$B$16,Paramètres!$A$1:$I$89,3,0)*VLOOKUP('Données projet'!$B$16,Paramètres!$A$1:$I$89,5,0)</f>
        <v>242.32000000000008</v>
      </c>
      <c r="FG70" s="14">
        <f t="shared" si="101"/>
        <v>58.938409961900909</v>
      </c>
      <c r="FH70" s="22">
        <f t="shared" si="76"/>
        <v>524.69173068364421</v>
      </c>
      <c r="FI70" s="62">
        <f t="shared" si="77"/>
        <v>818.02506401697747</v>
      </c>
      <c r="FJ70" s="62">
        <f ca="1">AVERAGE(OFFSET($FI$3,0,0,'Données projet'!$E$16+1,1))-AVERAGE(OFFSET($H$3,0,0,'Données projet'!$E$16+1,1))</f>
        <v>292.57482726862594</v>
      </c>
      <c r="FK70" s="62">
        <f t="shared" si="102"/>
        <v>283.48738729114024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8.1999999999999993</v>
      </c>
      <c r="FZ70" s="13">
        <f>IF('Données projet'!$A$244&gt;35,FZ69+FY70-GH69,IF(A70&lt;'Données projet'!$A$244,$FW$205^A70,IF(A70='Données projet'!$A$244,'Données projet'!$B$244,FZ69+FY70-GH69)))</f>
        <v>277.39999999999998</v>
      </c>
      <c r="GA70" s="18">
        <f>FZ70*VLOOKUP('Données projet'!$B$17,Paramètres!$A$1:$I$89,3,0)*VLOOKUP('Données projet'!$B$17,Paramètres!$A$1:$I$89,5,0)</f>
        <v>268.30127999999996</v>
      </c>
      <c r="GB70" s="14">
        <f t="shared" si="103"/>
        <v>64.488625713042012</v>
      </c>
      <c r="GC70" s="22">
        <f t="shared" si="79"/>
        <v>579.60908578354815</v>
      </c>
      <c r="GD70" s="62">
        <f t="shared" si="80"/>
        <v>872.94241911688141</v>
      </c>
      <c r="GE70" s="62">
        <f ca="1">AVERAGE(OFFSET($GD$3,0,0,'Données projet'!$E$17+1,1))-AVERAGE(OFFSET($H$3,0,0,'Données projet'!$E$17+1,1))</f>
        <v>562.69380557620775</v>
      </c>
      <c r="GF70" s="62">
        <f t="shared" si="104"/>
        <v>294.45557293177131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529.25712986118265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13.777777777777779</v>
      </c>
      <c r="AI71" s="14">
        <f>IF('Données projet'!$A$62&gt;35,AI70+AH71-AQ70,IF(A71&lt;'Données projet'!$A$62,$AF$205^A71,IF(A71='Données projet'!$A$62,'Données projet'!$B$62,AI70+AH71-AQ70)))</f>
        <v>344.222222222222</v>
      </c>
      <c r="AJ71" s="14">
        <f>AI71*VLOOKUP('Données projet'!$B$10,Paramètres!$A$1:$I$89,3,0)*VLOOKUP('Données projet'!$B$10,Paramètres!$A$1:$I$89,5,0)</f>
        <v>295.3426666666665</v>
      </c>
      <c r="AK71" s="14">
        <f t="shared" si="89"/>
        <v>70.199220220485287</v>
      </c>
      <c r="AL71" s="22">
        <f t="shared" si="58"/>
        <v>636.65211966178947</v>
      </c>
      <c r="AM71" s="62">
        <f t="shared" si="59"/>
        <v>929.98545299512284</v>
      </c>
      <c r="AN71" s="62">
        <f ca="1">AVERAGE(OFFSET($AM$3,0,0,'Données projet'!$E$10+1,1))-AVERAGE(OFFSET($H$3,0,0,'Données projet'!$E$10+1,1))</f>
        <v>446.86777652265448</v>
      </c>
      <c r="AO71" s="62">
        <f t="shared" si="90"/>
        <v>230.82970731138215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4.5</v>
      </c>
      <c r="BD71" s="13">
        <f>IF('Données projet'!$A$88&gt;35,BD70+BC71-BL70,IF(A71&lt;'Données projet'!$A$88,$BA$205^A71,IF(A71='Données projet'!$A$88,'Données projet'!$B$88,BD70+BC71-BL70)))</f>
        <v>319.49999999999989</v>
      </c>
      <c r="BE71" s="14">
        <f>BD71*VLOOKUP('Données projet'!$B$11,Paramètres!$A$1:$I$89,3,0)*VLOOKUP('Données projet'!$B$11,Paramètres!$A$1:$I$89,5,0)</f>
        <v>254.19419999999991</v>
      </c>
      <c r="BF71" s="14">
        <f t="shared" si="91"/>
        <v>61.483194145885243</v>
      </c>
      <c r="BG71" s="22">
        <f t="shared" si="61"/>
        <v>549.80479480408326</v>
      </c>
      <c r="BH71" s="62">
        <f t="shared" si="62"/>
        <v>843.13812813741652</v>
      </c>
      <c r="BI71" s="62">
        <f ca="1">AVERAGE(OFFSET($BH$3,0,0,'Données projet'!$E$11+1,1))-AVERAGE(OFFSET($H$3,0,0,'Données projet'!$E$11+1,1))</f>
        <v>370.59298168107364</v>
      </c>
      <c r="BJ71" s="62">
        <f t="shared" si="92"/>
        <v>404.61777090709171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4.5</v>
      </c>
      <c r="BY71" s="13">
        <f>IF('Données projet'!$A$114&gt;35,BY70+BX71-CG70,IF(A71&lt;'Données projet'!$A$114,$BV$205^A71,IF(A71='Données projet'!$A$114,'Données projet'!$B$114,BY70+BX71-CG70)))</f>
        <v>319.49999999999989</v>
      </c>
      <c r="BZ71" s="14">
        <f>BY71*VLOOKUP('Données projet'!$B$12,Paramètres!$A$1:$I$89,3,0)*VLOOKUP('Données projet'!$B$12,Paramètres!$A$1:$I$89,5,0)</f>
        <v>234.2573999999999</v>
      </c>
      <c r="CA71" s="14">
        <f t="shared" si="93"/>
        <v>57.202245999692629</v>
      </c>
      <c r="CB71" s="22">
        <f t="shared" si="64"/>
        <v>507.62555011613114</v>
      </c>
      <c r="CC71" s="62">
        <f t="shared" si="65"/>
        <v>800.95888344946445</v>
      </c>
      <c r="CD71" s="62">
        <f ca="1">AVERAGE(OFFSET($CC$3,0,0,'Données projet'!$E$12+1,1))-AVERAGE(OFFSET($H$3,0,0,'Données projet'!$E$12+1,1))</f>
        <v>344.45199703750711</v>
      </c>
      <c r="CE71" s="62">
        <f t="shared" si="94"/>
        <v>376.41441893222185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5.4</v>
      </c>
      <c r="CT71" s="13">
        <f>IF('Données projet'!$A$140&gt;35,CT70+CS71-DB70,IF(A71&lt;'Données projet'!$A$140,$CQ$205^A71,IF(A71='Données projet'!$A$140,'Données projet'!$B$140,CT70+CS71-DB70)))</f>
        <v>259.2000000000001</v>
      </c>
      <c r="CU71" s="18">
        <f>CT71*VLOOKUP('Données projet'!$B$13,Paramètres!$A$1:$I$89,3,0)*VLOOKUP('Données projet'!$B$13,Paramètres!$A$1:$I$89,5,0)</f>
        <v>169.82784000000007</v>
      </c>
      <c r="CV71" s="14">
        <f t="shared" si="95"/>
        <v>43.051463198873812</v>
      </c>
      <c r="CW71" s="22">
        <f t="shared" si="67"/>
        <v>370.76478640470532</v>
      </c>
      <c r="CX71" s="62">
        <f t="shared" si="68"/>
        <v>664.09811973803858</v>
      </c>
      <c r="CY71" s="62">
        <f ca="1">AVERAGE(OFFSET($CX$3,0,0,'Données projet'!$E$13+1,1))-AVERAGE(OFFSET($H$3,0,0,'Données projet'!$E$13+1,1))</f>
        <v>311.53750850588153</v>
      </c>
      <c r="CZ71" s="62">
        <f t="shared" si="96"/>
        <v>304.84379909635476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-1.1368683772161603E-13</v>
      </c>
      <c r="DP71" s="18">
        <f>DO71*VLOOKUP('Données projet'!$B$14,Paramètres!$A$1:$I$89,3,0)*VLOOKUP('Données projet'!$B$14,Paramètres!$A$1:$I$89,5,0)</f>
        <v>-9.2222762759774927E-14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256.19915261735281</v>
      </c>
      <c r="DU71" s="62">
        <f t="shared" si="98"/>
        <v>297.47246687305056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4.7435897435897401</v>
      </c>
      <c r="EJ71" s="13">
        <f>IF('Données projet'!$A$192&gt;35,EJ70+EI71-ER70,IF(A71&lt;'Données projet'!$A$192,$EG$205^A71,IF(A71='Données projet'!$A$192,'Données projet'!$B$192,EJ70+EI71-ER70)))</f>
        <v>214.23076923076917</v>
      </c>
      <c r="EK71" s="18">
        <f>EJ71*VLOOKUP('Données projet'!$B$15,Paramètres!$A$1:$I$89,3,0)*VLOOKUP('Données projet'!$B$15,Paramètres!$A$1:$I$89,5,0)</f>
        <v>203.86199999999994</v>
      </c>
      <c r="EL71" s="14">
        <f t="shared" si="99"/>
        <v>50.591971357727658</v>
      </c>
      <c r="EM71" s="22">
        <f t="shared" si="73"/>
        <v>443.17400011470886</v>
      </c>
      <c r="EN71" s="62">
        <f t="shared" si="74"/>
        <v>736.50733344804212</v>
      </c>
      <c r="EO71" s="62">
        <f ca="1">AVERAGE(OFFSET($EN$3,0,0,'Données projet'!$E$15+1,1))-AVERAGE(OFFSET($H$3,0,0,'Données projet'!$E$15+1,1))</f>
        <v>406.24139966722936</v>
      </c>
      <c r="EP71" s="62">
        <f t="shared" si="100"/>
        <v>295.95724296920577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8.6666666666666661</v>
      </c>
      <c r="FE71" s="13">
        <f>IF('Données projet'!$A$218&gt;35,FE70+FD71-FM70,IF(A71&lt;'Données projet'!$A$218,$FB$205^A71,IF(A71='Données projet'!$A$218,'Données projet'!$B$218,FE70+FD71-FM70)))</f>
        <v>319.33333333333343</v>
      </c>
      <c r="FF71" s="18">
        <f>FE71*VLOOKUP('Données projet'!$B$16,Paramètres!$A$1:$I$89,3,0)*VLOOKUP('Données projet'!$B$16,Paramètres!$A$1:$I$89,5,0)</f>
        <v>249.08000000000007</v>
      </c>
      <c r="FG71" s="14">
        <f t="shared" si="101"/>
        <v>60.388894447487807</v>
      </c>
      <c r="FH71" s="22">
        <f t="shared" si="76"/>
        <v>538.99165782937473</v>
      </c>
      <c r="FI71" s="62">
        <f t="shared" si="77"/>
        <v>832.3249911627081</v>
      </c>
      <c r="FJ71" s="62">
        <f ca="1">AVERAGE(OFFSET($FI$3,0,0,'Données projet'!$E$16+1,1))-AVERAGE(OFFSET($H$3,0,0,'Données projet'!$E$16+1,1))</f>
        <v>292.57482726862594</v>
      </c>
      <c r="FK71" s="62">
        <f t="shared" si="102"/>
        <v>283.48738729114024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8.1999999999999993</v>
      </c>
      <c r="FZ71" s="13">
        <f>IF('Données projet'!$A$244&gt;35,FZ70+FY71-GH70,IF(A71&lt;'Données projet'!$A$244,$FW$205^A71,IF(A71='Données projet'!$A$244,'Données projet'!$B$244,FZ70+FY71-GH70)))</f>
        <v>285.59999999999997</v>
      </c>
      <c r="GA71" s="18">
        <f>FZ71*VLOOKUP('Données projet'!$B$17,Paramètres!$A$1:$I$89,3,0)*VLOOKUP('Données projet'!$B$17,Paramètres!$A$1:$I$89,5,0)</f>
        <v>276.23231999999996</v>
      </c>
      <c r="GB71" s="14">
        <f t="shared" si="103"/>
        <v>66.170163093943458</v>
      </c>
      <c r="GC71" s="22">
        <f t="shared" si="79"/>
        <v>596.35099138861813</v>
      </c>
      <c r="GD71" s="62">
        <f t="shared" si="80"/>
        <v>889.6843247219515</v>
      </c>
      <c r="GE71" s="62">
        <f ca="1">AVERAGE(OFFSET($GD$3,0,0,'Données projet'!$E$17+1,1))-AVERAGE(OFFSET($H$3,0,0,'Données projet'!$E$17+1,1))</f>
        <v>562.69380557620775</v>
      </c>
      <c r="GF71" s="62">
        <f t="shared" si="104"/>
        <v>294.45557293177131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529.25712986118265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>
        <f>VLOOKUP(A72,'Données projet'!$A$61:$I$81,2,0)</f>
        <v>358</v>
      </c>
      <c r="AG72" s="13">
        <f>VLOOKUP(A72,'Données projet'!$A$61:$I$81,9,0)</f>
        <v>13.777777777777779</v>
      </c>
      <c r="AH72" s="13">
        <f t="array" ref="AH72">INDEX(AG:AG,MIN(IF(ISNUMBER(AG72:AG268),ROW(AG72:AG268),"")))</f>
        <v>13.777777777777779</v>
      </c>
      <c r="AI72" s="14">
        <f>IF('Données projet'!$A$62&gt;35,AI71+AH72-AQ71,IF(A72&lt;'Données projet'!$A$62,$AF$205^A72,IF(A72='Données projet'!$A$62,'Données projet'!$B$62,AI71+AH72-AQ71)))</f>
        <v>357.99999999999977</v>
      </c>
      <c r="AJ72" s="14">
        <f>AI72*VLOOKUP('Données projet'!$B$10,Paramètres!$A$1:$I$89,3,0)*VLOOKUP('Données projet'!$B$10,Paramètres!$A$1:$I$89,5,0)</f>
        <v>307.16399999999982</v>
      </c>
      <c r="AK72" s="14">
        <f t="shared" si="89"/>
        <v>72.676244071302918</v>
      </c>
      <c r="AL72" s="22">
        <f t="shared" si="58"/>
        <v>661.55509175751888</v>
      </c>
      <c r="AM72" s="62">
        <f t="shared" si="59"/>
        <v>954.88842509085225</v>
      </c>
      <c r="AN72" s="62">
        <f ca="1">AVERAGE(OFFSET($AM$3,0,0,'Données projet'!$E$10+1,1))-AVERAGE(OFFSET($H$3,0,0,'Données projet'!$E$10+1,1))</f>
        <v>446.86777652265448</v>
      </c>
      <c r="AO72" s="62">
        <f t="shared" si="90"/>
        <v>230.82970731138215</v>
      </c>
      <c r="AP72" s="16">
        <f>IF(ISNA(VLOOKUP(A72,'Données projet'!$A$61:$I$81,3,0)),0,VLOOKUP(A72,'Données projet'!$A$61:$I$81,3,0))</f>
        <v>8</v>
      </c>
      <c r="AQ72" s="16">
        <f>IF(ISNA(VLOOKUP(A72,'Données projet'!$A$61:$I$81,4,0)),0,VLOOKUP(A72,'Données projet'!$A$61:$I$81,4,0))</f>
        <v>84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4.5</v>
      </c>
      <c r="BD72" s="13">
        <f>IF('Données projet'!$A$88&gt;35,BD71+BC72-BL71,IF(A72&lt;'Données projet'!$A$88,$BA$205^A72,IF(A72='Données projet'!$A$88,'Données projet'!$B$88,BD71+BC72-BL71)))</f>
        <v>323.99999999999989</v>
      </c>
      <c r="BE72" s="14">
        <f>BD72*VLOOKUP('Données projet'!$B$11,Paramètres!$A$1:$I$89,3,0)*VLOOKUP('Données projet'!$B$11,Paramètres!$A$1:$I$89,5,0)</f>
        <v>257.77439999999996</v>
      </c>
      <c r="BF72" s="14">
        <f t="shared" si="91"/>
        <v>62.247732872134293</v>
      </c>
      <c r="BG72" s="22">
        <f t="shared" si="61"/>
        <v>557.37188141896718</v>
      </c>
      <c r="BH72" s="62">
        <f t="shared" si="62"/>
        <v>850.70521475230044</v>
      </c>
      <c r="BI72" s="62">
        <f ca="1">AVERAGE(OFFSET($BH$3,0,0,'Données projet'!$E$11+1,1))-AVERAGE(OFFSET($H$3,0,0,'Données projet'!$E$11+1,1))</f>
        <v>370.59298168107364</v>
      </c>
      <c r="BJ72" s="62">
        <f t="shared" si="92"/>
        <v>404.61777090709171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4.5</v>
      </c>
      <c r="BY72" s="13">
        <f>IF('Données projet'!$A$114&gt;35,BY71+BX72-CG71,IF(A72&lt;'Données projet'!$A$114,$BV$205^A72,IF(A72='Données projet'!$A$114,'Données projet'!$B$114,BY71+BX72-CG71)))</f>
        <v>323.99999999999989</v>
      </c>
      <c r="BZ72" s="14">
        <f>BY72*VLOOKUP('Données projet'!$B$12,Paramètres!$A$1:$I$89,3,0)*VLOOKUP('Données projet'!$B$12,Paramètres!$A$1:$I$89,5,0)</f>
        <v>237.55679999999992</v>
      </c>
      <c r="CA72" s="14">
        <f t="shared" si="93"/>
        <v>57.913551469467308</v>
      </c>
      <c r="CB72" s="22">
        <f t="shared" si="64"/>
        <v>514.61086214265538</v>
      </c>
      <c r="CC72" s="62">
        <f t="shared" si="65"/>
        <v>807.94419547598864</v>
      </c>
      <c r="CD72" s="62">
        <f ca="1">AVERAGE(OFFSET($CC$3,0,0,'Données projet'!$E$12+1,1))-AVERAGE(OFFSET($H$3,0,0,'Données projet'!$E$12+1,1))</f>
        <v>344.45199703750711</v>
      </c>
      <c r="CE72" s="62">
        <f t="shared" si="94"/>
        <v>376.41441893222185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5.4</v>
      </c>
      <c r="CT72" s="13">
        <f>IF('Données projet'!$A$140&gt;35,CT71+CS72-DB71,IF(A72&lt;'Données projet'!$A$140,$CQ$205^A72,IF(A72='Données projet'!$A$140,'Données projet'!$B$140,CT71+CS72-DB71)))</f>
        <v>264.60000000000008</v>
      </c>
      <c r="CU72" s="18">
        <f>CT72*VLOOKUP('Données projet'!$B$13,Paramètres!$A$1:$I$89,3,0)*VLOOKUP('Données projet'!$B$13,Paramètres!$A$1:$I$89,5,0)</f>
        <v>173.36592000000005</v>
      </c>
      <c r="CV72" s="14">
        <f t="shared" si="95"/>
        <v>43.843015339462696</v>
      </c>
      <c r="CW72" s="22">
        <f t="shared" si="67"/>
        <v>378.30556238289756</v>
      </c>
      <c r="CX72" s="62">
        <f t="shared" si="68"/>
        <v>671.63889571623088</v>
      </c>
      <c r="CY72" s="62">
        <f ca="1">AVERAGE(OFFSET($CX$3,0,0,'Données projet'!$E$13+1,1))-AVERAGE(OFFSET($H$3,0,0,'Données projet'!$E$13+1,1))</f>
        <v>311.53750850588153</v>
      </c>
      <c r="CZ72" s="62">
        <f t="shared" si="96"/>
        <v>304.84379909635476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-1.1368683772161603E-13</v>
      </c>
      <c r="DP72" s="18">
        <f>DO72*VLOOKUP('Données projet'!$B$14,Paramètres!$A$1:$I$89,3,0)*VLOOKUP('Données projet'!$B$14,Paramètres!$A$1:$I$89,5,0)</f>
        <v>-9.2222762759774927E-14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256.19915261735281</v>
      </c>
      <c r="DU72" s="62">
        <f t="shared" si="98"/>
        <v>297.47246687305056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4.7435897435897401</v>
      </c>
      <c r="EJ72" s="13">
        <f>IF('Données projet'!$A$192&gt;35,EJ71+EI72-ER71,IF(A72&lt;'Données projet'!$A$192,$EG$205^A72,IF(A72='Données projet'!$A$192,'Données projet'!$B$192,EJ71+EI72-ER71)))</f>
        <v>218.97435897435892</v>
      </c>
      <c r="EK72" s="18">
        <f>EJ72*VLOOKUP('Données projet'!$B$15,Paramètres!$A$1:$I$89,3,0)*VLOOKUP('Données projet'!$B$15,Paramètres!$A$1:$I$89,5,0)</f>
        <v>208.37599999999995</v>
      </c>
      <c r="EL72" s="14">
        <f t="shared" si="99"/>
        <v>51.580540650922785</v>
      </c>
      <c r="EM72" s="22">
        <f t="shared" si="73"/>
        <v>452.75764163369041</v>
      </c>
      <c r="EN72" s="62">
        <f t="shared" si="74"/>
        <v>746.09097496702373</v>
      </c>
      <c r="EO72" s="62">
        <f ca="1">AVERAGE(OFFSET($EN$3,0,0,'Données projet'!$E$15+1,1))-AVERAGE(OFFSET($H$3,0,0,'Données projet'!$E$15+1,1))</f>
        <v>406.24139966722936</v>
      </c>
      <c r="EP72" s="62">
        <f t="shared" si="100"/>
        <v>295.95724296920577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328</v>
      </c>
      <c r="FC72" s="13">
        <f>VLOOKUP(A72,'Données projet'!$A$217:$I$237,9,0)</f>
        <v>8.6666666666666661</v>
      </c>
      <c r="FD72" s="13">
        <f t="array" ref="FD72">INDEX(FC:FC,MIN(IF(ISNUMBER(FC72:FC268),ROW(FC72:FC268),"")))</f>
        <v>8.6666666666666661</v>
      </c>
      <c r="FE72" s="13">
        <f>IF('Données projet'!$A$218&gt;35,FE71+FD72-FM71,IF(A72&lt;'Données projet'!$A$218,$FB$205^A72,IF(A72='Données projet'!$A$218,'Données projet'!$B$218,FE71+FD72-FM71)))</f>
        <v>328.00000000000011</v>
      </c>
      <c r="FF72" s="18">
        <f>FE72*VLOOKUP('Données projet'!$B$16,Paramètres!$A$1:$I$89,3,0)*VLOOKUP('Données projet'!$B$16,Paramètres!$A$1:$I$89,5,0)</f>
        <v>255.84000000000009</v>
      </c>
      <c r="FG72" s="14">
        <f t="shared" si="101"/>
        <v>61.834803371075836</v>
      </c>
      <c r="FH72" s="22">
        <f t="shared" si="76"/>
        <v>553.28361587129064</v>
      </c>
      <c r="FI72" s="62">
        <f t="shared" si="77"/>
        <v>846.61694920462401</v>
      </c>
      <c r="FJ72" s="62">
        <f ca="1">AVERAGE(OFFSET($FI$3,0,0,'Données projet'!$E$16+1,1))-AVERAGE(OFFSET($H$3,0,0,'Données projet'!$E$16+1,1))</f>
        <v>292.57482726862594</v>
      </c>
      <c r="FK72" s="62">
        <f t="shared" si="102"/>
        <v>283.48738729114024</v>
      </c>
      <c r="FL72" s="16">
        <f>IF(ISNA(VLOOKUP(A72,'Données projet'!$A$217:$I$237,3,0)),0,VLOOKUP(A72,'Données projet'!$A$217:$I$237,3,0))</f>
        <v>7</v>
      </c>
      <c r="FM72" s="16">
        <f>IF(ISNA(VLOOKUP(A72,'Données projet'!$A$217:$I$237,4,0)),0,VLOOKUP(A72,'Données projet'!$A$217:$I$237,4,0))</f>
        <v>328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8.1999999999999993</v>
      </c>
      <c r="FZ72" s="13">
        <f>IF('Données projet'!$A$244&gt;35,FZ71+FY72-GH71,IF(A72&lt;'Données projet'!$A$244,$FW$205^A72,IF(A72='Données projet'!$A$244,'Données projet'!$B$244,FZ71+FY72-GH71)))</f>
        <v>293.79999999999995</v>
      </c>
      <c r="GA72" s="18">
        <f>FZ72*VLOOKUP('Données projet'!$B$17,Paramètres!$A$1:$I$89,3,0)*VLOOKUP('Données projet'!$B$17,Paramètres!$A$1:$I$89,5,0)</f>
        <v>284.16335999999995</v>
      </c>
      <c r="GB72" s="14">
        <f t="shared" si="103"/>
        <v>67.846089314219739</v>
      </c>
      <c r="GC72" s="22">
        <f t="shared" si="79"/>
        <v>613.08312422226595</v>
      </c>
      <c r="GD72" s="62">
        <f t="shared" si="80"/>
        <v>906.41645755559921</v>
      </c>
      <c r="GE72" s="62">
        <f ca="1">AVERAGE(OFFSET($GD$3,0,0,'Données projet'!$E$17+1,1))-AVERAGE(OFFSET($H$3,0,0,'Données projet'!$E$17+1,1))</f>
        <v>562.69380557620775</v>
      </c>
      <c r="GF72" s="62">
        <f t="shared" si="104"/>
        <v>294.45557293177131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529.25712986118265</v>
      </c>
      <c r="T73" s="62">
        <f t="shared" si="88"/>
        <v>278.21741231699929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12.555555555555555</v>
      </c>
      <c r="AI73" s="14">
        <f>IF('Données projet'!$A$62&gt;35,AI72+AH73-AQ72,IF(A73&lt;'Données projet'!$A$62,$AF$205^A73,IF(A73='Données projet'!$A$62,'Données projet'!$B$62,AI72+AH73-AQ72)))</f>
        <v>286.55555555555532</v>
      </c>
      <c r="AJ73" s="14">
        <f>AI73*VLOOKUP('Données projet'!$B$10,Paramètres!$A$1:$I$89,3,0)*VLOOKUP('Données projet'!$B$10,Paramètres!$A$1:$I$89,5,0)</f>
        <v>245.86466666666649</v>
      </c>
      <c r="AK73" s="14">
        <f t="shared" si="89"/>
        <v>59.699563669987469</v>
      </c>
      <c r="AL73" s="22">
        <f t="shared" si="58"/>
        <v>532.19103450300565</v>
      </c>
      <c r="AM73" s="62">
        <f t="shared" si="59"/>
        <v>825.52436783633902</v>
      </c>
      <c r="AN73" s="62">
        <f ca="1">AVERAGE(OFFSET($AM$3,0,0,'Données projet'!$E$10+1,1))-AVERAGE(OFFSET($H$3,0,0,'Données projet'!$E$10+1,1))</f>
        <v>446.86777652265448</v>
      </c>
      <c r="AO73" s="62">
        <f t="shared" si="90"/>
        <v>230.82970731138215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328.5</v>
      </c>
      <c r="BB73" s="13">
        <f>VLOOKUP(A73,'Données projet'!$A$87:$I$107,9,0)</f>
        <v>4.5</v>
      </c>
      <c r="BC73" s="13">
        <f t="array" ref="BC73">INDEX(BB:BB,MIN(IF(ISNUMBER(BB73:BB269),ROW(BB73:BB269),"")))</f>
        <v>4.5</v>
      </c>
      <c r="BD73" s="13">
        <f>IF('Données projet'!$A$88&gt;35,BD72+BC73-BL72,IF(A73&lt;'Données projet'!$A$88,$BA$205^A73,IF(A73='Données projet'!$A$88,'Données projet'!$B$88,BD72+BC73-BL72)))</f>
        <v>328.49999999999989</v>
      </c>
      <c r="BE73" s="14">
        <f>BD73*VLOOKUP('Données projet'!$B$11,Paramètres!$A$1:$I$89,3,0)*VLOOKUP('Données projet'!$B$11,Paramètres!$A$1:$I$89,5,0)</f>
        <v>261.35459999999989</v>
      </c>
      <c r="BF73" s="14">
        <f t="shared" si="91"/>
        <v>63.01103655068848</v>
      </c>
      <c r="BG73" s="22">
        <f t="shared" si="61"/>
        <v>564.93681699244883</v>
      </c>
      <c r="BH73" s="62">
        <f t="shared" si="62"/>
        <v>858.2701503257822</v>
      </c>
      <c r="BI73" s="62">
        <f ca="1">AVERAGE(OFFSET($BH$3,0,0,'Données projet'!$E$11+1,1))-AVERAGE(OFFSET($H$3,0,0,'Données projet'!$E$11+1,1))</f>
        <v>370.59298168107364</v>
      </c>
      <c r="BJ73" s="62">
        <f t="shared" si="92"/>
        <v>404.61777090709171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25.9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328.5</v>
      </c>
      <c r="BW73" s="13">
        <f>VLOOKUP(A73,'Données projet'!$A$113:$I$133,9,0)</f>
        <v>4.5</v>
      </c>
      <c r="BX73" s="13">
        <f t="array" ref="BX73">INDEX(BW:BW,MIN(IF(ISNUMBER(BW73:BW269),ROW(BW73:BW269),"")))</f>
        <v>4.5</v>
      </c>
      <c r="BY73" s="13">
        <f>IF('Données projet'!$A$114&gt;35,BY72+BX73-CG72,IF(A73&lt;'Données projet'!$A$114,$BV$205^A73,IF(A73='Données projet'!$A$114,'Données projet'!$B$114,BY72+BX73-CG72)))</f>
        <v>328.49999999999989</v>
      </c>
      <c r="BZ73" s="14">
        <f>BY73*VLOOKUP('Données projet'!$B$12,Paramètres!$A$1:$I$89,3,0)*VLOOKUP('Données projet'!$B$12,Paramètres!$A$1:$I$89,5,0)</f>
        <v>240.85619999999989</v>
      </c>
      <c r="CA73" s="14">
        <f t="shared" si="93"/>
        <v>58.623707885373882</v>
      </c>
      <c r="CB73" s="22">
        <f t="shared" si="64"/>
        <v>521.59417290035935</v>
      </c>
      <c r="CC73" s="62">
        <f t="shared" si="65"/>
        <v>814.92750623369261</v>
      </c>
      <c r="CD73" s="62">
        <f ca="1">AVERAGE(OFFSET($CC$3,0,0,'Données projet'!$E$12+1,1))-AVERAGE(OFFSET($H$3,0,0,'Données projet'!$E$12+1,1))</f>
        <v>344.45199703750711</v>
      </c>
      <c r="CE73" s="62">
        <f t="shared" si="94"/>
        <v>376.41441893222185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25.9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270</v>
      </c>
      <c r="CR73" s="13">
        <f>VLOOKUP(A73,'Données projet'!$A$139:$I$159,9,0)</f>
        <v>5.4</v>
      </c>
      <c r="CS73" s="13">
        <f t="array" ref="CS73">INDEX(CR:CR,MIN(IF(ISNUMBER(CR73:CR269),ROW(CR73:CR269),"")))</f>
        <v>5.4</v>
      </c>
      <c r="CT73" s="13">
        <f>IF('Données projet'!$A$140&gt;35,CT72+CS73-DB72,IF(A73&lt;'Données projet'!$A$140,$CQ$205^A73,IF(A73='Données projet'!$A$140,'Données projet'!$B$140,CT72+CS73-DB72)))</f>
        <v>270.00000000000006</v>
      </c>
      <c r="CU73" s="18">
        <f>CT73*VLOOKUP('Données projet'!$B$13,Paramètres!$A$1:$I$89,3,0)*VLOOKUP('Données projet'!$B$13,Paramètres!$A$1:$I$89,5,0)</f>
        <v>176.90400000000002</v>
      </c>
      <c r="CV73" s="14">
        <f t="shared" si="95"/>
        <v>44.632689233663157</v>
      </c>
      <c r="CW73" s="22">
        <f t="shared" si="67"/>
        <v>385.8430670819634</v>
      </c>
      <c r="CX73" s="62">
        <f t="shared" si="68"/>
        <v>679.17640041529671</v>
      </c>
      <c r="CY73" s="62">
        <f ca="1">AVERAGE(OFFSET($CX$3,0,0,'Données projet'!$E$13+1,1))-AVERAGE(OFFSET($H$3,0,0,'Données projet'!$E$13+1,1))</f>
        <v>311.53750850588153</v>
      </c>
      <c r="CZ73" s="62">
        <f t="shared" si="96"/>
        <v>304.84379909635476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-1.1368683772161603E-13</v>
      </c>
      <c r="DP73" s="18">
        <f>DO73*VLOOKUP('Données projet'!$B$14,Paramètres!$A$1:$I$89,3,0)*VLOOKUP('Données projet'!$B$14,Paramètres!$A$1:$I$89,5,0)</f>
        <v>-9.2222762759774927E-14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256.19915261735281</v>
      </c>
      <c r="DU73" s="62">
        <f t="shared" si="98"/>
        <v>297.47246687305056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223.7179487179487</v>
      </c>
      <c r="EH73" s="13">
        <f>VLOOKUP(A73,'Données projet'!$A$191:$I$211,9,0)</f>
        <v>4.7435897435897401</v>
      </c>
      <c r="EI73" s="13">
        <f t="array" ref="EI73">INDEX(EH:EH,MIN(IF(ISNUMBER(EH73:EH269),ROW(EH73:EH269),"")))</f>
        <v>4.7435897435897401</v>
      </c>
      <c r="EJ73" s="13">
        <f>IF('Données projet'!$A$192&gt;35,EJ72+EI73-ER72,IF(A73&lt;'Données projet'!$A$192,$EG$205^A73,IF(A73='Données projet'!$A$192,'Données projet'!$B$192,EJ72+EI73-ER72)))</f>
        <v>223.71794871794867</v>
      </c>
      <c r="EK73" s="18">
        <f>EJ73*VLOOKUP('Données projet'!$B$15,Paramètres!$A$1:$I$89,3,0)*VLOOKUP('Données projet'!$B$15,Paramètres!$A$1:$I$89,5,0)</f>
        <v>212.89</v>
      </c>
      <c r="EL73" s="14">
        <f t="shared" si="99"/>
        <v>52.566620155786865</v>
      </c>
      <c r="EM73" s="22">
        <f t="shared" si="73"/>
        <v>462.33694677132871</v>
      </c>
      <c r="EN73" s="62">
        <f t="shared" si="74"/>
        <v>755.67028010466197</v>
      </c>
      <c r="EO73" s="62">
        <f ca="1">AVERAGE(OFFSET($EN$3,0,0,'Données projet'!$E$15+1,1))-AVERAGE(OFFSET($H$3,0,0,'Données projet'!$E$15+1,1))</f>
        <v>406.24139966722936</v>
      </c>
      <c r="EP73" s="62">
        <f t="shared" si="100"/>
        <v>295.95724296920577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1.1368683772161603E-13</v>
      </c>
      <c r="FF73" s="18">
        <f>FE73*VLOOKUP('Données projet'!$B$16,Paramètres!$A$1:$I$89,3,0)*VLOOKUP('Données projet'!$B$16,Paramètres!$A$1:$I$89,5,0)</f>
        <v>8.8675733422860506E-14</v>
      </c>
      <c r="FG73" s="14">
        <f t="shared" si="101"/>
        <v>1.3509285393066301E-12</v>
      </c>
      <c r="FH73" s="22">
        <f t="shared" si="76"/>
        <v>2.5073107750038623E-12</v>
      </c>
      <c r="FI73" s="62">
        <f t="shared" si="77"/>
        <v>293.33333333333582</v>
      </c>
      <c r="FJ73" s="62">
        <f ca="1">AVERAGE(OFFSET($FI$3,0,0,'Données projet'!$E$16+1,1))-AVERAGE(OFFSET($H$3,0,0,'Données projet'!$E$16+1,1))</f>
        <v>292.57482726862594</v>
      </c>
      <c r="FK73" s="62">
        <f t="shared" si="102"/>
        <v>283.48738729114024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302</v>
      </c>
      <c r="FX73" s="13">
        <f>VLOOKUP(A73,'Données projet'!$A$243:$I$263,9,0)</f>
        <v>8.1999999999999993</v>
      </c>
      <c r="FY73" s="13">
        <f t="array" ref="FY73">INDEX(FX:FX,MIN(IF(ISNUMBER(FX73:FX269),ROW(FX73:FX269),"")))</f>
        <v>8.1999999999999993</v>
      </c>
      <c r="FZ73" s="13">
        <f>IF('Données projet'!$A$244&gt;35,FZ72+FY73-GH72,IF(A73&lt;'Données projet'!$A$244,$FW$205^A73,IF(A73='Données projet'!$A$244,'Données projet'!$B$244,FZ72+FY73-GH72)))</f>
        <v>301.99999999999994</v>
      </c>
      <c r="GA73" s="18">
        <f>FZ73*VLOOKUP('Données projet'!$B$17,Paramètres!$A$1:$I$89,3,0)*VLOOKUP('Données projet'!$B$17,Paramètres!$A$1:$I$89,5,0)</f>
        <v>292.09439999999995</v>
      </c>
      <c r="GB73" s="14">
        <f t="shared" si="103"/>
        <v>69.516578973599849</v>
      </c>
      <c r="GC73" s="22">
        <f t="shared" si="79"/>
        <v>629.80578837901965</v>
      </c>
      <c r="GD73" s="62">
        <f t="shared" si="80"/>
        <v>923.13912171235302</v>
      </c>
      <c r="GE73" s="62">
        <f ca="1">AVERAGE(OFFSET($GD$3,0,0,'Données projet'!$E$17+1,1))-AVERAGE(OFFSET($H$3,0,0,'Données projet'!$E$17+1,1))</f>
        <v>562.69380557620775</v>
      </c>
      <c r="GF73" s="62">
        <f t="shared" si="104"/>
        <v>294.45557293177131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309.59999999999997</v>
      </c>
      <c r="O74" s="14">
        <f>N74*VLOOKUP('Données projet'!$B$9,Paramètres!$A$1:$I$89,3,0)*VLOOKUP('Données projet'!$B$9,Paramètres!$A$1:$I$89,5,0)</f>
        <v>280.12607999999994</v>
      </c>
      <c r="P74" s="14">
        <f t="shared" si="87"/>
        <v>66.993652511337999</v>
      </c>
      <c r="Q74" s="22">
        <f t="shared" si="54"/>
        <v>604.56686745724687</v>
      </c>
      <c r="R74" s="62">
        <f t="shared" si="55"/>
        <v>897.90020079058013</v>
      </c>
      <c r="S74" s="62">
        <f ca="1">AVERAGE(OFFSET($R$3,0,0,'Données projet'!$E$9+1,1))-AVERAGE(OFFSET($H$3,0,0,'Données projet'!$E$9+1,1))</f>
        <v>529.25712986118265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12.555555555555555</v>
      </c>
      <c r="AI74" s="14">
        <f>IF('Données projet'!$A$62&gt;35,AI73+AH74-AQ73,IF(A74&lt;'Données projet'!$A$62,$AF$205^A74,IF(A74='Données projet'!$A$62,'Données projet'!$B$62,AI73+AH74-AQ73)))</f>
        <v>299.11111111111086</v>
      </c>
      <c r="AJ74" s="14">
        <f>AI74*VLOOKUP('Données projet'!$B$10,Paramètres!$A$1:$I$89,3,0)*VLOOKUP('Données projet'!$B$10,Paramètres!$A$1:$I$89,5,0)</f>
        <v>256.63733333333312</v>
      </c>
      <c r="AK74" s="14">
        <f t="shared" si="89"/>
        <v>62.005051158458208</v>
      </c>
      <c r="AL74" s="22">
        <f t="shared" si="58"/>
        <v>554.96881965653654</v>
      </c>
      <c r="AM74" s="62">
        <f t="shared" si="59"/>
        <v>848.30215298986991</v>
      </c>
      <c r="AN74" s="62">
        <f ca="1">AVERAGE(OFFSET($AM$3,0,0,'Données projet'!$E$10+1,1))-AVERAGE(OFFSET($H$3,0,0,'Données projet'!$E$10+1,1))</f>
        <v>446.86777652265448</v>
      </c>
      <c r="AO74" s="62">
        <f t="shared" si="90"/>
        <v>230.82970731138215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4.1799999999999953</v>
      </c>
      <c r="BD74" s="13">
        <f>IF('Données projet'!$A$88&gt;35,BD73+BC74-BL73,IF(A74&lt;'Données projet'!$A$88,$BA$205^A74,IF(A74='Données projet'!$A$88,'Données projet'!$B$88,BD73+BC74-BL73)))</f>
        <v>306.77999999999992</v>
      </c>
      <c r="BE74" s="14">
        <f>BD74*VLOOKUP('Données projet'!$B$11,Paramètres!$A$1:$I$89,3,0)*VLOOKUP('Données projet'!$B$11,Paramètres!$A$1:$I$89,5,0)</f>
        <v>244.07416799999996</v>
      </c>
      <c r="BF74" s="14">
        <f t="shared" si="91"/>
        <v>59.315246950995579</v>
      </c>
      <c r="BG74" s="22">
        <f t="shared" si="61"/>
        <v>528.40323103965056</v>
      </c>
      <c r="BH74" s="62">
        <f t="shared" si="62"/>
        <v>821.73656437298382</v>
      </c>
      <c r="BI74" s="62">
        <f ca="1">AVERAGE(OFFSET($BH$3,0,0,'Données projet'!$E$11+1,1))-AVERAGE(OFFSET($H$3,0,0,'Données projet'!$E$11+1,1))</f>
        <v>370.59298168107364</v>
      </c>
      <c r="BJ74" s="62">
        <f t="shared" si="92"/>
        <v>404.61777090709171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4.1799999999999953</v>
      </c>
      <c r="BY74" s="13">
        <f>IF('Données projet'!$A$114&gt;35,BY73+BX74-CG73,IF(A74&lt;'Données projet'!$A$114,$BV$205^A74,IF(A74='Données projet'!$A$114,'Données projet'!$B$114,BY73+BX74-CG73)))</f>
        <v>306.77999999999992</v>
      </c>
      <c r="BZ74" s="14">
        <f>BY74*VLOOKUP('Données projet'!$B$12,Paramètres!$A$1:$I$89,3,0)*VLOOKUP('Données projet'!$B$12,Paramètres!$A$1:$I$89,5,0)</f>
        <v>224.93109599999991</v>
      </c>
      <c r="CA74" s="14">
        <f t="shared" si="93"/>
        <v>55.185248501771945</v>
      </c>
      <c r="CB74" s="22">
        <f t="shared" si="64"/>
        <v>487.8693000072526</v>
      </c>
      <c r="CC74" s="62">
        <f t="shared" si="65"/>
        <v>781.20263334058586</v>
      </c>
      <c r="CD74" s="62">
        <f ca="1">AVERAGE(OFFSET($CC$3,0,0,'Données projet'!$E$12+1,1))-AVERAGE(OFFSET($H$3,0,0,'Données projet'!$E$12+1,1))</f>
        <v>344.45199703750711</v>
      </c>
      <c r="CE74" s="62">
        <f t="shared" si="94"/>
        <v>376.41441893222185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4.8</v>
      </c>
      <c r="CT74" s="13">
        <f>IF('Données projet'!$A$140&gt;35,CT73+CS74-DB73,IF(A74&lt;'Données projet'!$A$140,$CQ$205^A74,IF(A74='Données projet'!$A$140,'Données projet'!$B$140,CT73+CS74-DB73)))</f>
        <v>274.80000000000007</v>
      </c>
      <c r="CU74" s="18">
        <f>CT74*VLOOKUP('Données projet'!$B$13,Paramètres!$A$1:$I$89,3,0)*VLOOKUP('Données projet'!$B$13,Paramètres!$A$1:$I$89,5,0)</f>
        <v>180.04896000000005</v>
      </c>
      <c r="CV74" s="14">
        <f t="shared" si="95"/>
        <v>45.333078692111251</v>
      </c>
      <c r="CW74" s="22">
        <f t="shared" si="67"/>
        <v>392.54038405542718</v>
      </c>
      <c r="CX74" s="62">
        <f t="shared" si="68"/>
        <v>685.8737173887605</v>
      </c>
      <c r="CY74" s="62">
        <f ca="1">AVERAGE(OFFSET($CX$3,0,0,'Données projet'!$E$13+1,1))-AVERAGE(OFFSET($H$3,0,0,'Données projet'!$E$13+1,1))</f>
        <v>311.53750850588153</v>
      </c>
      <c r="CZ74" s="62">
        <f t="shared" si="96"/>
        <v>304.84379909635476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-1.1368683772161603E-13</v>
      </c>
      <c r="DP74" s="18">
        <f>DO74*VLOOKUP('Données projet'!$B$14,Paramètres!$A$1:$I$89,3,0)*VLOOKUP('Données projet'!$B$14,Paramètres!$A$1:$I$89,5,0)</f>
        <v>-9.2222762759774927E-14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256.19915261735281</v>
      </c>
      <c r="DU74" s="62">
        <f t="shared" si="98"/>
        <v>297.47246687305056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4.4871794871794863</v>
      </c>
      <c r="EJ74" s="13">
        <f>IF('Données projet'!$A$192&gt;35,EJ73+EI74-ER73,IF(A74&lt;'Données projet'!$A$192,$EG$205^A74,IF(A74='Données projet'!$A$192,'Données projet'!$B$192,EJ73+EI74-ER73)))</f>
        <v>228.20512820512815</v>
      </c>
      <c r="EK74" s="18">
        <f>EJ74*VLOOKUP('Données projet'!$B$15,Paramètres!$A$1:$I$89,3,0)*VLOOKUP('Données projet'!$B$15,Paramètres!$A$1:$I$89,5,0)</f>
        <v>217.15999999999997</v>
      </c>
      <c r="EL74" s="14">
        <f t="shared" si="99"/>
        <v>53.497159756294458</v>
      </c>
      <c r="EM74" s="22">
        <f t="shared" si="73"/>
        <v>471.39455324221279</v>
      </c>
      <c r="EN74" s="62">
        <f t="shared" si="74"/>
        <v>764.72788657554611</v>
      </c>
      <c r="EO74" s="62">
        <f ca="1">AVERAGE(OFFSET($EN$3,0,0,'Données projet'!$E$15+1,1))-AVERAGE(OFFSET($H$3,0,0,'Données projet'!$E$15+1,1))</f>
        <v>406.24139966722936</v>
      </c>
      <c r="EP74" s="62">
        <f t="shared" si="100"/>
        <v>295.95724296920577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1.1368683772161603E-13</v>
      </c>
      <c r="FF74" s="18">
        <f>FE74*VLOOKUP('Données projet'!$B$16,Paramètres!$A$1:$I$89,3,0)*VLOOKUP('Données projet'!$B$16,Paramètres!$A$1:$I$89,5,0)</f>
        <v>8.8675733422860506E-14</v>
      </c>
      <c r="FG74" s="14">
        <f t="shared" si="101"/>
        <v>1.3509285393066301E-12</v>
      </c>
      <c r="FH74" s="22">
        <f t="shared" si="76"/>
        <v>2.5073107750038623E-12</v>
      </c>
      <c r="FI74" s="62">
        <f t="shared" si="77"/>
        <v>293.33333333333582</v>
      </c>
      <c r="FJ74" s="62">
        <f ca="1">AVERAGE(OFFSET($FI$3,0,0,'Données projet'!$E$16+1,1))-AVERAGE(OFFSET($H$3,0,0,'Données projet'!$E$16+1,1))</f>
        <v>292.57482726862594</v>
      </c>
      <c r="FK74" s="62">
        <f t="shared" si="102"/>
        <v>283.48738729114024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7.6</v>
      </c>
      <c r="FZ74" s="13">
        <f>IF('Données projet'!$A$244&gt;35,FZ73+FY74-GH73,IF(A74&lt;'Données projet'!$A$244,$FW$205^A74,IF(A74='Données projet'!$A$244,'Données projet'!$B$244,FZ73+FY74-GH73)))</f>
        <v>309.59999999999997</v>
      </c>
      <c r="GA74" s="18">
        <f>FZ74*VLOOKUP('Données projet'!$B$17,Paramètres!$A$1:$I$89,3,0)*VLOOKUP('Données projet'!$B$17,Paramètres!$A$1:$I$89,5,0)</f>
        <v>299.44511999999997</v>
      </c>
      <c r="GB74" s="14">
        <f t="shared" si="103"/>
        <v>71.060126783970659</v>
      </c>
      <c r="GC74" s="22">
        <f t="shared" si="79"/>
        <v>645.2966381487488</v>
      </c>
      <c r="GD74" s="62">
        <f t="shared" si="80"/>
        <v>938.62997148208206</v>
      </c>
      <c r="GE74" s="62">
        <f ca="1">AVERAGE(OFFSET($GD$3,0,0,'Données projet'!$E$17+1,1))-AVERAGE(OFFSET($H$3,0,0,'Données projet'!$E$17+1,1))</f>
        <v>562.69380557620775</v>
      </c>
      <c r="GF74" s="62">
        <f t="shared" si="104"/>
        <v>294.45557293177131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317.2</v>
      </c>
      <c r="O75" s="14">
        <f>N75*VLOOKUP('Données projet'!$B$9,Paramètres!$A$1:$I$89,3,0)*VLOOKUP('Données projet'!$B$9,Paramètres!$A$1:$I$89,5,0)</f>
        <v>287.00255999999996</v>
      </c>
      <c r="P75" s="14">
        <f t="shared" si="87"/>
        <v>68.444716936118553</v>
      </c>
      <c r="Q75" s="22">
        <f t="shared" si="54"/>
        <v>619.07067399707296</v>
      </c>
      <c r="R75" s="62">
        <f t="shared" si="55"/>
        <v>912.40400733040633</v>
      </c>
      <c r="S75" s="62">
        <f ca="1">AVERAGE(OFFSET($R$3,0,0,'Données projet'!$E$9+1,1))-AVERAGE(OFFSET($H$3,0,0,'Données projet'!$E$9+1,1))</f>
        <v>529.25712986118265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12.555555555555555</v>
      </c>
      <c r="AI75" s="14">
        <f>IF('Données projet'!$A$62&gt;35,AI74+AH75-AQ74,IF(A75&lt;'Données projet'!$A$62,$AF$205^A75,IF(A75='Données projet'!$A$62,'Données projet'!$B$62,AI74+AH75-AQ74)))</f>
        <v>311.6666666666664</v>
      </c>
      <c r="AJ75" s="14">
        <f>AI75*VLOOKUP('Données projet'!$B$10,Paramètres!$A$1:$I$89,3,0)*VLOOKUP('Données projet'!$B$10,Paramètres!$A$1:$I$89,5,0)</f>
        <v>267.4099999999998</v>
      </c>
      <c r="AK75" s="14">
        <f t="shared" si="89"/>
        <v>64.299297948636735</v>
      </c>
      <c r="AL75" s="22">
        <f t="shared" si="58"/>
        <v>577.72702726054183</v>
      </c>
      <c r="AM75" s="62">
        <f t="shared" si="59"/>
        <v>871.0603605938752</v>
      </c>
      <c r="AN75" s="62">
        <f ca="1">AVERAGE(OFFSET($AM$3,0,0,'Données projet'!$E$10+1,1))-AVERAGE(OFFSET($H$3,0,0,'Données projet'!$E$10+1,1))</f>
        <v>446.86777652265448</v>
      </c>
      <c r="AO75" s="62">
        <f t="shared" si="90"/>
        <v>230.82970731138215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4.1799999999999953</v>
      </c>
      <c r="BD75" s="13">
        <f>IF('Données projet'!$A$88&gt;35,BD74+BC75-BL74,IF(A75&lt;'Données projet'!$A$88,$BA$205^A75,IF(A75='Données projet'!$A$88,'Données projet'!$B$88,BD74+BC75-BL74)))</f>
        <v>310.95999999999992</v>
      </c>
      <c r="BE75" s="14">
        <f>BD75*VLOOKUP('Données projet'!$B$11,Paramètres!$A$1:$I$89,3,0)*VLOOKUP('Données projet'!$B$11,Paramètres!$A$1:$I$89,5,0)</f>
        <v>247.39977599999995</v>
      </c>
      <c r="BF75" s="14">
        <f t="shared" si="91"/>
        <v>60.028803657797908</v>
      </c>
      <c r="BG75" s="22">
        <f t="shared" si="61"/>
        <v>535.43810957066455</v>
      </c>
      <c r="BH75" s="62">
        <f t="shared" si="62"/>
        <v>828.77144290399792</v>
      </c>
      <c r="BI75" s="62">
        <f ca="1">AVERAGE(OFFSET($BH$3,0,0,'Données projet'!$E$11+1,1))-AVERAGE(OFFSET($H$3,0,0,'Données projet'!$E$11+1,1))</f>
        <v>370.59298168107364</v>
      </c>
      <c r="BJ75" s="62">
        <f t="shared" si="92"/>
        <v>404.61777090709171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4.1799999999999953</v>
      </c>
      <c r="BY75" s="13">
        <f>IF('Données projet'!$A$114&gt;35,BY74+BX75-CG74,IF(A75&lt;'Données projet'!$A$114,$BV$205^A75,IF(A75='Données projet'!$A$114,'Données projet'!$B$114,BY74+BX75-CG74)))</f>
        <v>310.95999999999992</v>
      </c>
      <c r="BZ75" s="14">
        <f>BY75*VLOOKUP('Données projet'!$B$12,Paramètres!$A$1:$I$89,3,0)*VLOOKUP('Données projet'!$B$12,Paramètres!$A$1:$I$89,5,0)</f>
        <v>227.99587199999993</v>
      </c>
      <c r="CA75" s="14">
        <f t="shared" si="93"/>
        <v>55.849121725085425</v>
      </c>
      <c r="CB75" s="22">
        <f t="shared" si="64"/>
        <v>494.36336407119035</v>
      </c>
      <c r="CC75" s="62">
        <f t="shared" si="65"/>
        <v>787.69669740452366</v>
      </c>
      <c r="CD75" s="62">
        <f ca="1">AVERAGE(OFFSET($CC$3,0,0,'Données projet'!$E$12+1,1))-AVERAGE(OFFSET($H$3,0,0,'Données projet'!$E$12+1,1))</f>
        <v>344.45199703750711</v>
      </c>
      <c r="CE75" s="62">
        <f t="shared" si="94"/>
        <v>376.41441893222185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4.8</v>
      </c>
      <c r="CT75" s="13">
        <f>IF('Données projet'!$A$140&gt;35,CT74+CS75-DB74,IF(A75&lt;'Données projet'!$A$140,$CQ$205^A75,IF(A75='Données projet'!$A$140,'Données projet'!$B$140,CT74+CS75-DB74)))</f>
        <v>279.60000000000008</v>
      </c>
      <c r="CU75" s="18">
        <f>CT75*VLOOKUP('Données projet'!$B$13,Paramètres!$A$1:$I$89,3,0)*VLOOKUP('Données projet'!$B$13,Paramètres!$A$1:$I$89,5,0)</f>
        <v>183.19392000000005</v>
      </c>
      <c r="CV75" s="14">
        <f t="shared" si="95"/>
        <v>46.032045497467593</v>
      </c>
      <c r="CW75" s="22">
        <f t="shared" si="67"/>
        <v>399.23522324142277</v>
      </c>
      <c r="CX75" s="62">
        <f t="shared" si="68"/>
        <v>692.56855657475603</v>
      </c>
      <c r="CY75" s="62">
        <f ca="1">AVERAGE(OFFSET($CX$3,0,0,'Données projet'!$E$13+1,1))-AVERAGE(OFFSET($H$3,0,0,'Données projet'!$E$13+1,1))</f>
        <v>311.53750850588153</v>
      </c>
      <c r="CZ75" s="62">
        <f t="shared" si="96"/>
        <v>304.84379909635476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-1.1368683772161603E-13</v>
      </c>
      <c r="DP75" s="18">
        <f>DO75*VLOOKUP('Données projet'!$B$14,Paramètres!$A$1:$I$89,3,0)*VLOOKUP('Données projet'!$B$14,Paramètres!$A$1:$I$89,5,0)</f>
        <v>-9.2222762759774927E-14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256.19915261735281</v>
      </c>
      <c r="DU75" s="62">
        <f t="shared" si="98"/>
        <v>297.47246687305056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4.4871794871794863</v>
      </c>
      <c r="EJ75" s="13">
        <f>IF('Données projet'!$A$192&gt;35,EJ74+EI75-ER74,IF(A75&lt;'Données projet'!$A$192,$EG$205^A75,IF(A75='Données projet'!$A$192,'Données projet'!$B$192,EJ74+EI75-ER74)))</f>
        <v>232.69230769230762</v>
      </c>
      <c r="EK75" s="18">
        <f>EJ75*VLOOKUP('Données projet'!$B$15,Paramètres!$A$1:$I$89,3,0)*VLOOKUP('Données projet'!$B$15,Paramètres!$A$1:$I$89,5,0)</f>
        <v>221.42999999999995</v>
      </c>
      <c r="EL75" s="14">
        <f t="shared" si="99"/>
        <v>54.425571861733111</v>
      </c>
      <c r="EM75" s="22">
        <f t="shared" si="73"/>
        <v>480.44845432585163</v>
      </c>
      <c r="EN75" s="62">
        <f t="shared" si="74"/>
        <v>773.78178765918494</v>
      </c>
      <c r="EO75" s="62">
        <f ca="1">AVERAGE(OFFSET($EN$3,0,0,'Données projet'!$E$15+1,1))-AVERAGE(OFFSET($H$3,0,0,'Données projet'!$E$15+1,1))</f>
        <v>406.24139966722936</v>
      </c>
      <c r="EP75" s="62">
        <f t="shared" si="100"/>
        <v>295.95724296920577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1.1368683772161603E-13</v>
      </c>
      <c r="FF75" s="18">
        <f>FE75*VLOOKUP('Données projet'!$B$16,Paramètres!$A$1:$I$89,3,0)*VLOOKUP('Données projet'!$B$16,Paramètres!$A$1:$I$89,5,0)</f>
        <v>8.8675733422860506E-14</v>
      </c>
      <c r="FG75" s="14">
        <f t="shared" si="101"/>
        <v>1.3509285393066301E-12</v>
      </c>
      <c r="FH75" s="22">
        <f t="shared" si="76"/>
        <v>2.5073107750038623E-12</v>
      </c>
      <c r="FI75" s="62">
        <f t="shared" si="77"/>
        <v>293.33333333333582</v>
      </c>
      <c r="FJ75" s="62">
        <f ca="1">AVERAGE(OFFSET($FI$3,0,0,'Données projet'!$E$16+1,1))-AVERAGE(OFFSET($H$3,0,0,'Données projet'!$E$16+1,1))</f>
        <v>292.57482726862594</v>
      </c>
      <c r="FK75" s="62">
        <f t="shared" si="102"/>
        <v>283.48738729114024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7.6</v>
      </c>
      <c r="FZ75" s="13">
        <f>IF('Données projet'!$A$244&gt;35,FZ74+FY75-GH74,IF(A75&lt;'Données projet'!$A$244,$FW$205^A75,IF(A75='Données projet'!$A$244,'Données projet'!$B$244,FZ74+FY75-GH74)))</f>
        <v>317.2</v>
      </c>
      <c r="GA75" s="18">
        <f>FZ75*VLOOKUP('Données projet'!$B$17,Paramètres!$A$1:$I$89,3,0)*VLOOKUP('Données projet'!$B$17,Paramètres!$A$1:$I$89,5,0)</f>
        <v>306.79584</v>
      </c>
      <c r="GB75" s="14">
        <f t="shared" si="103"/>
        <v>72.599269943528554</v>
      </c>
      <c r="GC75" s="22">
        <f t="shared" si="79"/>
        <v>660.77981648497882</v>
      </c>
      <c r="GD75" s="62">
        <f t="shared" si="80"/>
        <v>954.11314981831219</v>
      </c>
      <c r="GE75" s="62">
        <f ca="1">AVERAGE(OFFSET($GD$3,0,0,'Données projet'!$E$17+1,1))-AVERAGE(OFFSET($H$3,0,0,'Données projet'!$E$17+1,1))</f>
        <v>562.69380557620775</v>
      </c>
      <c r="GF75" s="62">
        <f t="shared" si="104"/>
        <v>294.45557293177131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324.8</v>
      </c>
      <c r="O76" s="14">
        <f>N76*VLOOKUP('Données projet'!$B$9,Paramètres!$A$1:$I$89,3,0)*VLOOKUP('Données projet'!$B$9,Paramètres!$A$1:$I$89,5,0)</f>
        <v>293.87903999999997</v>
      </c>
      <c r="P76" s="14">
        <f t="shared" si="87"/>
        <v>69.891739712361669</v>
      </c>
      <c r="Q76" s="22">
        <f t="shared" si="54"/>
        <v>633.56744133236327</v>
      </c>
      <c r="R76" s="62">
        <f t="shared" si="55"/>
        <v>926.90077466569664</v>
      </c>
      <c r="S76" s="62">
        <f ca="1">AVERAGE(OFFSET($R$3,0,0,'Données projet'!$E$9+1,1))-AVERAGE(OFFSET($H$3,0,0,'Données projet'!$E$9+1,1))</f>
        <v>529.25712986118265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12.555555555555555</v>
      </c>
      <c r="AI76" s="14">
        <f>IF('Données projet'!$A$62&gt;35,AI75+AH76-AQ75,IF(A76&lt;'Données projet'!$A$62,$AF$205^A76,IF(A76='Données projet'!$A$62,'Données projet'!$B$62,AI75+AH76-AQ75)))</f>
        <v>324.22222222222194</v>
      </c>
      <c r="AJ76" s="14">
        <f>AI76*VLOOKUP('Données projet'!$B$10,Paramètres!$A$1:$I$89,3,0)*VLOOKUP('Données projet'!$B$10,Paramètres!$A$1:$I$89,5,0)</f>
        <v>278.18266666666648</v>
      </c>
      <c r="AK76" s="14">
        <f t="shared" si="89"/>
        <v>66.582808678967709</v>
      </c>
      <c r="AL76" s="22">
        <f t="shared" si="58"/>
        <v>600.46653622697943</v>
      </c>
      <c r="AM76" s="62">
        <f t="shared" si="59"/>
        <v>893.7998695603128</v>
      </c>
      <c r="AN76" s="62">
        <f ca="1">AVERAGE(OFFSET($AM$3,0,0,'Données projet'!$E$10+1,1))-AVERAGE(OFFSET($H$3,0,0,'Données projet'!$E$10+1,1))</f>
        <v>446.86777652265448</v>
      </c>
      <c r="AO76" s="62">
        <f t="shared" si="90"/>
        <v>230.82970731138215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4.1799999999999953</v>
      </c>
      <c r="BD76" s="13">
        <f>IF('Données projet'!$A$88&gt;35,BD75+BC76-BL75,IF(A76&lt;'Données projet'!$A$88,$BA$205^A76,IF(A76='Données projet'!$A$88,'Données projet'!$B$88,BD75+BC76-BL75)))</f>
        <v>315.13999999999993</v>
      </c>
      <c r="BE76" s="14">
        <f>BD76*VLOOKUP('Données projet'!$B$11,Paramètres!$A$1:$I$89,3,0)*VLOOKUP('Données projet'!$B$11,Paramètres!$A$1:$I$89,5,0)</f>
        <v>250.72538399999993</v>
      </c>
      <c r="BF76" s="14">
        <f t="shared" si="91"/>
        <v>60.741244716227833</v>
      </c>
      <c r="BG76" s="22">
        <f t="shared" si="61"/>
        <v>542.47104501409672</v>
      </c>
      <c r="BH76" s="62">
        <f t="shared" si="62"/>
        <v>835.80437834742997</v>
      </c>
      <c r="BI76" s="62">
        <f ca="1">AVERAGE(OFFSET($BH$3,0,0,'Données projet'!$E$11+1,1))-AVERAGE(OFFSET($H$3,0,0,'Données projet'!$E$11+1,1))</f>
        <v>370.59298168107364</v>
      </c>
      <c r="BJ76" s="62">
        <f t="shared" si="92"/>
        <v>404.61777090709171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4.1799999999999953</v>
      </c>
      <c r="BY76" s="13">
        <f>IF('Données projet'!$A$114&gt;35,BY75+BX76-CG75,IF(A76&lt;'Données projet'!$A$114,$BV$205^A76,IF(A76='Données projet'!$A$114,'Données projet'!$B$114,BY75+BX76-CG75)))</f>
        <v>315.13999999999993</v>
      </c>
      <c r="BZ76" s="14">
        <f>BY76*VLOOKUP('Données projet'!$B$12,Paramètres!$A$1:$I$89,3,0)*VLOOKUP('Données projet'!$B$12,Paramètres!$A$1:$I$89,5,0)</f>
        <v>231.06064799999993</v>
      </c>
      <c r="CA76" s="14">
        <f t="shared" si="93"/>
        <v>56.511956980324314</v>
      </c>
      <c r="CB76" s="22">
        <f t="shared" si="64"/>
        <v>500.85562034073132</v>
      </c>
      <c r="CC76" s="62">
        <f t="shared" si="65"/>
        <v>794.18895367406458</v>
      </c>
      <c r="CD76" s="62">
        <f ca="1">AVERAGE(OFFSET($CC$3,0,0,'Données projet'!$E$12+1,1))-AVERAGE(OFFSET($H$3,0,0,'Données projet'!$E$12+1,1))</f>
        <v>344.45199703750711</v>
      </c>
      <c r="CE76" s="62">
        <f t="shared" si="94"/>
        <v>376.41441893222185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4.8</v>
      </c>
      <c r="CT76" s="13">
        <f>IF('Données projet'!$A$140&gt;35,CT75+CS76-DB75,IF(A76&lt;'Données projet'!$A$140,$CQ$205^A76,IF(A76='Données projet'!$A$140,'Données projet'!$B$140,CT75+CS76-DB75)))</f>
        <v>284.40000000000009</v>
      </c>
      <c r="CU76" s="18">
        <f>CT76*VLOOKUP('Données projet'!$B$13,Paramètres!$A$1:$I$89,3,0)*VLOOKUP('Données projet'!$B$13,Paramètres!$A$1:$I$89,5,0)</f>
        <v>186.33888000000007</v>
      </c>
      <c r="CV76" s="14">
        <f t="shared" si="95"/>
        <v>46.729616891297603</v>
      </c>
      <c r="CW76" s="22">
        <f t="shared" si="67"/>
        <v>405.92763208567681</v>
      </c>
      <c r="CX76" s="62">
        <f t="shared" si="68"/>
        <v>699.26096541901006</v>
      </c>
      <c r="CY76" s="62">
        <f ca="1">AVERAGE(OFFSET($CX$3,0,0,'Données projet'!$E$13+1,1))-AVERAGE(OFFSET($H$3,0,0,'Données projet'!$E$13+1,1))</f>
        <v>311.53750850588153</v>
      </c>
      <c r="CZ76" s="62">
        <f t="shared" si="96"/>
        <v>304.84379909635476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-1.1368683772161603E-13</v>
      </c>
      <c r="DP76" s="18">
        <f>DO76*VLOOKUP('Données projet'!$B$14,Paramètres!$A$1:$I$89,3,0)*VLOOKUP('Données projet'!$B$14,Paramètres!$A$1:$I$89,5,0)</f>
        <v>-9.2222762759774927E-14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256.19915261735281</v>
      </c>
      <c r="DU76" s="62">
        <f t="shared" si="98"/>
        <v>297.47246687305056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4.4871794871794863</v>
      </c>
      <c r="EJ76" s="13">
        <f>IF('Données projet'!$A$192&gt;35,EJ75+EI76-ER75,IF(A76&lt;'Données projet'!$A$192,$EG$205^A76,IF(A76='Données projet'!$A$192,'Données projet'!$B$192,EJ75+EI76-ER75)))</f>
        <v>237.1794871794871</v>
      </c>
      <c r="EK76" s="18">
        <f>EJ76*VLOOKUP('Données projet'!$B$15,Paramètres!$A$1:$I$89,3,0)*VLOOKUP('Données projet'!$B$15,Paramètres!$A$1:$I$89,5,0)</f>
        <v>225.69999999999993</v>
      </c>
      <c r="EL76" s="14">
        <f t="shared" si="99"/>
        <v>55.351902227969966</v>
      </c>
      <c r="EM76" s="22">
        <f t="shared" si="73"/>
        <v>489.49872971371423</v>
      </c>
      <c r="EN76" s="62">
        <f t="shared" si="74"/>
        <v>782.83206304704754</v>
      </c>
      <c r="EO76" s="62">
        <f ca="1">AVERAGE(OFFSET($EN$3,0,0,'Données projet'!$E$15+1,1))-AVERAGE(OFFSET($H$3,0,0,'Données projet'!$E$15+1,1))</f>
        <v>406.24139966722936</v>
      </c>
      <c r="EP76" s="62">
        <f t="shared" si="100"/>
        <v>295.95724296920577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1.1368683772161603E-13</v>
      </c>
      <c r="FF76" s="18">
        <f>FE76*VLOOKUP('Données projet'!$B$16,Paramètres!$A$1:$I$89,3,0)*VLOOKUP('Données projet'!$B$16,Paramètres!$A$1:$I$89,5,0)</f>
        <v>8.8675733422860506E-14</v>
      </c>
      <c r="FG76" s="14">
        <f t="shared" si="101"/>
        <v>1.3509285393066301E-12</v>
      </c>
      <c r="FH76" s="22">
        <f t="shared" si="76"/>
        <v>2.5073107750038623E-12</v>
      </c>
      <c r="FI76" s="62">
        <f t="shared" si="77"/>
        <v>293.33333333333582</v>
      </c>
      <c r="FJ76" s="62">
        <f ca="1">AVERAGE(OFFSET($FI$3,0,0,'Données projet'!$E$16+1,1))-AVERAGE(OFFSET($H$3,0,0,'Données projet'!$E$16+1,1))</f>
        <v>292.57482726862594</v>
      </c>
      <c r="FK76" s="62">
        <f t="shared" si="102"/>
        <v>283.48738729114024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7.6</v>
      </c>
      <c r="FZ76" s="13">
        <f>IF('Données projet'!$A$244&gt;35,FZ75+FY76-GH75,IF(A76&lt;'Données projet'!$A$244,$FW$205^A76,IF(A76='Données projet'!$A$244,'Données projet'!$B$244,FZ75+FY76-GH75)))</f>
        <v>324.8</v>
      </c>
      <c r="GA76" s="18">
        <f>FZ76*VLOOKUP('Données projet'!$B$17,Paramètres!$A$1:$I$89,3,0)*VLOOKUP('Données projet'!$B$17,Paramètres!$A$1:$I$89,5,0)</f>
        <v>314.14656000000002</v>
      </c>
      <c r="GB76" s="14">
        <f t="shared" si="103"/>
        <v>74.134126128922034</v>
      </c>
      <c r="GC76" s="22">
        <f t="shared" si="79"/>
        <v>676.25552834120583</v>
      </c>
      <c r="GD76" s="62">
        <f t="shared" si="80"/>
        <v>969.5888616745392</v>
      </c>
      <c r="GE76" s="62">
        <f ca="1">AVERAGE(OFFSET($GD$3,0,0,'Données projet'!$E$17+1,1))-AVERAGE(OFFSET($H$3,0,0,'Données projet'!$E$17+1,1))</f>
        <v>562.69380557620775</v>
      </c>
      <c r="GF76" s="62">
        <f t="shared" si="104"/>
        <v>294.45557293177131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332.40000000000003</v>
      </c>
      <c r="O77" s="14">
        <f>N77*VLOOKUP('Données projet'!$B$9,Paramètres!$A$1:$I$89,3,0)*VLOOKUP('Données projet'!$B$9,Paramètres!$A$1:$I$89,5,0)</f>
        <v>300.75551999999999</v>
      </c>
      <c r="P77" s="14">
        <f t="shared" si="87"/>
        <v>71.334826294482014</v>
      </c>
      <c r="Q77" s="22">
        <f t="shared" si="54"/>
        <v>648.05735312955619</v>
      </c>
      <c r="R77" s="62">
        <f t="shared" si="55"/>
        <v>941.39068646288956</v>
      </c>
      <c r="S77" s="62">
        <f ca="1">AVERAGE(OFFSET($R$3,0,0,'Données projet'!$E$9+1,1))-AVERAGE(OFFSET($H$3,0,0,'Données projet'!$E$9+1,1))</f>
        <v>529.25712986118265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12.555555555555555</v>
      </c>
      <c r="AI77" s="14">
        <f>IF('Données projet'!$A$62&gt;35,AI76+AH77-AQ76,IF(A77&lt;'Données projet'!$A$62,$AF$205^A77,IF(A77='Données projet'!$A$62,'Données projet'!$B$62,AI76+AH77-AQ76)))</f>
        <v>336.77777777777749</v>
      </c>
      <c r="AJ77" s="14">
        <f>AI77*VLOOKUP('Données projet'!$B$10,Paramètres!$A$1:$I$89,3,0)*VLOOKUP('Données projet'!$B$10,Paramètres!$A$1:$I$89,5,0)</f>
        <v>288.95533333333316</v>
      </c>
      <c r="AK77" s="14">
        <f t="shared" si="89"/>
        <v>68.856046690289261</v>
      </c>
      <c r="AL77" s="22">
        <f t="shared" si="58"/>
        <v>623.18815354114236</v>
      </c>
      <c r="AM77" s="62">
        <f t="shared" si="59"/>
        <v>916.52148687447561</v>
      </c>
      <c r="AN77" s="62">
        <f ca="1">AVERAGE(OFFSET($AM$3,0,0,'Données projet'!$E$10+1,1))-AVERAGE(OFFSET($H$3,0,0,'Données projet'!$E$10+1,1))</f>
        <v>446.86777652265448</v>
      </c>
      <c r="AO77" s="62">
        <f t="shared" si="90"/>
        <v>230.82970731138215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4.1799999999999953</v>
      </c>
      <c r="BD77" s="13">
        <f>IF('Données projet'!$A$88&gt;35,BD76+BC77-BL76,IF(A77&lt;'Données projet'!$A$88,$BA$205^A77,IF(A77='Données projet'!$A$88,'Données projet'!$B$88,BD76+BC77-BL76)))</f>
        <v>319.31999999999994</v>
      </c>
      <c r="BE77" s="14">
        <f>BD77*VLOOKUP('Données projet'!$B$11,Paramètres!$A$1:$I$89,3,0)*VLOOKUP('Données projet'!$B$11,Paramètres!$A$1:$I$89,5,0)</f>
        <v>254.05099199999995</v>
      </c>
      <c r="BF77" s="14">
        <f t="shared" si="91"/>
        <v>61.45258663488832</v>
      </c>
      <c r="BG77" s="22">
        <f t="shared" si="61"/>
        <v>549.50206612243039</v>
      </c>
      <c r="BH77" s="62">
        <f t="shared" si="62"/>
        <v>842.83539945576376</v>
      </c>
      <c r="BI77" s="62">
        <f ca="1">AVERAGE(OFFSET($BH$3,0,0,'Données projet'!$E$11+1,1))-AVERAGE(OFFSET($H$3,0,0,'Données projet'!$E$11+1,1))</f>
        <v>370.59298168107364</v>
      </c>
      <c r="BJ77" s="62">
        <f t="shared" si="92"/>
        <v>404.61777090709171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4.1799999999999953</v>
      </c>
      <c r="BY77" s="13">
        <f>IF('Données projet'!$A$114&gt;35,BY76+BX77-CG76,IF(A77&lt;'Données projet'!$A$114,$BV$205^A77,IF(A77='Données projet'!$A$114,'Données projet'!$B$114,BY76+BX77-CG76)))</f>
        <v>319.31999999999994</v>
      </c>
      <c r="BZ77" s="14">
        <f>BY77*VLOOKUP('Données projet'!$B$12,Paramètres!$A$1:$I$89,3,0)*VLOOKUP('Données projet'!$B$12,Paramètres!$A$1:$I$89,5,0)</f>
        <v>234.12542399999995</v>
      </c>
      <c r="CA77" s="14">
        <f t="shared" si="93"/>
        <v>57.173769626631554</v>
      </c>
      <c r="CB77" s="22">
        <f t="shared" si="64"/>
        <v>507.34609556638321</v>
      </c>
      <c r="CC77" s="62">
        <f t="shared" si="65"/>
        <v>800.67942889971653</v>
      </c>
      <c r="CD77" s="62">
        <f ca="1">AVERAGE(OFFSET($CC$3,0,0,'Données projet'!$E$12+1,1))-AVERAGE(OFFSET($H$3,0,0,'Données projet'!$E$12+1,1))</f>
        <v>344.45199703750711</v>
      </c>
      <c r="CE77" s="62">
        <f t="shared" si="94"/>
        <v>376.41441893222185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4.8</v>
      </c>
      <c r="CT77" s="13">
        <f>IF('Données projet'!$A$140&gt;35,CT76+CS77-DB76,IF(A77&lt;'Données projet'!$A$140,$CQ$205^A77,IF(A77='Données projet'!$A$140,'Données projet'!$B$140,CT76+CS77-DB76)))</f>
        <v>289.2000000000001</v>
      </c>
      <c r="CU77" s="18">
        <f>CT77*VLOOKUP('Données projet'!$B$13,Paramètres!$A$1:$I$89,3,0)*VLOOKUP('Données projet'!$B$13,Paramètres!$A$1:$I$89,5,0)</f>
        <v>189.48384000000007</v>
      </c>
      <c r="CV77" s="14">
        <f t="shared" si="95"/>
        <v>47.425819142919799</v>
      </c>
      <c r="CW77" s="22">
        <f t="shared" si="67"/>
        <v>412.61765634058543</v>
      </c>
      <c r="CX77" s="62">
        <f t="shared" si="68"/>
        <v>705.95098967391868</v>
      </c>
      <c r="CY77" s="62">
        <f ca="1">AVERAGE(OFFSET($CX$3,0,0,'Données projet'!$E$13+1,1))-AVERAGE(OFFSET($H$3,0,0,'Données projet'!$E$13+1,1))</f>
        <v>311.53750850588153</v>
      </c>
      <c r="CZ77" s="62">
        <f t="shared" si="96"/>
        <v>304.84379909635476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-1.1368683772161603E-13</v>
      </c>
      <c r="DP77" s="18">
        <f>DO77*VLOOKUP('Données projet'!$B$14,Paramètres!$A$1:$I$89,3,0)*VLOOKUP('Données projet'!$B$14,Paramètres!$A$1:$I$89,5,0)</f>
        <v>-9.2222762759774927E-14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256.19915261735281</v>
      </c>
      <c r="DU77" s="62">
        <f t="shared" si="98"/>
        <v>297.47246687305056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4.4871794871794863</v>
      </c>
      <c r="EJ77" s="13">
        <f>IF('Données projet'!$A$192&gt;35,EJ76+EI77-ER76,IF(A77&lt;'Données projet'!$A$192,$EG$205^A77,IF(A77='Données projet'!$A$192,'Données projet'!$B$192,EJ76+EI77-ER76)))</f>
        <v>241.66666666666657</v>
      </c>
      <c r="EK77" s="18">
        <f>EJ77*VLOOKUP('Données projet'!$B$15,Paramètres!$A$1:$I$89,3,0)*VLOOKUP('Données projet'!$B$15,Paramètres!$A$1:$I$89,5,0)</f>
        <v>229.96999999999991</v>
      </c>
      <c r="EL77" s="14">
        <f t="shared" si="99"/>
        <v>56.276194780495985</v>
      </c>
      <c r="EM77" s="22">
        <f t="shared" si="73"/>
        <v>498.54545590936368</v>
      </c>
      <c r="EN77" s="62">
        <f t="shared" si="74"/>
        <v>791.87878924269694</v>
      </c>
      <c r="EO77" s="62">
        <f ca="1">AVERAGE(OFFSET($EN$3,0,0,'Données projet'!$E$15+1,1))-AVERAGE(OFFSET($H$3,0,0,'Données projet'!$E$15+1,1))</f>
        <v>406.24139966722936</v>
      </c>
      <c r="EP77" s="62">
        <f t="shared" si="100"/>
        <v>295.95724296920577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1.1368683772161603E-13</v>
      </c>
      <c r="FF77" s="18">
        <f>FE77*VLOOKUP('Données projet'!$B$16,Paramètres!$A$1:$I$89,3,0)*VLOOKUP('Données projet'!$B$16,Paramètres!$A$1:$I$89,5,0)</f>
        <v>8.8675733422860506E-14</v>
      </c>
      <c r="FG77" s="14">
        <f t="shared" si="101"/>
        <v>1.3509285393066301E-12</v>
      </c>
      <c r="FH77" s="22">
        <f t="shared" si="76"/>
        <v>2.5073107750038623E-12</v>
      </c>
      <c r="FI77" s="62">
        <f t="shared" si="77"/>
        <v>293.33333333333582</v>
      </c>
      <c r="FJ77" s="62">
        <f ca="1">AVERAGE(OFFSET($FI$3,0,0,'Données projet'!$E$16+1,1))-AVERAGE(OFFSET($H$3,0,0,'Données projet'!$E$16+1,1))</f>
        <v>292.57482726862594</v>
      </c>
      <c r="FK77" s="62">
        <f t="shared" si="102"/>
        <v>283.48738729114024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7.6</v>
      </c>
      <c r="FZ77" s="13">
        <f>IF('Données projet'!$A$244&gt;35,FZ76+FY77-GH76,IF(A77&lt;'Données projet'!$A$244,$FW$205^A77,IF(A77='Données projet'!$A$244,'Données projet'!$B$244,FZ76+FY77-GH76)))</f>
        <v>332.40000000000003</v>
      </c>
      <c r="GA77" s="18">
        <f>FZ77*VLOOKUP('Données projet'!$B$17,Paramètres!$A$1:$I$89,3,0)*VLOOKUP('Données projet'!$B$17,Paramètres!$A$1:$I$89,5,0)</f>
        <v>321.49728000000005</v>
      </c>
      <c r="GB77" s="14">
        <f t="shared" si="103"/>
        <v>75.664807195585155</v>
      </c>
      <c r="GC77" s="22">
        <f t="shared" si="79"/>
        <v>691.72396853231078</v>
      </c>
      <c r="GD77" s="62">
        <f t="shared" si="80"/>
        <v>985.05730186564415</v>
      </c>
      <c r="GE77" s="62">
        <f ca="1">AVERAGE(OFFSET($GD$3,0,0,'Données projet'!$E$17+1,1))-AVERAGE(OFFSET($H$3,0,0,'Données projet'!$E$17+1,1))</f>
        <v>562.69380557620775</v>
      </c>
      <c r="GF77" s="62">
        <f t="shared" si="104"/>
        <v>294.45557293177131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340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340.00000000000006</v>
      </c>
      <c r="O78" s="14">
        <f>N78*VLOOKUP('Données projet'!$B$9,Paramètres!$A$1:$I$89,3,0)*VLOOKUP('Données projet'!$B$9,Paramètres!$A$1:$I$89,5,0)</f>
        <v>307.63200000000006</v>
      </c>
      <c r="P78" s="14">
        <f t="shared" si="87"/>
        <v>72.774077039465567</v>
      </c>
      <c r="Q78" s="22">
        <f t="shared" si="54"/>
        <v>662.54058417706926</v>
      </c>
      <c r="R78" s="62">
        <f t="shared" si="55"/>
        <v>955.87391751040263</v>
      </c>
      <c r="S78" s="62">
        <f ca="1">AVERAGE(OFFSET($R$3,0,0,'Données projet'!$E$9+1,1))-AVERAGE(OFFSET($H$3,0,0,'Données projet'!$E$9+1,1))</f>
        <v>529.25712986118265</v>
      </c>
      <c r="T78" s="62">
        <f t="shared" si="88"/>
        <v>278.21741231699929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56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12.555555555555555</v>
      </c>
      <c r="AI78" s="14">
        <f>IF('Données projet'!$A$62&gt;35,AI77+AH78-AQ77,IF(A78&lt;'Données projet'!$A$62,$AF$205^A78,IF(A78='Données projet'!$A$62,'Données projet'!$B$62,AI77+AH78-AQ77)))</f>
        <v>349.33333333333303</v>
      </c>
      <c r="AJ78" s="14">
        <f>AI78*VLOOKUP('Données projet'!$B$10,Paramètres!$A$1:$I$89,3,0)*VLOOKUP('Données projet'!$B$10,Paramètres!$A$1:$I$89,5,0)</f>
        <v>299.72799999999978</v>
      </c>
      <c r="AK78" s="14">
        <f t="shared" si="89"/>
        <v>71.119438818118951</v>
      </c>
      <c r="AL78" s="22">
        <f t="shared" si="58"/>
        <v>645.89262260822341</v>
      </c>
      <c r="AM78" s="62">
        <f t="shared" si="59"/>
        <v>939.22595594155678</v>
      </c>
      <c r="AN78" s="62">
        <f ca="1">AVERAGE(OFFSET($AM$3,0,0,'Données projet'!$E$10+1,1))-AVERAGE(OFFSET($H$3,0,0,'Données projet'!$E$10+1,1))</f>
        <v>446.86777652265448</v>
      </c>
      <c r="AO78" s="62">
        <f t="shared" si="90"/>
        <v>230.82970731138215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323.5</v>
      </c>
      <c r="BB78" s="13">
        <f>VLOOKUP(A78,'Données projet'!$A$87:$I$107,9,0)</f>
        <v>4.1799999999999953</v>
      </c>
      <c r="BC78" s="13">
        <f t="array" ref="BC78">INDEX(BB:BB,MIN(IF(ISNUMBER(BB78:BB274),ROW(BB78:BB274),"")))</f>
        <v>4.1799999999999953</v>
      </c>
      <c r="BD78" s="13">
        <f>IF('Données projet'!$A$88&gt;35,BD77+BC78-BL77,IF(A78&lt;'Données projet'!$A$88,$BA$205^A78,IF(A78='Données projet'!$A$88,'Données projet'!$B$88,BD77+BC78-BL77)))</f>
        <v>323.49999999999994</v>
      </c>
      <c r="BE78" s="14">
        <f>BD78*VLOOKUP('Données projet'!$B$11,Paramètres!$A$1:$I$89,3,0)*VLOOKUP('Données projet'!$B$11,Paramètres!$A$1:$I$89,5,0)</f>
        <v>257.3766</v>
      </c>
      <c r="BF78" s="14">
        <f t="shared" si="91"/>
        <v>62.162845465331493</v>
      </c>
      <c r="BG78" s="22">
        <f t="shared" si="61"/>
        <v>556.53120085211901</v>
      </c>
      <c r="BH78" s="62">
        <f t="shared" si="62"/>
        <v>849.86453418545238</v>
      </c>
      <c r="BI78" s="62">
        <f ca="1">AVERAGE(OFFSET($BH$3,0,0,'Données projet'!$E$11+1,1))-AVERAGE(OFFSET($H$3,0,0,'Données projet'!$E$11+1,1))</f>
        <v>370.59298168107364</v>
      </c>
      <c r="BJ78" s="62">
        <f t="shared" si="92"/>
        <v>404.61777090709171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323.5</v>
      </c>
      <c r="BW78" s="13">
        <f>VLOOKUP(A78,'Données projet'!$A$113:$I$133,9,0)</f>
        <v>4.1799999999999953</v>
      </c>
      <c r="BX78" s="13">
        <f t="array" ref="BX78">INDEX(BW:BW,MIN(IF(ISNUMBER(BW78:BW274),ROW(BW78:BW274),"")))</f>
        <v>4.1799999999999953</v>
      </c>
      <c r="BY78" s="13">
        <f>IF('Données projet'!$A$114&gt;35,BY77+BX78-CG77,IF(A78&lt;'Données projet'!$A$114,$BV$205^A78,IF(A78='Données projet'!$A$114,'Données projet'!$B$114,BY77+BX78-CG77)))</f>
        <v>323.49999999999994</v>
      </c>
      <c r="BZ78" s="14">
        <f>BY78*VLOOKUP('Données projet'!$B$12,Paramètres!$A$1:$I$89,3,0)*VLOOKUP('Données projet'!$B$12,Paramètres!$A$1:$I$89,5,0)</f>
        <v>237.19019999999995</v>
      </c>
      <c r="CA78" s="14">
        <f t="shared" si="93"/>
        <v>57.834574597922789</v>
      </c>
      <c r="CB78" s="22">
        <f t="shared" si="64"/>
        <v>513.83481575804865</v>
      </c>
      <c r="CC78" s="62">
        <f t="shared" si="65"/>
        <v>807.16814909138202</v>
      </c>
      <c r="CD78" s="62">
        <f ca="1">AVERAGE(OFFSET($CC$3,0,0,'Données projet'!$E$12+1,1))-AVERAGE(OFFSET($H$3,0,0,'Données projet'!$E$12+1,1))</f>
        <v>344.45199703750711</v>
      </c>
      <c r="CE78" s="62">
        <f t="shared" si="94"/>
        <v>376.41441893222185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294</v>
      </c>
      <c r="CR78" s="13">
        <f>VLOOKUP(A78,'Données projet'!$A$139:$I$159,9,0)</f>
        <v>4.8</v>
      </c>
      <c r="CS78" s="13">
        <f t="array" ref="CS78">INDEX(CR:CR,MIN(IF(ISNUMBER(CR78:CR274),ROW(CR78:CR274),"")))</f>
        <v>4.8</v>
      </c>
      <c r="CT78" s="13">
        <f>IF('Données projet'!$A$140&gt;35,CT77+CS78-DB77,IF(A78&lt;'Données projet'!$A$140,$CQ$205^A78,IF(A78='Données projet'!$A$140,'Données projet'!$B$140,CT77+CS78-DB77)))</f>
        <v>294.00000000000011</v>
      </c>
      <c r="CU78" s="18">
        <f>CT78*VLOOKUP('Données projet'!$B$13,Paramètres!$A$1:$I$89,3,0)*VLOOKUP('Données projet'!$B$13,Paramètres!$A$1:$I$89,5,0)</f>
        <v>192.62880000000007</v>
      </c>
      <c r="CV78" s="14">
        <f t="shared" si="95"/>
        <v>48.120677599655217</v>
      </c>
      <c r="CW78" s="22">
        <f t="shared" si="67"/>
        <v>419.30534015273292</v>
      </c>
      <c r="CX78" s="62">
        <f t="shared" si="68"/>
        <v>712.63867348606618</v>
      </c>
      <c r="CY78" s="62">
        <f ca="1">AVERAGE(OFFSET($CX$3,0,0,'Données projet'!$E$13+1,1))-AVERAGE(OFFSET($H$3,0,0,'Données projet'!$E$13+1,1))</f>
        <v>311.53750850588153</v>
      </c>
      <c r="CZ78" s="62">
        <f t="shared" si="96"/>
        <v>304.84379909635476</v>
      </c>
      <c r="DA78" s="16">
        <f>IF(ISNA(VLOOKUP(A78,'Données projet'!$A$139:$I$159,3,0)),0,VLOOKUP(A78,'Données projet'!$A$139:$I$159,3,0))</f>
        <v>6</v>
      </c>
      <c r="DB78" s="16">
        <f>IF(ISNA(VLOOKUP(A78,'Données projet'!$A$139:$I$159,4,0)),0,VLOOKUP(A78,'Données projet'!$A$139:$I$159,4,0))</f>
        <v>40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-1.1368683772161603E-13</v>
      </c>
      <c r="DP78" s="18">
        <f>DO78*VLOOKUP('Données projet'!$B$14,Paramètres!$A$1:$I$89,3,0)*VLOOKUP('Données projet'!$B$14,Paramètres!$A$1:$I$89,5,0)</f>
        <v>-9.2222762759774927E-14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256.19915261735281</v>
      </c>
      <c r="DU78" s="62">
        <f t="shared" si="98"/>
        <v>297.47246687305056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246.15384615384613</v>
      </c>
      <c r="EH78" s="13">
        <f>VLOOKUP(A78,'Données projet'!$A$191:$I$211,9,0)</f>
        <v>4.4871794871794863</v>
      </c>
      <c r="EI78" s="13">
        <f t="array" ref="EI78">INDEX(EH:EH,MIN(IF(ISNUMBER(EH78:EH274),ROW(EH78:EH274),"")))</f>
        <v>4.4871794871794863</v>
      </c>
      <c r="EJ78" s="13">
        <f>IF('Données projet'!$A$192&gt;35,EJ77+EI78-ER77,IF(A78&lt;'Données projet'!$A$192,$EG$205^A78,IF(A78='Données projet'!$A$192,'Données projet'!$B$192,EJ77+EI78-ER77)))</f>
        <v>246.15384615384605</v>
      </c>
      <c r="EK78" s="18">
        <f>EJ78*VLOOKUP('Données projet'!$B$15,Paramètres!$A$1:$I$89,3,0)*VLOOKUP('Données projet'!$B$15,Paramètres!$A$1:$I$89,5,0)</f>
        <v>234.2399999999999</v>
      </c>
      <c r="EL78" s="14">
        <f t="shared" si="99"/>
        <v>57.19849172024869</v>
      </c>
      <c r="EM78" s="22">
        <f t="shared" si="73"/>
        <v>507.58870641276627</v>
      </c>
      <c r="EN78" s="62">
        <f t="shared" si="74"/>
        <v>800.92203974609959</v>
      </c>
      <c r="EO78" s="62">
        <f ca="1">AVERAGE(OFFSET($EN$3,0,0,'Données projet'!$E$15+1,1))-AVERAGE(OFFSET($H$3,0,0,'Données projet'!$E$15+1,1))</f>
        <v>406.24139966722936</v>
      </c>
      <c r="EP78" s="62">
        <f t="shared" si="100"/>
        <v>295.95724296920577</v>
      </c>
      <c r="EQ78" s="16">
        <f>IF(ISNA(VLOOKUP(A78,'Données projet'!$A$191:$I$211,3,0)),0,VLOOKUP(A78,'Données projet'!$A$191:$I$211,3,0))</f>
        <v>6</v>
      </c>
      <c r="ER78" s="16">
        <f>IF(ISNA(VLOOKUP(A78,'Données projet'!$A$191:$I$211,4,0)),0,VLOOKUP(A78,'Données projet'!$A$191:$I$211,4,0))</f>
        <v>30.769230769230766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1.1368683772161603E-13</v>
      </c>
      <c r="FF78" s="18">
        <f>FE78*VLOOKUP('Données projet'!$B$16,Paramètres!$A$1:$I$89,3,0)*VLOOKUP('Données projet'!$B$16,Paramètres!$A$1:$I$89,5,0)</f>
        <v>8.8675733422860506E-14</v>
      </c>
      <c r="FG78" s="14">
        <f t="shared" si="101"/>
        <v>1.3509285393066301E-12</v>
      </c>
      <c r="FH78" s="22">
        <f t="shared" si="76"/>
        <v>2.5073107750038623E-12</v>
      </c>
      <c r="FI78" s="62">
        <f t="shared" si="77"/>
        <v>293.33333333333582</v>
      </c>
      <c r="FJ78" s="62">
        <f ca="1">AVERAGE(OFFSET($FI$3,0,0,'Données projet'!$E$16+1,1))-AVERAGE(OFFSET($H$3,0,0,'Données projet'!$E$16+1,1))</f>
        <v>292.57482726862594</v>
      </c>
      <c r="FK78" s="62">
        <f t="shared" si="102"/>
        <v>283.48738729114024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340</v>
      </c>
      <c r="FX78" s="13">
        <f>VLOOKUP(A78,'Données projet'!$A$243:$I$263,9,0)</f>
        <v>7.6</v>
      </c>
      <c r="FY78" s="13">
        <f t="array" ref="FY78">INDEX(FX:FX,MIN(IF(ISNUMBER(FX78:FX274),ROW(FX78:FX274),"")))</f>
        <v>7.6</v>
      </c>
      <c r="FZ78" s="13">
        <f>IF('Données projet'!$A$244&gt;35,FZ77+FY78-GH77,IF(A78&lt;'Données projet'!$A$244,$FW$205^A78,IF(A78='Données projet'!$A$244,'Données projet'!$B$244,FZ77+FY78-GH77)))</f>
        <v>340.00000000000006</v>
      </c>
      <c r="GA78" s="18">
        <f>FZ78*VLOOKUP('Données projet'!$B$17,Paramètres!$A$1:$I$89,3,0)*VLOOKUP('Données projet'!$B$17,Paramètres!$A$1:$I$89,5,0)</f>
        <v>328.84800000000007</v>
      </c>
      <c r="GB78" s="14">
        <f t="shared" si="103"/>
        <v>77.191419592112595</v>
      </c>
      <c r="GC78" s="22">
        <f t="shared" si="79"/>
        <v>707.18532245626284</v>
      </c>
      <c r="GD78" s="62">
        <f t="shared" si="80"/>
        <v>1000.5186557895961</v>
      </c>
      <c r="GE78" s="62">
        <f ca="1">AVERAGE(OFFSET($GD$3,0,0,'Données projet'!$E$17+1,1))-AVERAGE(OFFSET($H$3,0,0,'Données projet'!$E$17+1,1))</f>
        <v>562.69380557620775</v>
      </c>
      <c r="GF78" s="62">
        <f t="shared" si="104"/>
        <v>294.45557293177131</v>
      </c>
      <c r="GG78" s="16">
        <f>IF(ISNA(VLOOKUP(A78,'Données projet'!$A$243:$I$263,3,0)),0,VLOOKUP(A78,'Données projet'!$A$243:$I$263,3,0))</f>
        <v>6</v>
      </c>
      <c r="GH78" s="16">
        <f>IF(ISNA(VLOOKUP(A78,'Données projet'!$A$243:$I$263,4,0)),0,VLOOKUP(A78,'Données projet'!$A$243:$I$263,4,0))</f>
        <v>56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529.25712986118265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12.555555555555555</v>
      </c>
      <c r="AI79" s="14">
        <f>IF('Données projet'!$A$62&gt;35,AI78+AH79-AQ78,IF(A79&lt;'Données projet'!$A$62,$AF$205^A79,IF(A79='Données projet'!$A$62,'Données projet'!$B$62,AI78+AH79-AQ78)))</f>
        <v>361.88888888888857</v>
      </c>
      <c r="AJ79" s="14">
        <f>AI79*VLOOKUP('Données projet'!$B$10,Paramètres!$A$1:$I$89,3,0)*VLOOKUP('Données projet'!$B$10,Paramètres!$A$1:$I$89,5,0)</f>
        <v>310.5006666666664</v>
      </c>
      <c r="AK79" s="14">
        <f t="shared" si="89"/>
        <v>73.373379476611461</v>
      </c>
      <c r="AL79" s="22">
        <f t="shared" si="58"/>
        <v>668.58063036620888</v>
      </c>
      <c r="AM79" s="62">
        <f t="shared" si="59"/>
        <v>961.91396369954214</v>
      </c>
      <c r="AN79" s="62">
        <f ca="1">AVERAGE(OFFSET($AM$3,0,0,'Données projet'!$E$10+1,1))-AVERAGE(OFFSET($H$3,0,0,'Données projet'!$E$10+1,1))</f>
        <v>446.86777652265448</v>
      </c>
      <c r="AO79" s="62">
        <f t="shared" si="90"/>
        <v>230.82970731138215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3.5600000000000023</v>
      </c>
      <c r="BD79" s="13">
        <f>IF('Données projet'!$A$88&gt;35,BD78+BC79-BL78,IF(A79&lt;'Données projet'!$A$88,$BA$205^A79,IF(A79='Données projet'!$A$88,'Données projet'!$B$88,BD78+BC79-BL78)))</f>
        <v>327.05999999999995</v>
      </c>
      <c r="BE79" s="14">
        <f>BD79*VLOOKUP('Données projet'!$B$11,Paramètres!$A$1:$I$89,3,0)*VLOOKUP('Données projet'!$B$11,Paramètres!$A$1:$I$89,5,0)</f>
        <v>260.20893599999999</v>
      </c>
      <c r="BF79" s="14">
        <f t="shared" si="91"/>
        <v>62.766912585729685</v>
      </c>
      <c r="BG79" s="22">
        <f t="shared" si="61"/>
        <v>562.51626962014586</v>
      </c>
      <c r="BH79" s="62">
        <f t="shared" si="62"/>
        <v>855.84960295347923</v>
      </c>
      <c r="BI79" s="62">
        <f ca="1">AVERAGE(OFFSET($BH$3,0,0,'Données projet'!$E$11+1,1))-AVERAGE(OFFSET($H$3,0,0,'Données projet'!$E$11+1,1))</f>
        <v>370.59298168107364</v>
      </c>
      <c r="BJ79" s="62">
        <f t="shared" si="92"/>
        <v>404.61777090709171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3.5600000000000023</v>
      </c>
      <c r="BY79" s="13">
        <f>IF('Données projet'!$A$114&gt;35,BY78+BX79-CG78,IF(A79&lt;'Données projet'!$A$114,$BV$205^A79,IF(A79='Données projet'!$A$114,'Données projet'!$B$114,BY78+BX79-CG78)))</f>
        <v>327.05999999999995</v>
      </c>
      <c r="BZ79" s="14">
        <f>BY79*VLOOKUP('Données projet'!$B$12,Paramètres!$A$1:$I$89,3,0)*VLOOKUP('Données projet'!$B$12,Paramètres!$A$1:$I$89,5,0)</f>
        <v>239.80039199999996</v>
      </c>
      <c r="CA79" s="14">
        <f t="shared" si="93"/>
        <v>58.396581769172833</v>
      </c>
      <c r="CB79" s="22">
        <f t="shared" si="64"/>
        <v>519.35972931464255</v>
      </c>
      <c r="CC79" s="62">
        <f t="shared" si="65"/>
        <v>812.69306264797592</v>
      </c>
      <c r="CD79" s="62">
        <f ca="1">AVERAGE(OFFSET($CC$3,0,0,'Données projet'!$E$12+1,1))-AVERAGE(OFFSET($H$3,0,0,'Données projet'!$E$12+1,1))</f>
        <v>344.45199703750711</v>
      </c>
      <c r="CE79" s="62">
        <f t="shared" si="94"/>
        <v>376.41441893222185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4.5999999999999996</v>
      </c>
      <c r="CT79" s="13">
        <f>IF('Données projet'!$A$140&gt;35,CT78+CS79-DB78,IF(A79&lt;'Données projet'!$A$140,$CQ$205^A79,IF(A79='Données projet'!$A$140,'Données projet'!$B$140,CT78+CS79-DB78)))</f>
        <v>258.60000000000014</v>
      </c>
      <c r="CU79" s="18">
        <f>CT79*VLOOKUP('Données projet'!$B$13,Paramètres!$A$1:$I$89,3,0)*VLOOKUP('Données projet'!$B$13,Paramètres!$A$1:$I$89,5,0)</f>
        <v>169.43472000000008</v>
      </c>
      <c r="CV79" s="14">
        <f t="shared" si="95"/>
        <v>42.963395138288874</v>
      </c>
      <c r="CW79" s="22">
        <f t="shared" si="67"/>
        <v>369.92671719918661</v>
      </c>
      <c r="CX79" s="62">
        <f t="shared" si="68"/>
        <v>663.26005053251993</v>
      </c>
      <c r="CY79" s="62">
        <f ca="1">AVERAGE(OFFSET($CX$3,0,0,'Données projet'!$E$13+1,1))-AVERAGE(OFFSET($H$3,0,0,'Données projet'!$E$13+1,1))</f>
        <v>311.53750850588153</v>
      </c>
      <c r="CZ79" s="62">
        <f t="shared" si="96"/>
        <v>304.84379909635476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-1.1368683772161603E-13</v>
      </c>
      <c r="DP79" s="18">
        <f>DO79*VLOOKUP('Données projet'!$B$14,Paramètres!$A$1:$I$89,3,0)*VLOOKUP('Données projet'!$B$14,Paramètres!$A$1:$I$89,5,0)</f>
        <v>-9.2222762759774927E-14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256.19915261735281</v>
      </c>
      <c r="DU79" s="62">
        <f t="shared" si="98"/>
        <v>297.47246687305056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4.3589743589743648</v>
      </c>
      <c r="EJ79" s="13">
        <f>IF('Données projet'!$A$192&gt;35,EJ78+EI79-ER78,IF(A79&lt;'Données projet'!$A$192,$EG$205^A79,IF(A79='Données projet'!$A$192,'Données projet'!$B$192,EJ78+EI79-ER78)))</f>
        <v>219.74358974358964</v>
      </c>
      <c r="EK79" s="18">
        <f>EJ79*VLOOKUP('Données projet'!$B$15,Paramètres!$A$1:$I$89,3,0)*VLOOKUP('Données projet'!$B$15,Paramètres!$A$1:$I$89,5,0)</f>
        <v>209.10799999999989</v>
      </c>
      <c r="EL79" s="14">
        <f t="shared" si="99"/>
        <v>51.740612992017297</v>
      </c>
      <c r="EM79" s="22">
        <f t="shared" si="73"/>
        <v>454.31133429442997</v>
      </c>
      <c r="EN79" s="62">
        <f t="shared" si="74"/>
        <v>747.64466762776328</v>
      </c>
      <c r="EO79" s="62">
        <f ca="1">AVERAGE(OFFSET($EN$3,0,0,'Données projet'!$E$15+1,1))-AVERAGE(OFFSET($H$3,0,0,'Données projet'!$E$15+1,1))</f>
        <v>406.24139966722936</v>
      </c>
      <c r="EP79" s="62">
        <f t="shared" si="100"/>
        <v>295.95724296920577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1.1368683772161603E-13</v>
      </c>
      <c r="FF79" s="18">
        <f>FE79*VLOOKUP('Données projet'!$B$16,Paramètres!$A$1:$I$89,3,0)*VLOOKUP('Données projet'!$B$16,Paramètres!$A$1:$I$89,5,0)</f>
        <v>8.8675733422860506E-14</v>
      </c>
      <c r="FG79" s="14">
        <f t="shared" si="101"/>
        <v>1.3509285393066301E-12</v>
      </c>
      <c r="FH79" s="22">
        <f t="shared" si="76"/>
        <v>2.5073107750038623E-12</v>
      </c>
      <c r="FI79" s="62">
        <f t="shared" si="77"/>
        <v>293.33333333333582</v>
      </c>
      <c r="FJ79" s="62">
        <f ca="1">AVERAGE(OFFSET($FI$3,0,0,'Données projet'!$E$16+1,1))-AVERAGE(OFFSET($H$3,0,0,'Données projet'!$E$16+1,1))</f>
        <v>292.57482726862594</v>
      </c>
      <c r="FK79" s="62">
        <f t="shared" si="102"/>
        <v>283.48738729114024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7.2</v>
      </c>
      <c r="FZ79" s="13">
        <f>IF('Données projet'!$A$244&gt;35,FZ78+FY79-GH78,IF(A79&lt;'Données projet'!$A$244,$FW$205^A79,IF(A79='Données projet'!$A$244,'Données projet'!$B$244,FZ78+FY79-GH78)))</f>
        <v>291.20000000000005</v>
      </c>
      <c r="GA79" s="18">
        <f>FZ79*VLOOKUP('Données projet'!$B$17,Paramètres!$A$1:$I$89,3,0)*VLOOKUP('Données projet'!$B$17,Paramètres!$A$1:$I$89,5,0)</f>
        <v>281.64864000000006</v>
      </c>
      <c r="GB79" s="14">
        <f t="shared" si="103"/>
        <v>67.315294774697747</v>
      </c>
      <c r="GC79" s="22">
        <f t="shared" si="79"/>
        <v>607.77885306593191</v>
      </c>
      <c r="GD79" s="62">
        <f t="shared" si="80"/>
        <v>901.11218639926528</v>
      </c>
      <c r="GE79" s="62">
        <f ca="1">AVERAGE(OFFSET($GD$3,0,0,'Données projet'!$E$17+1,1))-AVERAGE(OFFSET($H$3,0,0,'Données projet'!$E$17+1,1))</f>
        <v>562.69380557620775</v>
      </c>
      <c r="GF79" s="62">
        <f t="shared" si="104"/>
        <v>294.45557293177131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529.25712986118265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12.555555555555555</v>
      </c>
      <c r="AI80" s="14">
        <f>IF('Données projet'!$A$62&gt;35,AI79+AH80-AQ79,IF(A80&lt;'Données projet'!$A$62,$AF$205^A80,IF(A80='Données projet'!$A$62,'Données projet'!$B$62,AI79+AH80-AQ79)))</f>
        <v>374.44444444444412</v>
      </c>
      <c r="AJ80" s="14">
        <f>AI80*VLOOKUP('Données projet'!$B$10,Paramètres!$A$1:$I$89,3,0)*VLOOKUP('Données projet'!$B$10,Paramètres!$A$1:$I$89,5,0)</f>
        <v>321.27333333333308</v>
      </c>
      <c r="AK80" s="14">
        <f t="shared" si="89"/>
        <v>75.618234159828049</v>
      </c>
      <c r="AL80" s="22">
        <f t="shared" si="58"/>
        <v>691.25281338392233</v>
      </c>
      <c r="AM80" s="62">
        <f t="shared" si="59"/>
        <v>984.58614671725559</v>
      </c>
      <c r="AN80" s="62">
        <f ca="1">AVERAGE(OFFSET($AM$3,0,0,'Données projet'!$E$10+1,1))-AVERAGE(OFFSET($H$3,0,0,'Données projet'!$E$10+1,1))</f>
        <v>446.86777652265448</v>
      </c>
      <c r="AO80" s="62">
        <f t="shared" si="90"/>
        <v>230.82970731138215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3.5600000000000023</v>
      </c>
      <c r="BD80" s="13">
        <f>IF('Données projet'!$A$88&gt;35,BD79+BC80-BL79,IF(A80&lt;'Données projet'!$A$88,$BA$205^A80,IF(A80='Données projet'!$A$88,'Données projet'!$B$88,BD79+BC80-BL79)))</f>
        <v>330.61999999999995</v>
      </c>
      <c r="BE80" s="14">
        <f>BD80*VLOOKUP('Données projet'!$B$11,Paramètres!$A$1:$I$89,3,0)*VLOOKUP('Données projet'!$B$11,Paramètres!$A$1:$I$89,5,0)</f>
        <v>263.04127199999994</v>
      </c>
      <c r="BF80" s="14">
        <f t="shared" si="91"/>
        <v>63.370214823641057</v>
      </c>
      <c r="BG80" s="22">
        <f t="shared" si="61"/>
        <v>568.50000621784136</v>
      </c>
      <c r="BH80" s="62">
        <f t="shared" si="62"/>
        <v>861.83333955117473</v>
      </c>
      <c r="BI80" s="62">
        <f ca="1">AVERAGE(OFFSET($BH$3,0,0,'Données projet'!$E$11+1,1))-AVERAGE(OFFSET($H$3,0,0,'Données projet'!$E$11+1,1))</f>
        <v>370.59298168107364</v>
      </c>
      <c r="BJ80" s="62">
        <f t="shared" si="92"/>
        <v>404.61777090709171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3.5600000000000023</v>
      </c>
      <c r="BY80" s="13">
        <f>IF('Données projet'!$A$114&gt;35,BY79+BX80-CG79,IF(A80&lt;'Données projet'!$A$114,$BV$205^A80,IF(A80='Données projet'!$A$114,'Données projet'!$B$114,BY79+BX80-CG79)))</f>
        <v>330.61999999999995</v>
      </c>
      <c r="BZ80" s="14">
        <f>BY80*VLOOKUP('Données projet'!$B$12,Paramètres!$A$1:$I$89,3,0)*VLOOKUP('Données projet'!$B$12,Paramètres!$A$1:$I$89,5,0)</f>
        <v>242.41058399999997</v>
      </c>
      <c r="CA80" s="14">
        <f t="shared" si="93"/>
        <v>58.957877315127767</v>
      </c>
      <c r="CB80" s="22">
        <f t="shared" si="64"/>
        <v>524.88340345718075</v>
      </c>
      <c r="CC80" s="62">
        <f t="shared" si="65"/>
        <v>818.21673679051401</v>
      </c>
      <c r="CD80" s="62">
        <f ca="1">AVERAGE(OFFSET($CC$3,0,0,'Données projet'!$E$12+1,1))-AVERAGE(OFFSET($H$3,0,0,'Données projet'!$E$12+1,1))</f>
        <v>344.45199703750711</v>
      </c>
      <c r="CE80" s="62">
        <f t="shared" si="94"/>
        <v>376.41441893222185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4.5999999999999996</v>
      </c>
      <c r="CT80" s="13">
        <f>IF('Données projet'!$A$140&gt;35,CT79+CS80-DB79,IF(A80&lt;'Données projet'!$A$140,$CQ$205^A80,IF(A80='Données projet'!$A$140,'Données projet'!$B$140,CT79+CS80-DB79)))</f>
        <v>263.20000000000016</v>
      </c>
      <c r="CU80" s="18">
        <f>CT80*VLOOKUP('Données projet'!$B$13,Paramètres!$A$1:$I$89,3,0)*VLOOKUP('Données projet'!$B$13,Paramètres!$A$1:$I$89,5,0)</f>
        <v>172.44864000000013</v>
      </c>
      <c r="CV80" s="14">
        <f t="shared" si="95"/>
        <v>43.637980200453718</v>
      </c>
      <c r="CW80" s="22">
        <f t="shared" si="67"/>
        <v>376.35086351579042</v>
      </c>
      <c r="CX80" s="62">
        <f t="shared" si="68"/>
        <v>669.68419684912374</v>
      </c>
      <c r="CY80" s="62">
        <f ca="1">AVERAGE(OFFSET($CX$3,0,0,'Données projet'!$E$13+1,1))-AVERAGE(OFFSET($H$3,0,0,'Données projet'!$E$13+1,1))</f>
        <v>311.53750850588153</v>
      </c>
      <c r="CZ80" s="62">
        <f t="shared" si="96"/>
        <v>304.84379909635476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-1.1368683772161603E-13</v>
      </c>
      <c r="DP80" s="18">
        <f>DO80*VLOOKUP('Données projet'!$B$14,Paramètres!$A$1:$I$89,3,0)*VLOOKUP('Données projet'!$B$14,Paramètres!$A$1:$I$89,5,0)</f>
        <v>-9.2222762759774927E-14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256.19915261735281</v>
      </c>
      <c r="DU80" s="62">
        <f t="shared" si="98"/>
        <v>297.47246687305056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4.3589743589743648</v>
      </c>
      <c r="EJ80" s="13">
        <f>IF('Données projet'!$A$192&gt;35,EJ79+EI80-ER79,IF(A80&lt;'Données projet'!$A$192,$EG$205^A80,IF(A80='Données projet'!$A$192,'Données projet'!$B$192,EJ79+EI80-ER79)))</f>
        <v>224.102564102564</v>
      </c>
      <c r="EK80" s="18">
        <f>EJ80*VLOOKUP('Données projet'!$B$15,Paramètres!$A$1:$I$89,3,0)*VLOOKUP('Données projet'!$B$15,Paramètres!$A$1:$I$89,5,0)</f>
        <v>213.25599999999989</v>
      </c>
      <c r="EL80" s="14">
        <f t="shared" si="99"/>
        <v>52.646465235028018</v>
      </c>
      <c r="EM80" s="22">
        <f t="shared" si="73"/>
        <v>463.11346028434019</v>
      </c>
      <c r="EN80" s="62">
        <f t="shared" si="74"/>
        <v>756.44679361767351</v>
      </c>
      <c r="EO80" s="62">
        <f ca="1">AVERAGE(OFFSET($EN$3,0,0,'Données projet'!$E$15+1,1))-AVERAGE(OFFSET($H$3,0,0,'Données projet'!$E$15+1,1))</f>
        <v>406.24139966722936</v>
      </c>
      <c r="EP80" s="62">
        <f t="shared" si="100"/>
        <v>295.95724296920577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1.1368683772161603E-13</v>
      </c>
      <c r="FF80" s="18">
        <f>FE80*VLOOKUP('Données projet'!$B$16,Paramètres!$A$1:$I$89,3,0)*VLOOKUP('Données projet'!$B$16,Paramètres!$A$1:$I$89,5,0)</f>
        <v>8.8675733422860506E-14</v>
      </c>
      <c r="FG80" s="14">
        <f t="shared" si="101"/>
        <v>1.3509285393066301E-12</v>
      </c>
      <c r="FH80" s="22">
        <f t="shared" si="76"/>
        <v>2.5073107750038623E-12</v>
      </c>
      <c r="FI80" s="62">
        <f t="shared" si="77"/>
        <v>293.33333333333582</v>
      </c>
      <c r="FJ80" s="62">
        <f ca="1">AVERAGE(OFFSET($FI$3,0,0,'Données projet'!$E$16+1,1))-AVERAGE(OFFSET($H$3,0,0,'Données projet'!$E$16+1,1))</f>
        <v>292.57482726862594</v>
      </c>
      <c r="FK80" s="62">
        <f t="shared" si="102"/>
        <v>283.48738729114024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7.2</v>
      </c>
      <c r="FZ80" s="13">
        <f>IF('Données projet'!$A$244&gt;35,FZ79+FY80-GH79,IF(A80&lt;'Données projet'!$A$244,$FW$205^A80,IF(A80='Données projet'!$A$244,'Données projet'!$B$244,FZ79+FY80-GH79)))</f>
        <v>298.40000000000003</v>
      </c>
      <c r="GA80" s="18">
        <f>FZ80*VLOOKUP('Données projet'!$B$17,Paramètres!$A$1:$I$89,3,0)*VLOOKUP('Données projet'!$B$17,Paramètres!$A$1:$I$89,5,0)</f>
        <v>288.61248000000001</v>
      </c>
      <c r="GB80" s="14">
        <f t="shared" si="103"/>
        <v>68.783851967051476</v>
      </c>
      <c r="GC80" s="22">
        <f t="shared" si="79"/>
        <v>622.4652781759479</v>
      </c>
      <c r="GD80" s="62">
        <f t="shared" si="80"/>
        <v>915.79861150928127</v>
      </c>
      <c r="GE80" s="62">
        <f ca="1">AVERAGE(OFFSET($GD$3,0,0,'Données projet'!$E$17+1,1))-AVERAGE(OFFSET($H$3,0,0,'Données projet'!$E$17+1,1))</f>
        <v>562.69380557620775</v>
      </c>
      <c r="GF80" s="62">
        <f t="shared" si="104"/>
        <v>294.45557293177131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529.25712986118265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>
        <f>VLOOKUP(A81,'Données projet'!$A$61:$I$81,2,0)</f>
        <v>387</v>
      </c>
      <c r="AG81" s="13">
        <f>VLOOKUP(A81,'Données projet'!$A$61:$I$81,9,0)</f>
        <v>12.555555555555555</v>
      </c>
      <c r="AH81" s="13">
        <f t="array" ref="AH81">INDEX(AG:AG,MIN(IF(ISNUMBER(AG81:AG277),ROW(AG81:AG277),"")))</f>
        <v>12.555555555555555</v>
      </c>
      <c r="AI81" s="14">
        <f>IF('Données projet'!$A$62&gt;35,AI80+AH81-AQ80,IF(A81&lt;'Données projet'!$A$62,$AF$205^A81,IF(A81='Données projet'!$A$62,'Données projet'!$B$62,AI80+AH81-AQ80)))</f>
        <v>386.99999999999966</v>
      </c>
      <c r="AJ81" s="14">
        <f>AI81*VLOOKUP('Données projet'!$B$10,Paramètres!$A$1:$I$89,3,0)*VLOOKUP('Données projet'!$B$10,Paramètres!$A$1:$I$89,5,0)</f>
        <v>332.04599999999971</v>
      </c>
      <c r="AK81" s="14">
        <f t="shared" si="89"/>
        <v>77.854342460208571</v>
      </c>
      <c r="AL81" s="22">
        <f t="shared" si="58"/>
        <v>713.90976311819611</v>
      </c>
      <c r="AM81" s="62">
        <f t="shared" si="59"/>
        <v>1007.2430964515295</v>
      </c>
      <c r="AN81" s="62">
        <f ca="1">AVERAGE(OFFSET($AM$3,0,0,'Données projet'!$E$10+1,1))-AVERAGE(OFFSET($H$3,0,0,'Données projet'!$E$10+1,1))</f>
        <v>446.86777652265448</v>
      </c>
      <c r="AO81" s="62">
        <f t="shared" si="90"/>
        <v>230.82970731138215</v>
      </c>
      <c r="AP81" s="16">
        <f>IF(ISNA(VLOOKUP(A81,'Données projet'!$A$61:$I$81,3,0)),0,VLOOKUP(A81,'Données projet'!$A$61:$I$81,3,0))</f>
        <v>9</v>
      </c>
      <c r="AQ81" s="16">
        <f>IF(ISNA(VLOOKUP(A81,'Données projet'!$A$61:$I$81,4,0)),0,VLOOKUP(A81,'Données projet'!$A$61:$I$81,4,0))</f>
        <v>39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3.5600000000000023</v>
      </c>
      <c r="BD81" s="13">
        <f>IF('Données projet'!$A$88&gt;35,BD80+BC81-BL80,IF(A81&lt;'Données projet'!$A$88,$BA$205^A81,IF(A81='Données projet'!$A$88,'Données projet'!$B$88,BD80+BC81-BL80)))</f>
        <v>334.17999999999995</v>
      </c>
      <c r="BE81" s="14">
        <f>BD81*VLOOKUP('Données projet'!$B$11,Paramètres!$A$1:$I$89,3,0)*VLOOKUP('Données projet'!$B$11,Paramètres!$A$1:$I$89,5,0)</f>
        <v>265.87360799999999</v>
      </c>
      <c r="BF81" s="14">
        <f t="shared" si="91"/>
        <v>63.972761368317435</v>
      </c>
      <c r="BG81" s="22">
        <f t="shared" si="61"/>
        <v>574.48242664981956</v>
      </c>
      <c r="BH81" s="62">
        <f t="shared" si="62"/>
        <v>867.81575998315293</v>
      </c>
      <c r="BI81" s="62">
        <f ca="1">AVERAGE(OFFSET($BH$3,0,0,'Données projet'!$E$11+1,1))-AVERAGE(OFFSET($H$3,0,0,'Données projet'!$E$11+1,1))</f>
        <v>370.59298168107364</v>
      </c>
      <c r="BJ81" s="62">
        <f t="shared" si="92"/>
        <v>404.61777090709171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3.5600000000000023</v>
      </c>
      <c r="BY81" s="13">
        <f>IF('Données projet'!$A$114&gt;35,BY80+BX81-CG80,IF(A81&lt;'Données projet'!$A$114,$BV$205^A81,IF(A81='Données projet'!$A$114,'Données projet'!$B$114,BY80+BX81-CG80)))</f>
        <v>334.17999999999995</v>
      </c>
      <c r="BZ81" s="14">
        <f>BY81*VLOOKUP('Données projet'!$B$12,Paramètres!$A$1:$I$89,3,0)*VLOOKUP('Données projet'!$B$12,Paramètres!$A$1:$I$89,5,0)</f>
        <v>245.02077599999993</v>
      </c>
      <c r="CA81" s="14">
        <f t="shared" si="93"/>
        <v>59.518469785210911</v>
      </c>
      <c r="CB81" s="22">
        <f t="shared" si="64"/>
        <v>530.40585307590879</v>
      </c>
      <c r="CC81" s="62">
        <f t="shared" si="65"/>
        <v>823.73918640924217</v>
      </c>
      <c r="CD81" s="62">
        <f ca="1">AVERAGE(OFFSET($CC$3,0,0,'Données projet'!$E$12+1,1))-AVERAGE(OFFSET($H$3,0,0,'Données projet'!$E$12+1,1))</f>
        <v>344.45199703750711</v>
      </c>
      <c r="CE81" s="62">
        <f t="shared" si="94"/>
        <v>376.41441893222185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4.5999999999999996</v>
      </c>
      <c r="CT81" s="13">
        <f>IF('Données projet'!$A$140&gt;35,CT80+CS81-DB80,IF(A81&lt;'Données projet'!$A$140,$CQ$205^A81,IF(A81='Données projet'!$A$140,'Données projet'!$B$140,CT80+CS81-DB80)))</f>
        <v>267.80000000000018</v>
      </c>
      <c r="CU81" s="18">
        <f>CT81*VLOOKUP('Données projet'!$B$13,Paramètres!$A$1:$I$89,3,0)*VLOOKUP('Données projet'!$B$13,Paramètres!$A$1:$I$89,5,0)</f>
        <v>175.46256000000011</v>
      </c>
      <c r="CV81" s="14">
        <f t="shared" si="95"/>
        <v>44.311194244027092</v>
      </c>
      <c r="CW81" s="22">
        <f t="shared" si="67"/>
        <v>382.77262197501403</v>
      </c>
      <c r="CX81" s="62">
        <f t="shared" si="68"/>
        <v>676.10595530834735</v>
      </c>
      <c r="CY81" s="62">
        <f ca="1">AVERAGE(OFFSET($CX$3,0,0,'Données projet'!$E$13+1,1))-AVERAGE(OFFSET($H$3,0,0,'Données projet'!$E$13+1,1))</f>
        <v>311.53750850588153</v>
      </c>
      <c r="CZ81" s="62">
        <f t="shared" si="96"/>
        <v>304.84379909635476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-1.1368683772161603E-13</v>
      </c>
      <c r="DP81" s="18">
        <f>DO81*VLOOKUP('Données projet'!$B$14,Paramètres!$A$1:$I$89,3,0)*VLOOKUP('Données projet'!$B$14,Paramètres!$A$1:$I$89,5,0)</f>
        <v>-9.2222762759774927E-14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256.19915261735281</v>
      </c>
      <c r="DU81" s="62">
        <f t="shared" si="98"/>
        <v>297.47246687305056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4.3589743589743648</v>
      </c>
      <c r="EJ81" s="13">
        <f>IF('Données projet'!$A$192&gt;35,EJ80+EI81-ER80,IF(A81&lt;'Données projet'!$A$192,$EG$205^A81,IF(A81='Données projet'!$A$192,'Données projet'!$B$192,EJ80+EI81-ER80)))</f>
        <v>228.46153846153837</v>
      </c>
      <c r="EK81" s="18">
        <f>EJ81*VLOOKUP('Données projet'!$B$15,Paramètres!$A$1:$I$89,3,0)*VLOOKUP('Données projet'!$B$15,Paramètres!$A$1:$I$89,5,0)</f>
        <v>217.40399999999991</v>
      </c>
      <c r="EL81" s="14">
        <f t="shared" si="99"/>
        <v>53.550268745628323</v>
      </c>
      <c r="EM81" s="22">
        <f t="shared" si="73"/>
        <v>471.91201806530245</v>
      </c>
      <c r="EN81" s="62">
        <f t="shared" si="74"/>
        <v>765.24535139863576</v>
      </c>
      <c r="EO81" s="62">
        <f ca="1">AVERAGE(OFFSET($EN$3,0,0,'Données projet'!$E$15+1,1))-AVERAGE(OFFSET($H$3,0,0,'Données projet'!$E$15+1,1))</f>
        <v>406.24139966722936</v>
      </c>
      <c r="EP81" s="62">
        <f t="shared" si="100"/>
        <v>295.95724296920577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1.1368683772161603E-13</v>
      </c>
      <c r="FF81" s="18">
        <f>FE81*VLOOKUP('Données projet'!$B$16,Paramètres!$A$1:$I$89,3,0)*VLOOKUP('Données projet'!$B$16,Paramètres!$A$1:$I$89,5,0)</f>
        <v>8.8675733422860506E-14</v>
      </c>
      <c r="FG81" s="14">
        <f t="shared" si="101"/>
        <v>1.3509285393066301E-12</v>
      </c>
      <c r="FH81" s="22">
        <f t="shared" si="76"/>
        <v>2.5073107750038623E-12</v>
      </c>
      <c r="FI81" s="62">
        <f t="shared" si="77"/>
        <v>293.33333333333582</v>
      </c>
      <c r="FJ81" s="62">
        <f ca="1">AVERAGE(OFFSET($FI$3,0,0,'Données projet'!$E$16+1,1))-AVERAGE(OFFSET($H$3,0,0,'Données projet'!$E$16+1,1))</f>
        <v>292.57482726862594</v>
      </c>
      <c r="FK81" s="62">
        <f t="shared" si="102"/>
        <v>283.48738729114024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7.2</v>
      </c>
      <c r="FZ81" s="13">
        <f>IF('Données projet'!$A$244&gt;35,FZ80+FY81-GH80,IF(A81&lt;'Données projet'!$A$244,$FW$205^A81,IF(A81='Données projet'!$A$244,'Données projet'!$B$244,FZ80+FY81-GH80)))</f>
        <v>305.60000000000002</v>
      </c>
      <c r="GA81" s="18">
        <f>FZ81*VLOOKUP('Données projet'!$B$17,Paramètres!$A$1:$I$89,3,0)*VLOOKUP('Données projet'!$B$17,Paramètres!$A$1:$I$89,5,0)</f>
        <v>295.57632000000001</v>
      </c>
      <c r="GB81" s="14">
        <f t="shared" si="103"/>
        <v>70.24828996461811</v>
      </c>
      <c r="GC81" s="22">
        <f t="shared" si="79"/>
        <v>637.1445290217099</v>
      </c>
      <c r="GD81" s="62">
        <f t="shared" si="80"/>
        <v>930.47786235504327</v>
      </c>
      <c r="GE81" s="62">
        <f ca="1">AVERAGE(OFFSET($GD$3,0,0,'Données projet'!$E$17+1,1))-AVERAGE(OFFSET($H$3,0,0,'Données projet'!$E$17+1,1))</f>
        <v>562.69380557620775</v>
      </c>
      <c r="GF81" s="62">
        <f t="shared" si="104"/>
        <v>294.45557293177131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529.25712986118265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12</v>
      </c>
      <c r="AI82" s="14">
        <f>IF('Données projet'!$A$62&gt;35,AI81+AH82-AQ81,IF(A82&lt;'Données projet'!$A$62,$AF$205^A82,IF(A82='Données projet'!$A$62,'Données projet'!$B$62,AI81+AH82-AQ81)))</f>
        <v>359.99999999999966</v>
      </c>
      <c r="AJ82" s="14">
        <f>AI82*VLOOKUP('Données projet'!$B$10,Paramètres!$A$1:$I$89,3,0)*VLOOKUP('Données projet'!$B$10,Paramètres!$A$1:$I$89,5,0)</f>
        <v>308.87999999999977</v>
      </c>
      <c r="AK82" s="14">
        <f t="shared" si="89"/>
        <v>73.034880345800715</v>
      </c>
      <c r="AL82" s="22">
        <f t="shared" si="58"/>
        <v>665.16841660226919</v>
      </c>
      <c r="AM82" s="62">
        <f t="shared" si="59"/>
        <v>958.50174993560245</v>
      </c>
      <c r="AN82" s="62">
        <f ca="1">AVERAGE(OFFSET($AM$3,0,0,'Données projet'!$E$10+1,1))-AVERAGE(OFFSET($H$3,0,0,'Données projet'!$E$10+1,1))</f>
        <v>446.86777652265448</v>
      </c>
      <c r="AO82" s="62">
        <f t="shared" si="90"/>
        <v>230.82970731138215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3.5600000000000023</v>
      </c>
      <c r="BD82" s="13">
        <f>IF('Données projet'!$A$88&gt;35,BD81+BC82-BL81,IF(A82&lt;'Données projet'!$A$88,$BA$205^A82,IF(A82='Données projet'!$A$88,'Données projet'!$B$88,BD81+BC82-BL81)))</f>
        <v>337.73999999999995</v>
      </c>
      <c r="BE82" s="14">
        <f>BD82*VLOOKUP('Données projet'!$B$11,Paramètres!$A$1:$I$89,3,0)*VLOOKUP('Données projet'!$B$11,Paramètres!$A$1:$I$89,5,0)</f>
        <v>268.70594399999999</v>
      </c>
      <c r="BF82" s="14">
        <f t="shared" si="91"/>
        <v>64.574561201947517</v>
      </c>
      <c r="BG82" s="22">
        <f t="shared" si="61"/>
        <v>580.46354656005849</v>
      </c>
      <c r="BH82" s="62">
        <f t="shared" si="62"/>
        <v>873.79687989339186</v>
      </c>
      <c r="BI82" s="62">
        <f ca="1">AVERAGE(OFFSET($BH$3,0,0,'Données projet'!$E$11+1,1))-AVERAGE(OFFSET($H$3,0,0,'Données projet'!$E$11+1,1))</f>
        <v>370.59298168107364</v>
      </c>
      <c r="BJ82" s="62">
        <f t="shared" si="92"/>
        <v>404.61777090709171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3.5600000000000023</v>
      </c>
      <c r="BY82" s="13">
        <f>IF('Données projet'!$A$114&gt;35,BY81+BX82-CG81,IF(A82&lt;'Données projet'!$A$114,$BV$205^A82,IF(A82='Données projet'!$A$114,'Données projet'!$B$114,BY81+BX82-CG81)))</f>
        <v>337.73999999999995</v>
      </c>
      <c r="BZ82" s="14">
        <f>BY82*VLOOKUP('Données projet'!$B$12,Paramètres!$A$1:$I$89,3,0)*VLOOKUP('Données projet'!$B$12,Paramètres!$A$1:$I$89,5,0)</f>
        <v>247.63096799999994</v>
      </c>
      <c r="CA82" s="14">
        <f t="shared" si="93"/>
        <v>60.078367536199657</v>
      </c>
      <c r="CB82" s="22">
        <f t="shared" si="64"/>
        <v>535.9270927255476</v>
      </c>
      <c r="CC82" s="62">
        <f t="shared" si="65"/>
        <v>829.26042605888097</v>
      </c>
      <c r="CD82" s="62">
        <f ca="1">AVERAGE(OFFSET($CC$3,0,0,'Données projet'!$E$12+1,1))-AVERAGE(OFFSET($H$3,0,0,'Données projet'!$E$12+1,1))</f>
        <v>344.45199703750711</v>
      </c>
      <c r="CE82" s="62">
        <f t="shared" si="94"/>
        <v>376.41441893222185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4.5999999999999996</v>
      </c>
      <c r="CT82" s="13">
        <f>IF('Données projet'!$A$140&gt;35,CT81+CS82-DB81,IF(A82&lt;'Données projet'!$A$140,$CQ$205^A82,IF(A82='Données projet'!$A$140,'Données projet'!$B$140,CT81+CS82-DB81)))</f>
        <v>272.4000000000002</v>
      </c>
      <c r="CU82" s="18">
        <f>CT82*VLOOKUP('Données projet'!$B$13,Paramètres!$A$1:$I$89,3,0)*VLOOKUP('Données projet'!$B$13,Paramètres!$A$1:$I$89,5,0)</f>
        <v>178.47648000000015</v>
      </c>
      <c r="CV82" s="14">
        <f t="shared" si="95"/>
        <v>44.983063536547988</v>
      </c>
      <c r="CW82" s="22">
        <f t="shared" si="67"/>
        <v>389.19203832615466</v>
      </c>
      <c r="CX82" s="62">
        <f t="shared" si="68"/>
        <v>682.52537165948797</v>
      </c>
      <c r="CY82" s="62">
        <f ca="1">AVERAGE(OFFSET($CX$3,0,0,'Données projet'!$E$13+1,1))-AVERAGE(OFFSET($H$3,0,0,'Données projet'!$E$13+1,1))</f>
        <v>311.53750850588153</v>
      </c>
      <c r="CZ82" s="62">
        <f t="shared" si="96"/>
        <v>304.84379909635476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-1.1368683772161603E-13</v>
      </c>
      <c r="DP82" s="18">
        <f>DO82*VLOOKUP('Données projet'!$B$14,Paramètres!$A$1:$I$89,3,0)*VLOOKUP('Données projet'!$B$14,Paramètres!$A$1:$I$89,5,0)</f>
        <v>-9.2222762759774927E-14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256.19915261735281</v>
      </c>
      <c r="DU82" s="62">
        <f t="shared" si="98"/>
        <v>297.47246687305056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4.3589743589743648</v>
      </c>
      <c r="EJ82" s="13">
        <f>IF('Données projet'!$A$192&gt;35,EJ81+EI82-ER81,IF(A82&lt;'Données projet'!$A$192,$EG$205^A82,IF(A82='Données projet'!$A$192,'Données projet'!$B$192,EJ81+EI82-ER81)))</f>
        <v>232.82051282051273</v>
      </c>
      <c r="EK82" s="18">
        <f>EJ82*VLOOKUP('Données projet'!$B$15,Paramètres!$A$1:$I$89,3,0)*VLOOKUP('Données projet'!$B$15,Paramètres!$A$1:$I$89,5,0)</f>
        <v>221.55199999999994</v>
      </c>
      <c r="EL82" s="14">
        <f t="shared" si="99"/>
        <v>54.452067119881683</v>
      </c>
      <c r="EM82" s="22">
        <f t="shared" si="73"/>
        <v>480.70708356712709</v>
      </c>
      <c r="EN82" s="62">
        <f t="shared" si="74"/>
        <v>774.0404169004604</v>
      </c>
      <c r="EO82" s="62">
        <f ca="1">AVERAGE(OFFSET($EN$3,0,0,'Données projet'!$E$15+1,1))-AVERAGE(OFFSET($H$3,0,0,'Données projet'!$E$15+1,1))</f>
        <v>406.24139966722936</v>
      </c>
      <c r="EP82" s="62">
        <f t="shared" si="100"/>
        <v>295.95724296920577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1.1368683772161603E-13</v>
      </c>
      <c r="FF82" s="18">
        <f>FE82*VLOOKUP('Données projet'!$B$16,Paramètres!$A$1:$I$89,3,0)*VLOOKUP('Données projet'!$B$16,Paramètres!$A$1:$I$89,5,0)</f>
        <v>8.8675733422860506E-14</v>
      </c>
      <c r="FG82" s="14">
        <f t="shared" si="101"/>
        <v>1.3509285393066301E-12</v>
      </c>
      <c r="FH82" s="22">
        <f t="shared" si="76"/>
        <v>2.5073107750038623E-12</v>
      </c>
      <c r="FI82" s="62">
        <f t="shared" si="77"/>
        <v>293.33333333333582</v>
      </c>
      <c r="FJ82" s="62">
        <f ca="1">AVERAGE(OFFSET($FI$3,0,0,'Données projet'!$E$16+1,1))-AVERAGE(OFFSET($H$3,0,0,'Données projet'!$E$16+1,1))</f>
        <v>292.57482726862594</v>
      </c>
      <c r="FK82" s="62">
        <f t="shared" si="102"/>
        <v>283.48738729114024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7.2</v>
      </c>
      <c r="FZ82" s="13">
        <f>IF('Données projet'!$A$244&gt;35,FZ81+FY82-GH81,IF(A82&lt;'Données projet'!$A$244,$FW$205^A82,IF(A82='Données projet'!$A$244,'Données projet'!$B$244,FZ81+FY82-GH81)))</f>
        <v>312.8</v>
      </c>
      <c r="GA82" s="18">
        <f>FZ82*VLOOKUP('Données projet'!$B$17,Paramètres!$A$1:$I$89,3,0)*VLOOKUP('Données projet'!$B$17,Paramètres!$A$1:$I$89,5,0)</f>
        <v>302.54016000000001</v>
      </c>
      <c r="GB82" s="14">
        <f t="shared" si="103"/>
        <v>71.708716984815311</v>
      </c>
      <c r="GC82" s="22">
        <f t="shared" si="79"/>
        <v>651.81679408188654</v>
      </c>
      <c r="GD82" s="62">
        <f t="shared" si="80"/>
        <v>945.15012741521991</v>
      </c>
      <c r="GE82" s="62">
        <f ca="1">AVERAGE(OFFSET($GD$3,0,0,'Données projet'!$E$17+1,1))-AVERAGE(OFFSET($H$3,0,0,'Données projet'!$E$17+1,1))</f>
        <v>562.69380557620775</v>
      </c>
      <c r="GF82" s="62">
        <f t="shared" si="104"/>
        <v>294.45557293177131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529.25712986118265</v>
      </c>
      <c r="T83" s="62">
        <f t="shared" si="88"/>
        <v>278.21741231699929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12</v>
      </c>
      <c r="AI83" s="14">
        <f>IF('Données projet'!$A$62&gt;35,AI82+AH83-AQ82,IF(A83&lt;'Données projet'!$A$62,$AF$205^A83,IF(A83='Données projet'!$A$62,'Données projet'!$B$62,AI82+AH83-AQ82)))</f>
        <v>371.99999999999966</v>
      </c>
      <c r="AJ83" s="14">
        <f>AI83*VLOOKUP('Données projet'!$B$10,Paramètres!$A$1:$I$89,3,0)*VLOOKUP('Données projet'!$B$10,Paramètres!$A$1:$I$89,5,0)</f>
        <v>319.17599999999976</v>
      </c>
      <c r="AK83" s="14">
        <f t="shared" si="89"/>
        <v>75.181878718947615</v>
      </c>
      <c r="AL83" s="22">
        <f t="shared" si="58"/>
        <v>686.8399721021666</v>
      </c>
      <c r="AM83" s="62">
        <f t="shared" si="59"/>
        <v>980.17330543549997</v>
      </c>
      <c r="AN83" s="62">
        <f ca="1">AVERAGE(OFFSET($AM$3,0,0,'Données projet'!$E$10+1,1))-AVERAGE(OFFSET($H$3,0,0,'Données projet'!$E$10+1,1))</f>
        <v>446.86777652265448</v>
      </c>
      <c r="AO83" s="62">
        <f t="shared" si="90"/>
        <v>230.82970731138215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341.3</v>
      </c>
      <c r="BB83" s="13">
        <f>VLOOKUP(A83,'Données projet'!$A$87:$I$107,9,0)</f>
        <v>3.5600000000000023</v>
      </c>
      <c r="BC83" s="13">
        <f t="array" ref="BC83">INDEX(BB:BB,MIN(IF(ISNUMBER(BB83:BB279),ROW(BB83:BB279),"")))</f>
        <v>3.5600000000000023</v>
      </c>
      <c r="BD83" s="13">
        <f>IF('Données projet'!$A$88&gt;35,BD82+BC83-BL82,IF(A83&lt;'Données projet'!$A$88,$BA$205^A83,IF(A83='Données projet'!$A$88,'Données projet'!$B$88,BD82+BC83-BL82)))</f>
        <v>341.29999999999995</v>
      </c>
      <c r="BE83" s="14">
        <f>BD83*VLOOKUP('Données projet'!$B$11,Paramètres!$A$1:$I$89,3,0)*VLOOKUP('Données projet'!$B$11,Paramètres!$A$1:$I$89,5,0)</f>
        <v>271.53827999999999</v>
      </c>
      <c r="BF83" s="14">
        <f t="shared" si="91"/>
        <v>65.17562310645522</v>
      </c>
      <c r="BG83" s="22">
        <f t="shared" si="61"/>
        <v>586.44338124374281</v>
      </c>
      <c r="BH83" s="62">
        <f t="shared" si="62"/>
        <v>879.77671457707606</v>
      </c>
      <c r="BI83" s="62">
        <f ca="1">AVERAGE(OFFSET($BH$3,0,0,'Données projet'!$E$11+1,1))-AVERAGE(OFFSET($H$3,0,0,'Données projet'!$E$11+1,1))</f>
        <v>370.59298168107364</v>
      </c>
      <c r="BJ83" s="62">
        <f t="shared" si="92"/>
        <v>404.61777090709171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341.3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341.3</v>
      </c>
      <c r="BW83" s="13">
        <f>VLOOKUP(A83,'Données projet'!$A$113:$I$133,9,0)</f>
        <v>3.5600000000000023</v>
      </c>
      <c r="BX83" s="13">
        <f t="array" ref="BX83">INDEX(BW:BW,MIN(IF(ISNUMBER(BW83:BW279),ROW(BW83:BW279),"")))</f>
        <v>3.5600000000000023</v>
      </c>
      <c r="BY83" s="13">
        <f>IF('Données projet'!$A$114&gt;35,BY82+BX83-CG82,IF(A83&lt;'Données projet'!$A$114,$BV$205^A83,IF(A83='Données projet'!$A$114,'Données projet'!$B$114,BY82+BX83-CG82)))</f>
        <v>341.29999999999995</v>
      </c>
      <c r="BZ83" s="14">
        <f>BY83*VLOOKUP('Données projet'!$B$12,Paramètres!$A$1:$I$89,3,0)*VLOOKUP('Données projet'!$B$12,Paramètres!$A$1:$I$89,5,0)</f>
        <v>250.24115999999998</v>
      </c>
      <c r="CA83" s="14">
        <f t="shared" si="93"/>
        <v>60.637578738550481</v>
      </c>
      <c r="CB83" s="22">
        <f t="shared" si="64"/>
        <v>541.44713663630864</v>
      </c>
      <c r="CC83" s="62">
        <f t="shared" si="65"/>
        <v>834.7804699696419</v>
      </c>
      <c r="CD83" s="62">
        <f ca="1">AVERAGE(OFFSET($CC$3,0,0,'Données projet'!$E$12+1,1))-AVERAGE(OFFSET($H$3,0,0,'Données projet'!$E$12+1,1))</f>
        <v>344.45199703750711</v>
      </c>
      <c r="CE83" s="62">
        <f t="shared" si="94"/>
        <v>376.41441893222185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341.3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277</v>
      </c>
      <c r="CR83" s="13">
        <f>VLOOKUP(A83,'Données projet'!$A$139:$I$159,9,0)</f>
        <v>4.5999999999999996</v>
      </c>
      <c r="CS83" s="13">
        <f t="array" ref="CS83">INDEX(CR:CR,MIN(IF(ISNUMBER(CR83:CR279),ROW(CR83:CR279),"")))</f>
        <v>4.5999999999999996</v>
      </c>
      <c r="CT83" s="13">
        <f>IF('Données projet'!$A$140&gt;35,CT82+CS83-DB82,IF(A83&lt;'Données projet'!$A$140,$CQ$205^A83,IF(A83='Données projet'!$A$140,'Données projet'!$B$140,CT82+CS83-DB82)))</f>
        <v>277.00000000000023</v>
      </c>
      <c r="CU83" s="18">
        <f>CT83*VLOOKUP('Données projet'!$B$13,Paramètres!$A$1:$I$89,3,0)*VLOOKUP('Données projet'!$B$13,Paramètres!$A$1:$I$89,5,0)</f>
        <v>181.49040000000014</v>
      </c>
      <c r="CV83" s="14">
        <f t="shared" si="95"/>
        <v>45.653613407555532</v>
      </c>
      <c r="CW83" s="22">
        <f t="shared" si="67"/>
        <v>395.60915668482608</v>
      </c>
      <c r="CX83" s="62">
        <f t="shared" si="68"/>
        <v>688.94249001815933</v>
      </c>
      <c r="CY83" s="62">
        <f ca="1">AVERAGE(OFFSET($CX$3,0,0,'Données projet'!$E$13+1,1))-AVERAGE(OFFSET($H$3,0,0,'Données projet'!$E$13+1,1))</f>
        <v>311.53750850588153</v>
      </c>
      <c r="CZ83" s="62">
        <f t="shared" si="96"/>
        <v>304.84379909635476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-1.1368683772161603E-13</v>
      </c>
      <c r="DP83" s="18">
        <f>DO83*VLOOKUP('Données projet'!$B$14,Paramètres!$A$1:$I$89,3,0)*VLOOKUP('Données projet'!$B$14,Paramètres!$A$1:$I$89,5,0)</f>
        <v>-9.2222762759774927E-14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256.19915261735281</v>
      </c>
      <c r="DU83" s="62">
        <f t="shared" si="98"/>
        <v>297.47246687305056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237.17948717948718</v>
      </c>
      <c r="EH83" s="13">
        <f>VLOOKUP(A83,'Données projet'!$A$191:$I$211,9,0)</f>
        <v>4.3589743589743648</v>
      </c>
      <c r="EI83" s="13">
        <f t="array" ref="EI83">INDEX(EH:EH,MIN(IF(ISNUMBER(EH83:EH279),ROW(EH83:EH279),"")))</f>
        <v>4.3589743589743648</v>
      </c>
      <c r="EJ83" s="13">
        <f>IF('Données projet'!$A$192&gt;35,EJ82+EI83-ER82,IF(A83&lt;'Données projet'!$A$192,$EG$205^A83,IF(A83='Données projet'!$A$192,'Données projet'!$B$192,EJ82+EI83-ER82)))</f>
        <v>237.1794871794871</v>
      </c>
      <c r="EK83" s="18">
        <f>EJ83*VLOOKUP('Données projet'!$B$15,Paramètres!$A$1:$I$89,3,0)*VLOOKUP('Données projet'!$B$15,Paramètres!$A$1:$I$89,5,0)</f>
        <v>225.69999999999993</v>
      </c>
      <c r="EL83" s="14">
        <f t="shared" si="99"/>
        <v>55.351902227969966</v>
      </c>
      <c r="EM83" s="22">
        <f t="shared" si="73"/>
        <v>489.49872971371423</v>
      </c>
      <c r="EN83" s="62">
        <f t="shared" si="74"/>
        <v>782.83206304704754</v>
      </c>
      <c r="EO83" s="62">
        <f ca="1">AVERAGE(OFFSET($EN$3,0,0,'Données projet'!$E$15+1,1))-AVERAGE(OFFSET($H$3,0,0,'Données projet'!$E$15+1,1))</f>
        <v>406.24139966722936</v>
      </c>
      <c r="EP83" s="62">
        <f t="shared" si="100"/>
        <v>295.95724296920577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1.1368683772161603E-13</v>
      </c>
      <c r="FF83" s="18">
        <f>FE83*VLOOKUP('Données projet'!$B$16,Paramètres!$A$1:$I$89,3,0)*VLOOKUP('Données projet'!$B$16,Paramètres!$A$1:$I$89,5,0)</f>
        <v>8.8675733422860506E-14</v>
      </c>
      <c r="FG83" s="14">
        <f t="shared" si="101"/>
        <v>1.3509285393066301E-12</v>
      </c>
      <c r="FH83" s="22">
        <f t="shared" si="76"/>
        <v>2.5073107750038623E-12</v>
      </c>
      <c r="FI83" s="62">
        <f t="shared" si="77"/>
        <v>293.33333333333582</v>
      </c>
      <c r="FJ83" s="62">
        <f ca="1">AVERAGE(OFFSET($FI$3,0,0,'Données projet'!$E$16+1,1))-AVERAGE(OFFSET($H$3,0,0,'Données projet'!$E$16+1,1))</f>
        <v>292.57482726862594</v>
      </c>
      <c r="FK83" s="62">
        <f t="shared" si="102"/>
        <v>283.48738729114024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320</v>
      </c>
      <c r="FX83" s="13">
        <f>VLOOKUP(A83,'Données projet'!$A$243:$I$263,9,0)</f>
        <v>7.2</v>
      </c>
      <c r="FY83" s="13">
        <f t="array" ref="FY83">INDEX(FX:FX,MIN(IF(ISNUMBER(FX83:FX279),ROW(FX83:FX279),"")))</f>
        <v>7.2</v>
      </c>
      <c r="FZ83" s="13">
        <f>IF('Données projet'!$A$244&gt;35,FZ82+FY83-GH82,IF(A83&lt;'Données projet'!$A$244,$FW$205^A83,IF(A83='Données projet'!$A$244,'Données projet'!$B$244,FZ82+FY83-GH82)))</f>
        <v>320</v>
      </c>
      <c r="GA83" s="18">
        <f>FZ83*VLOOKUP('Données projet'!$B$17,Paramètres!$A$1:$I$89,3,0)*VLOOKUP('Données projet'!$B$17,Paramètres!$A$1:$I$89,5,0)</f>
        <v>309.50400000000002</v>
      </c>
      <c r="GB83" s="14">
        <f t="shared" si="103"/>
        <v>73.165235978896504</v>
      </c>
      <c r="GC83" s="22">
        <f t="shared" si="79"/>
        <v>666.48225266324471</v>
      </c>
      <c r="GD83" s="62">
        <f t="shared" si="80"/>
        <v>959.81558599657797</v>
      </c>
      <c r="GE83" s="62">
        <f ca="1">AVERAGE(OFFSET($GD$3,0,0,'Données projet'!$E$17+1,1))-AVERAGE(OFFSET($H$3,0,0,'Données projet'!$E$17+1,1))</f>
        <v>562.69380557620775</v>
      </c>
      <c r="GF83" s="62">
        <f t="shared" si="104"/>
        <v>294.45557293177131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6.6</v>
      </c>
      <c r="N84" s="14">
        <f>IF('Données projet'!$A$36&gt;35,N83+M84-V83,IF(A84&lt;'Données projet'!$A$36,$K$205^A84,IF(A84='Données projet'!$A$36,'Données projet'!$B$36,N83+M84-V83)))</f>
        <v>326.60000000000002</v>
      </c>
      <c r="O84" s="14">
        <f>N84*VLOOKUP('Données projet'!$B$9,Paramètres!$A$1:$I$89,3,0)*VLOOKUP('Données projet'!$B$9,Paramètres!$A$1:$I$89,5,0)</f>
        <v>295.50767999999999</v>
      </c>
      <c r="P84" s="14">
        <f t="shared" si="87"/>
        <v>70.233875285761272</v>
      </c>
      <c r="Q84" s="22">
        <f t="shared" si="54"/>
        <v>636.99987545603415</v>
      </c>
      <c r="R84" s="62">
        <f t="shared" si="55"/>
        <v>930.33320878936752</v>
      </c>
      <c r="S84" s="62">
        <f ca="1">AVERAGE(OFFSET($R$3,0,0,'Données projet'!$E$9+1,1))-AVERAGE(OFFSET($H$3,0,0,'Données projet'!$E$9+1,1))</f>
        <v>529.25712986118265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12</v>
      </c>
      <c r="AI84" s="14">
        <f>IF('Données projet'!$A$62&gt;35,AI83+AH84-AQ83,IF(A84&lt;'Données projet'!$A$62,$AF$205^A84,IF(A84='Données projet'!$A$62,'Données projet'!$B$62,AI83+AH84-AQ83)))</f>
        <v>383.99999999999966</v>
      </c>
      <c r="AJ84" s="14">
        <f>AI84*VLOOKUP('Données projet'!$B$10,Paramètres!$A$1:$I$89,3,0)*VLOOKUP('Données projet'!$B$10,Paramètres!$A$1:$I$89,5,0)</f>
        <v>329.47199999999975</v>
      </c>
      <c r="AK84" s="14">
        <f t="shared" si="89"/>
        <v>77.320829101031876</v>
      </c>
      <c r="AL84" s="22">
        <f t="shared" si="58"/>
        <v>708.49751068429669</v>
      </c>
      <c r="AM84" s="62">
        <f t="shared" si="59"/>
        <v>1001.8308440176299</v>
      </c>
      <c r="AN84" s="62">
        <f ca="1">AVERAGE(OFFSET($AM$3,0,0,'Données projet'!$E$10+1,1))-AVERAGE(OFFSET($H$3,0,0,'Données projet'!$E$10+1,1))</f>
        <v>446.86777652265448</v>
      </c>
      <c r="AO84" s="62">
        <f t="shared" si="90"/>
        <v>230.82970731138215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-4.5224624045658861E-14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370.59298168107364</v>
      </c>
      <c r="BJ84" s="62">
        <f t="shared" si="92"/>
        <v>404.61777090709171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-5.6843418860808015E-14</v>
      </c>
      <c r="BZ84" s="14">
        <f>BY84*VLOOKUP('Données projet'!$B$12,Paramètres!$A$1:$I$89,3,0)*VLOOKUP('Données projet'!$B$12,Paramètres!$A$1:$I$89,5,0)</f>
        <v>-4.1677594708744434E-14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344.45199703750711</v>
      </c>
      <c r="CE84" s="62">
        <f t="shared" si="94"/>
        <v>376.41441893222185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4.2</v>
      </c>
      <c r="CT84" s="13">
        <f>IF('Données projet'!$A$140&gt;35,CT83+CS84-DB83,IF(A84&lt;'Données projet'!$A$140,$CQ$205^A84,IF(A84='Données projet'!$A$140,'Données projet'!$B$140,CT83+CS84-DB83)))</f>
        <v>281.20000000000022</v>
      </c>
      <c r="CU84" s="18">
        <f>CT84*VLOOKUP('Données projet'!$B$13,Paramètres!$A$1:$I$89,3,0)*VLOOKUP('Données projet'!$B$13,Paramètres!$A$1:$I$89,5,0)</f>
        <v>184.24224000000015</v>
      </c>
      <c r="CV84" s="14">
        <f t="shared" si="95"/>
        <v>46.264723024378284</v>
      </c>
      <c r="CW84" s="22">
        <f t="shared" si="67"/>
        <v>401.46629393412576</v>
      </c>
      <c r="CX84" s="62">
        <f t="shared" si="68"/>
        <v>694.79962726745907</v>
      </c>
      <c r="CY84" s="62">
        <f ca="1">AVERAGE(OFFSET($CX$3,0,0,'Données projet'!$E$13+1,1))-AVERAGE(OFFSET($H$3,0,0,'Données projet'!$E$13+1,1))</f>
        <v>311.53750850588153</v>
      </c>
      <c r="CZ84" s="62">
        <f t="shared" si="96"/>
        <v>304.84379909635476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-1.1368683772161603E-13</v>
      </c>
      <c r="DP84" s="18">
        <f>DO84*VLOOKUP('Données projet'!$B$14,Paramètres!$A$1:$I$89,3,0)*VLOOKUP('Données projet'!$B$14,Paramètres!$A$1:$I$89,5,0)</f>
        <v>-9.2222762759774927E-14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256.19915261735281</v>
      </c>
      <c r="DU84" s="62">
        <f t="shared" si="98"/>
        <v>297.47246687305056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4.2307692307692264</v>
      </c>
      <c r="EJ84" s="13">
        <f>IF('Données projet'!$A$192&gt;35,EJ83+EI84-ER83,IF(A84&lt;'Données projet'!$A$192,$EG$205^A84,IF(A84='Données projet'!$A$192,'Données projet'!$B$192,EJ83+EI84-ER83)))</f>
        <v>241.41025641025632</v>
      </c>
      <c r="EK84" s="18">
        <f>EJ84*VLOOKUP('Données projet'!$B$15,Paramètres!$A$1:$I$89,3,0)*VLOOKUP('Données projet'!$B$15,Paramètres!$A$1:$I$89,5,0)</f>
        <v>229.72599999999991</v>
      </c>
      <c r="EL84" s="14">
        <f t="shared" si="99"/>
        <v>56.223432215495727</v>
      </c>
      <c r="EM84" s="22">
        <f t="shared" si="73"/>
        <v>498.02859444198822</v>
      </c>
      <c r="EN84" s="62">
        <f t="shared" si="74"/>
        <v>791.36192777532153</v>
      </c>
      <c r="EO84" s="62">
        <f ca="1">AVERAGE(OFFSET($EN$3,0,0,'Données projet'!$E$15+1,1))-AVERAGE(OFFSET($H$3,0,0,'Données projet'!$E$15+1,1))</f>
        <v>406.24139966722936</v>
      </c>
      <c r="EP84" s="62">
        <f t="shared" si="100"/>
        <v>295.95724296920577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1.1368683772161603E-13</v>
      </c>
      <c r="FF84" s="18">
        <f>FE84*VLOOKUP('Données projet'!$B$16,Paramètres!$A$1:$I$89,3,0)*VLOOKUP('Données projet'!$B$16,Paramètres!$A$1:$I$89,5,0)</f>
        <v>8.8675733422860506E-14</v>
      </c>
      <c r="FG84" s="14">
        <f t="shared" si="101"/>
        <v>1.3509285393066301E-12</v>
      </c>
      <c r="FH84" s="22">
        <f t="shared" si="76"/>
        <v>2.5073107750038623E-12</v>
      </c>
      <c r="FI84" s="62">
        <f t="shared" si="77"/>
        <v>293.33333333333582</v>
      </c>
      <c r="FJ84" s="62">
        <f ca="1">AVERAGE(OFFSET($FI$3,0,0,'Données projet'!$E$16+1,1))-AVERAGE(OFFSET($H$3,0,0,'Données projet'!$E$16+1,1))</f>
        <v>292.57482726862594</v>
      </c>
      <c r="FK84" s="62">
        <f t="shared" si="102"/>
        <v>283.48738729114024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6.6</v>
      </c>
      <c r="FZ84" s="13">
        <f>IF('Données projet'!$A$244&gt;35,FZ83+FY84-GH83,IF(A84&lt;'Données projet'!$A$244,$FW$205^A84,IF(A84='Données projet'!$A$244,'Données projet'!$B$244,FZ83+FY84-GH83)))</f>
        <v>326.60000000000002</v>
      </c>
      <c r="GA84" s="18">
        <f>FZ84*VLOOKUP('Données projet'!$B$17,Paramètres!$A$1:$I$89,3,0)*VLOOKUP('Données projet'!$B$17,Paramètres!$A$1:$I$89,5,0)</f>
        <v>315.88752000000005</v>
      </c>
      <c r="GB84" s="14">
        <f t="shared" si="103"/>
        <v>74.497029125126971</v>
      </c>
      <c r="GC84" s="22">
        <f t="shared" si="79"/>
        <v>679.91975639292957</v>
      </c>
      <c r="GD84" s="62">
        <f t="shared" si="80"/>
        <v>973.25308972626294</v>
      </c>
      <c r="GE84" s="62">
        <f ca="1">AVERAGE(OFFSET($GD$3,0,0,'Données projet'!$E$17+1,1))-AVERAGE(OFFSET($H$3,0,0,'Données projet'!$E$17+1,1))</f>
        <v>562.69380557620775</v>
      </c>
      <c r="GF84" s="62">
        <f t="shared" si="104"/>
        <v>294.45557293177131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6.6</v>
      </c>
      <c r="N85" s="14">
        <f>IF('Données projet'!$A$36&gt;35,N84+M85-V84,IF(A85&lt;'Données projet'!$A$36,$K$205^A85,IF(A85='Données projet'!$A$36,'Données projet'!$B$36,N84+M85-V84)))</f>
        <v>333.20000000000005</v>
      </c>
      <c r="O85" s="14">
        <f>N85*VLOOKUP('Données projet'!$B$9,Paramètres!$A$1:$I$89,3,0)*VLOOKUP('Données projet'!$B$9,Paramètres!$A$1:$I$89,5,0)</f>
        <v>301.47935999999999</v>
      </c>
      <c r="P85" s="14">
        <f t="shared" si="87"/>
        <v>71.486505311225272</v>
      </c>
      <c r="Q85" s="22">
        <f t="shared" si="54"/>
        <v>649.58221541705063</v>
      </c>
      <c r="R85" s="62">
        <f t="shared" si="55"/>
        <v>942.915548750384</v>
      </c>
      <c r="S85" s="62">
        <f ca="1">AVERAGE(OFFSET($R$3,0,0,'Données projet'!$E$9+1,1))-AVERAGE(OFFSET($H$3,0,0,'Données projet'!$E$9+1,1))</f>
        <v>529.25712986118265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12</v>
      </c>
      <c r="AI85" s="14">
        <f>IF('Données projet'!$A$62&gt;35,AI84+AH85-AQ84,IF(A85&lt;'Données projet'!$A$62,$AF$205^A85,IF(A85='Données projet'!$A$62,'Données projet'!$B$62,AI84+AH85-AQ84)))</f>
        <v>395.99999999999966</v>
      </c>
      <c r="AJ85" s="14">
        <f>AI85*VLOOKUP('Données projet'!$B$10,Paramètres!$A$1:$I$89,3,0)*VLOOKUP('Données projet'!$B$10,Paramètres!$A$1:$I$89,5,0)</f>
        <v>339.76799999999974</v>
      </c>
      <c r="AK85" s="14">
        <f t="shared" si="89"/>
        <v>79.452011848891914</v>
      </c>
      <c r="AL85" s="22">
        <f t="shared" si="58"/>
        <v>730.14152063681968</v>
      </c>
      <c r="AM85" s="62">
        <f t="shared" si="59"/>
        <v>1023.4748539701529</v>
      </c>
      <c r="AN85" s="62">
        <f ca="1">AVERAGE(OFFSET($AM$3,0,0,'Données projet'!$E$10+1,1))-AVERAGE(OFFSET($H$3,0,0,'Données projet'!$E$10+1,1))</f>
        <v>446.86777652265448</v>
      </c>
      <c r="AO85" s="62">
        <f t="shared" si="90"/>
        <v>230.82970731138215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-4.5224624045658861E-14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370.59298168107364</v>
      </c>
      <c r="BJ85" s="62">
        <f t="shared" si="92"/>
        <v>404.61777090709171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-5.6843418860808015E-14</v>
      </c>
      <c r="BZ85" s="14">
        <f>BY85*VLOOKUP('Données projet'!$B$12,Paramètres!$A$1:$I$89,3,0)*VLOOKUP('Données projet'!$B$12,Paramètres!$A$1:$I$89,5,0)</f>
        <v>-4.1677594708744434E-14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344.45199703750711</v>
      </c>
      <c r="CE85" s="62">
        <f t="shared" si="94"/>
        <v>376.41441893222185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4.2</v>
      </c>
      <c r="CT85" s="13">
        <f>IF('Données projet'!$A$140&gt;35,CT84+CS85-DB84,IF(A85&lt;'Données projet'!$A$140,$CQ$205^A85,IF(A85='Données projet'!$A$140,'Données projet'!$B$140,CT84+CS85-DB84)))</f>
        <v>285.4000000000002</v>
      </c>
      <c r="CU85" s="18">
        <f>CT85*VLOOKUP('Données projet'!$B$13,Paramètres!$A$1:$I$89,3,0)*VLOOKUP('Données projet'!$B$13,Paramètres!$A$1:$I$89,5,0)</f>
        <v>186.99408000000014</v>
      </c>
      <c r="CV85" s="14">
        <f t="shared" si="95"/>
        <v>46.874771078429632</v>
      </c>
      <c r="CW85" s="22">
        <f t="shared" si="67"/>
        <v>407.32158229493183</v>
      </c>
      <c r="CX85" s="62">
        <f t="shared" si="68"/>
        <v>700.65491562826514</v>
      </c>
      <c r="CY85" s="62">
        <f ca="1">AVERAGE(OFFSET($CX$3,0,0,'Données projet'!$E$13+1,1))-AVERAGE(OFFSET($H$3,0,0,'Données projet'!$E$13+1,1))</f>
        <v>311.53750850588153</v>
      </c>
      <c r="CZ85" s="62">
        <f t="shared" si="96"/>
        <v>304.84379909635476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-1.1368683772161603E-13</v>
      </c>
      <c r="DP85" s="18">
        <f>DO85*VLOOKUP('Données projet'!$B$14,Paramètres!$A$1:$I$89,3,0)*VLOOKUP('Données projet'!$B$14,Paramètres!$A$1:$I$89,5,0)</f>
        <v>-9.2222762759774927E-14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256.19915261735281</v>
      </c>
      <c r="DU85" s="62">
        <f t="shared" si="98"/>
        <v>297.47246687305056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4.2307692307692264</v>
      </c>
      <c r="EJ85" s="13">
        <f>IF('Données projet'!$A$192&gt;35,EJ84+EI85-ER84,IF(A85&lt;'Données projet'!$A$192,$EG$205^A85,IF(A85='Données projet'!$A$192,'Données projet'!$B$192,EJ84+EI85-ER84)))</f>
        <v>245.64102564102555</v>
      </c>
      <c r="EK85" s="18">
        <f>EJ85*VLOOKUP('Données projet'!$B$15,Paramètres!$A$1:$I$89,3,0)*VLOOKUP('Données projet'!$B$15,Paramètres!$A$1:$I$89,5,0)</f>
        <v>233.75199999999992</v>
      </c>
      <c r="EL85" s="14">
        <f t="shared" si="99"/>
        <v>57.093186053402</v>
      </c>
      <c r="EM85" s="22">
        <f t="shared" si="73"/>
        <v>506.55536570967496</v>
      </c>
      <c r="EN85" s="62">
        <f t="shared" si="74"/>
        <v>799.88869904300827</v>
      </c>
      <c r="EO85" s="62">
        <f ca="1">AVERAGE(OFFSET($EN$3,0,0,'Données projet'!$E$15+1,1))-AVERAGE(OFFSET($H$3,0,0,'Données projet'!$E$15+1,1))</f>
        <v>406.24139966722936</v>
      </c>
      <c r="EP85" s="62">
        <f t="shared" si="100"/>
        <v>295.95724296920577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1.1368683772161603E-13</v>
      </c>
      <c r="FF85" s="18">
        <f>FE85*VLOOKUP('Données projet'!$B$16,Paramètres!$A$1:$I$89,3,0)*VLOOKUP('Données projet'!$B$16,Paramètres!$A$1:$I$89,5,0)</f>
        <v>8.8675733422860506E-14</v>
      </c>
      <c r="FG85" s="14">
        <f t="shared" si="101"/>
        <v>1.3509285393066301E-12</v>
      </c>
      <c r="FH85" s="22">
        <f t="shared" si="76"/>
        <v>2.5073107750038623E-12</v>
      </c>
      <c r="FI85" s="62">
        <f t="shared" si="77"/>
        <v>293.33333333333582</v>
      </c>
      <c r="FJ85" s="62">
        <f ca="1">AVERAGE(OFFSET($FI$3,0,0,'Données projet'!$E$16+1,1))-AVERAGE(OFFSET($H$3,0,0,'Données projet'!$E$16+1,1))</f>
        <v>292.57482726862594</v>
      </c>
      <c r="FK85" s="62">
        <f t="shared" si="102"/>
        <v>283.48738729114024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6.6</v>
      </c>
      <c r="FZ85" s="13">
        <f>IF('Données projet'!$A$244&gt;35,FZ84+FY85-GH84,IF(A85&lt;'Données projet'!$A$244,$FW$205^A85,IF(A85='Données projet'!$A$244,'Données projet'!$B$244,FZ84+FY85-GH84)))</f>
        <v>333.20000000000005</v>
      </c>
      <c r="GA85" s="18">
        <f>FZ85*VLOOKUP('Données projet'!$B$17,Paramètres!$A$1:$I$89,3,0)*VLOOKUP('Données projet'!$B$17,Paramètres!$A$1:$I$89,5,0)</f>
        <v>322.27104000000008</v>
      </c>
      <c r="GB85" s="14">
        <f t="shared" si="103"/>
        <v>75.825693037097167</v>
      </c>
      <c r="GC85" s="22">
        <f t="shared" si="79"/>
        <v>693.35181003961088</v>
      </c>
      <c r="GD85" s="62">
        <f t="shared" si="80"/>
        <v>986.68514337294414</v>
      </c>
      <c r="GE85" s="62">
        <f ca="1">AVERAGE(OFFSET($GD$3,0,0,'Données projet'!$E$17+1,1))-AVERAGE(OFFSET($H$3,0,0,'Données projet'!$E$17+1,1))</f>
        <v>562.69380557620775</v>
      </c>
      <c r="GF85" s="62">
        <f t="shared" si="104"/>
        <v>294.45557293177131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6.6</v>
      </c>
      <c r="N86" s="14">
        <f>IF('Données projet'!$A$36&gt;35,N85+M86-V85,IF(A86&lt;'Données projet'!$A$36,$K$205^A86,IF(A86='Données projet'!$A$36,'Données projet'!$B$36,N85+M86-V85)))</f>
        <v>339.80000000000007</v>
      </c>
      <c r="O86" s="14">
        <f>N86*VLOOKUP('Données projet'!$B$9,Paramètres!$A$1:$I$89,3,0)*VLOOKUP('Données projet'!$B$9,Paramètres!$A$1:$I$89,5,0)</f>
        <v>307.45104000000003</v>
      </c>
      <c r="P86" s="14">
        <f t="shared" si="87"/>
        <v>72.736250347470119</v>
      </c>
      <c r="Q86" s="22">
        <f t="shared" si="54"/>
        <v>662.15953068851047</v>
      </c>
      <c r="R86" s="62">
        <f t="shared" si="55"/>
        <v>955.49286402184384</v>
      </c>
      <c r="S86" s="62">
        <f ca="1">AVERAGE(OFFSET($R$3,0,0,'Données projet'!$E$9+1,1))-AVERAGE(OFFSET($H$3,0,0,'Données projet'!$E$9+1,1))</f>
        <v>529.25712986118265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12</v>
      </c>
      <c r="AI86" s="14">
        <f>IF('Données projet'!$A$62&gt;35,AI85+AH86-AQ85,IF(A86&lt;'Données projet'!$A$62,$AF$205^A86,IF(A86='Données projet'!$A$62,'Données projet'!$B$62,AI85+AH86-AQ85)))</f>
        <v>407.99999999999966</v>
      </c>
      <c r="AJ86" s="14">
        <f>AI86*VLOOKUP('Données projet'!$B$10,Paramètres!$A$1:$I$89,3,0)*VLOOKUP('Données projet'!$B$10,Paramètres!$A$1:$I$89,5,0)</f>
        <v>350.06399999999974</v>
      </c>
      <c r="AK86" s="14">
        <f t="shared" si="89"/>
        <v>81.575689362490451</v>
      </c>
      <c r="AL86" s="22">
        <f t="shared" si="58"/>
        <v>751.77245897300372</v>
      </c>
      <c r="AM86" s="62">
        <f t="shared" si="59"/>
        <v>1045.105792306337</v>
      </c>
      <c r="AN86" s="62">
        <f ca="1">AVERAGE(OFFSET($AM$3,0,0,'Données projet'!$E$10+1,1))-AVERAGE(OFFSET($H$3,0,0,'Données projet'!$E$10+1,1))</f>
        <v>446.86777652265448</v>
      </c>
      <c r="AO86" s="62">
        <f t="shared" si="90"/>
        <v>230.82970731138215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-4.5224624045658861E-14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370.59298168107364</v>
      </c>
      <c r="BJ86" s="62">
        <f t="shared" si="92"/>
        <v>404.61777090709171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-5.6843418860808015E-14</v>
      </c>
      <c r="BZ86" s="14">
        <f>BY86*VLOOKUP('Données projet'!$B$12,Paramètres!$A$1:$I$89,3,0)*VLOOKUP('Données projet'!$B$12,Paramètres!$A$1:$I$89,5,0)</f>
        <v>-4.1677594708744434E-14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344.45199703750711</v>
      </c>
      <c r="CE86" s="62">
        <f t="shared" si="94"/>
        <v>376.41441893222185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4.2</v>
      </c>
      <c r="CT86" s="13">
        <f>IF('Données projet'!$A$140&gt;35,CT85+CS86-DB85,IF(A86&lt;'Données projet'!$A$140,$CQ$205^A86,IF(A86='Données projet'!$A$140,'Données projet'!$B$140,CT85+CS86-DB85)))</f>
        <v>289.60000000000019</v>
      </c>
      <c r="CU86" s="18">
        <f>CT86*VLOOKUP('Données projet'!$B$13,Paramètres!$A$1:$I$89,3,0)*VLOOKUP('Données projet'!$B$13,Paramètres!$A$1:$I$89,5,0)</f>
        <v>189.74592000000013</v>
      </c>
      <c r="CV86" s="14">
        <f t="shared" si="95"/>
        <v>47.483774996623247</v>
      </c>
      <c r="CW86" s="22">
        <f t="shared" si="67"/>
        <v>413.17505211911902</v>
      </c>
      <c r="CX86" s="62">
        <f t="shared" si="68"/>
        <v>706.50838545245233</v>
      </c>
      <c r="CY86" s="62">
        <f ca="1">AVERAGE(OFFSET($CX$3,0,0,'Données projet'!$E$13+1,1))-AVERAGE(OFFSET($H$3,0,0,'Données projet'!$E$13+1,1))</f>
        <v>311.53750850588153</v>
      </c>
      <c r="CZ86" s="62">
        <f t="shared" si="96"/>
        <v>304.84379909635476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-1.1368683772161603E-13</v>
      </c>
      <c r="DP86" s="18">
        <f>DO86*VLOOKUP('Données projet'!$B$14,Paramètres!$A$1:$I$89,3,0)*VLOOKUP('Données projet'!$B$14,Paramètres!$A$1:$I$89,5,0)</f>
        <v>-9.2222762759774927E-14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256.19915261735281</v>
      </c>
      <c r="DU86" s="62">
        <f t="shared" si="98"/>
        <v>297.47246687305056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4.2307692307692264</v>
      </c>
      <c r="EJ86" s="13">
        <f>IF('Données projet'!$A$192&gt;35,EJ85+EI86-ER85,IF(A86&lt;'Données projet'!$A$192,$EG$205^A86,IF(A86='Données projet'!$A$192,'Données projet'!$B$192,EJ85+EI86-ER85)))</f>
        <v>249.87179487179478</v>
      </c>
      <c r="EK86" s="18">
        <f>EJ86*VLOOKUP('Données projet'!$B$15,Paramètres!$A$1:$I$89,3,0)*VLOOKUP('Données projet'!$B$15,Paramètres!$A$1:$I$89,5,0)</f>
        <v>237.77799999999993</v>
      </c>
      <c r="EL86" s="14">
        <f t="shared" si="99"/>
        <v>57.961197863009076</v>
      </c>
      <c r="EM86" s="22">
        <f t="shared" si="73"/>
        <v>515.07910294474061</v>
      </c>
      <c r="EN86" s="62">
        <f t="shared" si="74"/>
        <v>808.41243627807398</v>
      </c>
      <c r="EO86" s="62">
        <f ca="1">AVERAGE(OFFSET($EN$3,0,0,'Données projet'!$E$15+1,1))-AVERAGE(OFFSET($H$3,0,0,'Données projet'!$E$15+1,1))</f>
        <v>406.24139966722936</v>
      </c>
      <c r="EP86" s="62">
        <f t="shared" si="100"/>
        <v>295.95724296920577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1.1368683772161603E-13</v>
      </c>
      <c r="FF86" s="18">
        <f>FE86*VLOOKUP('Données projet'!$B$16,Paramètres!$A$1:$I$89,3,0)*VLOOKUP('Données projet'!$B$16,Paramètres!$A$1:$I$89,5,0)</f>
        <v>8.8675733422860506E-14</v>
      </c>
      <c r="FG86" s="14">
        <f t="shared" si="101"/>
        <v>1.3509285393066301E-12</v>
      </c>
      <c r="FH86" s="22">
        <f t="shared" si="76"/>
        <v>2.5073107750038623E-12</v>
      </c>
      <c r="FI86" s="62">
        <f t="shared" si="77"/>
        <v>293.33333333333582</v>
      </c>
      <c r="FJ86" s="62">
        <f ca="1">AVERAGE(OFFSET($FI$3,0,0,'Données projet'!$E$16+1,1))-AVERAGE(OFFSET($H$3,0,0,'Données projet'!$E$16+1,1))</f>
        <v>292.57482726862594</v>
      </c>
      <c r="FK86" s="62">
        <f t="shared" si="102"/>
        <v>283.48738729114024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6.6</v>
      </c>
      <c r="FZ86" s="13">
        <f>IF('Données projet'!$A$244&gt;35,FZ85+FY86-GH85,IF(A86&lt;'Données projet'!$A$244,$FW$205^A86,IF(A86='Données projet'!$A$244,'Données projet'!$B$244,FZ85+FY86-GH85)))</f>
        <v>339.80000000000007</v>
      </c>
      <c r="GA86" s="18">
        <f>FZ86*VLOOKUP('Données projet'!$B$17,Paramètres!$A$1:$I$89,3,0)*VLOOKUP('Données projet'!$B$17,Paramètres!$A$1:$I$89,5,0)</f>
        <v>328.65456000000006</v>
      </c>
      <c r="GB86" s="14">
        <f t="shared" si="103"/>
        <v>77.151296842743776</v>
      </c>
      <c r="GC86" s="22">
        <f t="shared" si="79"/>
        <v>706.77853400111223</v>
      </c>
      <c r="GD86" s="62">
        <f t="shared" si="80"/>
        <v>1000.1118673344456</v>
      </c>
      <c r="GE86" s="62">
        <f ca="1">AVERAGE(OFFSET($GD$3,0,0,'Données projet'!$E$17+1,1))-AVERAGE(OFFSET($H$3,0,0,'Données projet'!$E$17+1,1))</f>
        <v>562.69380557620775</v>
      </c>
      <c r="GF86" s="62">
        <f t="shared" si="104"/>
        <v>294.45557293177131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6.6</v>
      </c>
      <c r="N87" s="14">
        <f>IF('Données projet'!$A$36&gt;35,N86+M87-V86,IF(A87&lt;'Données projet'!$A$36,$K$205^A87,IF(A87='Données projet'!$A$36,'Données projet'!$B$36,N86+M87-V86)))</f>
        <v>346.40000000000009</v>
      </c>
      <c r="O87" s="14">
        <f>N87*VLOOKUP('Données projet'!$B$9,Paramètres!$A$1:$I$89,3,0)*VLOOKUP('Données projet'!$B$9,Paramètres!$A$1:$I$89,5,0)</f>
        <v>313.42272000000008</v>
      </c>
      <c r="P87" s="14">
        <f t="shared" si="87"/>
        <v>73.983172890008831</v>
      </c>
      <c r="Q87" s="22">
        <f t="shared" si="54"/>
        <v>674.73193011676551</v>
      </c>
      <c r="R87" s="62">
        <f t="shared" si="55"/>
        <v>968.06526345009888</v>
      </c>
      <c r="S87" s="62">
        <f ca="1">AVERAGE(OFFSET($R$3,0,0,'Données projet'!$E$9+1,1))-AVERAGE(OFFSET($H$3,0,0,'Données projet'!$E$9+1,1))</f>
        <v>529.25712986118265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>
        <f>VLOOKUP(A87,'Données projet'!$A$61:$I$81,2,0)</f>
        <v>420</v>
      </c>
      <c r="AG87" s="13">
        <f>VLOOKUP(A87,'Données projet'!$A$61:$I$81,9,0)</f>
        <v>12</v>
      </c>
      <c r="AH87" s="13">
        <f t="array" ref="AH87">INDEX(AG:AG,MIN(IF(ISNUMBER(AG87:AG283),ROW(AG87:AG283),"")))</f>
        <v>12</v>
      </c>
      <c r="AI87" s="14">
        <f>IF('Données projet'!$A$62&gt;35,AI86+AH87-AQ86,IF(A87&lt;'Données projet'!$A$62,$AF$205^A87,IF(A87='Données projet'!$A$62,'Données projet'!$B$62,AI86+AH87-AQ86)))</f>
        <v>419.99999999999966</v>
      </c>
      <c r="AJ87" s="14">
        <f>AI87*VLOOKUP('Données projet'!$B$10,Paramètres!$A$1:$I$89,3,0)*VLOOKUP('Données projet'!$B$10,Paramètres!$A$1:$I$89,5,0)</f>
        <v>360.35999999999973</v>
      </c>
      <c r="AK87" s="14">
        <f t="shared" si="89"/>
        <v>83.692107728969532</v>
      </c>
      <c r="AL87" s="22">
        <f t="shared" si="58"/>
        <v>773.39075429462139</v>
      </c>
      <c r="AM87" s="62">
        <f t="shared" si="59"/>
        <v>1066.7240876279548</v>
      </c>
      <c r="AN87" s="62">
        <f ca="1">AVERAGE(OFFSET($AM$3,0,0,'Données projet'!$E$10+1,1))-AVERAGE(OFFSET($H$3,0,0,'Données projet'!$E$10+1,1))</f>
        <v>446.86777652265448</v>
      </c>
      <c r="AO87" s="62">
        <f t="shared" si="90"/>
        <v>230.82970731138215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-4.5224624045658861E-14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370.59298168107364</v>
      </c>
      <c r="BJ87" s="62">
        <f t="shared" si="92"/>
        <v>404.61777090709171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-5.6843418860808015E-14</v>
      </c>
      <c r="BZ87" s="14">
        <f>BY87*VLOOKUP('Données projet'!$B$12,Paramètres!$A$1:$I$89,3,0)*VLOOKUP('Données projet'!$B$12,Paramètres!$A$1:$I$89,5,0)</f>
        <v>-4.1677594708744434E-14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344.45199703750711</v>
      </c>
      <c r="CE87" s="62">
        <f t="shared" si="94"/>
        <v>376.41441893222185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4.2</v>
      </c>
      <c r="CT87" s="13">
        <f>IF('Données projet'!$A$140&gt;35,CT86+CS87-DB86,IF(A87&lt;'Données projet'!$A$140,$CQ$205^A87,IF(A87='Données projet'!$A$140,'Données projet'!$B$140,CT86+CS87-DB86)))</f>
        <v>293.80000000000018</v>
      </c>
      <c r="CU87" s="18">
        <f>CT87*VLOOKUP('Données projet'!$B$13,Paramètres!$A$1:$I$89,3,0)*VLOOKUP('Données projet'!$B$13,Paramètres!$A$1:$I$89,5,0)</f>
        <v>192.49776000000011</v>
      </c>
      <c r="CV87" s="14">
        <f t="shared" si="95"/>
        <v>48.091751671372421</v>
      </c>
      <c r="CW87" s="22">
        <f t="shared" si="67"/>
        <v>419.02673282764044</v>
      </c>
      <c r="CX87" s="62">
        <f t="shared" si="68"/>
        <v>712.3600661609737</v>
      </c>
      <c r="CY87" s="62">
        <f ca="1">AVERAGE(OFFSET($CX$3,0,0,'Données projet'!$E$13+1,1))-AVERAGE(OFFSET($H$3,0,0,'Données projet'!$E$13+1,1))</f>
        <v>311.53750850588153</v>
      </c>
      <c r="CZ87" s="62">
        <f t="shared" si="96"/>
        <v>304.84379909635476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-1.1368683772161603E-13</v>
      </c>
      <c r="DP87" s="18">
        <f>DO87*VLOOKUP('Données projet'!$B$14,Paramètres!$A$1:$I$89,3,0)*VLOOKUP('Données projet'!$B$14,Paramètres!$A$1:$I$89,5,0)</f>
        <v>-9.2222762759774927E-14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256.19915261735281</v>
      </c>
      <c r="DU87" s="62">
        <f t="shared" si="98"/>
        <v>297.47246687305056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4.2307692307692264</v>
      </c>
      <c r="EJ87" s="13">
        <f>IF('Données projet'!$A$192&gt;35,EJ86+EI87-ER86,IF(A87&lt;'Données projet'!$A$192,$EG$205^A87,IF(A87='Données projet'!$A$192,'Données projet'!$B$192,EJ86+EI87-ER86)))</f>
        <v>254.102564102564</v>
      </c>
      <c r="EK87" s="18">
        <f>EJ87*VLOOKUP('Données projet'!$B$15,Paramètres!$A$1:$I$89,3,0)*VLOOKUP('Données projet'!$B$15,Paramètres!$A$1:$I$89,5,0)</f>
        <v>241.80399999999992</v>
      </c>
      <c r="EL87" s="14">
        <f t="shared" si="99"/>
        <v>58.827500543950599</v>
      </c>
      <c r="EM87" s="22">
        <f t="shared" si="73"/>
        <v>523.59986344738036</v>
      </c>
      <c r="EN87" s="62">
        <f t="shared" si="74"/>
        <v>816.93319678071362</v>
      </c>
      <c r="EO87" s="62">
        <f ca="1">AVERAGE(OFFSET($EN$3,0,0,'Données projet'!$E$15+1,1))-AVERAGE(OFFSET($H$3,0,0,'Données projet'!$E$15+1,1))</f>
        <v>406.24139966722936</v>
      </c>
      <c r="EP87" s="62">
        <f t="shared" si="100"/>
        <v>295.95724296920577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1.1368683772161603E-13</v>
      </c>
      <c r="FF87" s="18">
        <f>FE87*VLOOKUP('Données projet'!$B$16,Paramètres!$A$1:$I$89,3,0)*VLOOKUP('Données projet'!$B$16,Paramètres!$A$1:$I$89,5,0)</f>
        <v>8.8675733422860506E-14</v>
      </c>
      <c r="FG87" s="14">
        <f t="shared" si="101"/>
        <v>1.3509285393066301E-12</v>
      </c>
      <c r="FH87" s="22">
        <f t="shared" si="76"/>
        <v>2.5073107750038623E-12</v>
      </c>
      <c r="FI87" s="62">
        <f t="shared" si="77"/>
        <v>293.33333333333582</v>
      </c>
      <c r="FJ87" s="62">
        <f ca="1">AVERAGE(OFFSET($FI$3,0,0,'Données projet'!$E$16+1,1))-AVERAGE(OFFSET($H$3,0,0,'Données projet'!$E$16+1,1))</f>
        <v>292.57482726862594</v>
      </c>
      <c r="FK87" s="62">
        <f t="shared" si="102"/>
        <v>283.48738729114024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6.6</v>
      </c>
      <c r="FZ87" s="13">
        <f>IF('Données projet'!$A$244&gt;35,FZ86+FY87-GH86,IF(A87&lt;'Données projet'!$A$244,$FW$205^A87,IF(A87='Données projet'!$A$244,'Données projet'!$B$244,FZ86+FY87-GH86)))</f>
        <v>346.40000000000009</v>
      </c>
      <c r="GA87" s="18">
        <f>FZ87*VLOOKUP('Données projet'!$B$17,Paramètres!$A$1:$I$89,3,0)*VLOOKUP('Données projet'!$B$17,Paramètres!$A$1:$I$89,5,0)</f>
        <v>335.03808000000009</v>
      </c>
      <c r="GB87" s="14">
        <f t="shared" si="103"/>
        <v>78.473906831019789</v>
      </c>
      <c r="GC87" s="22">
        <f t="shared" si="79"/>
        <v>720.20004373069298</v>
      </c>
      <c r="GD87" s="62">
        <f t="shared" si="80"/>
        <v>1013.5333770640264</v>
      </c>
      <c r="GE87" s="62">
        <f ca="1">AVERAGE(OFFSET($GD$3,0,0,'Données projet'!$E$17+1,1))-AVERAGE(OFFSET($H$3,0,0,'Données projet'!$E$17+1,1))</f>
        <v>562.69380557620775</v>
      </c>
      <c r="GF87" s="62">
        <f t="shared" si="104"/>
        <v>294.45557293177131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6.6</v>
      </c>
      <c r="N88" s="14">
        <f>IF('Données projet'!$A$36&gt;35,N87+M88-V87,IF(A88&lt;'Données projet'!$A$36,$K$205^A88,IF(A88='Données projet'!$A$36,'Données projet'!$B$36,N87+M88-V87)))</f>
        <v>353.00000000000011</v>
      </c>
      <c r="O88" s="14">
        <f>N88*VLOOKUP('Données projet'!$B$9,Paramètres!$A$1:$I$89,3,0)*VLOOKUP('Données projet'!$B$9,Paramètres!$A$1:$I$89,5,0)</f>
        <v>319.39440000000013</v>
      </c>
      <c r="P88" s="14">
        <f t="shared" si="87"/>
        <v>75.227332916620099</v>
      </c>
      <c r="Q88" s="22">
        <f t="shared" si="54"/>
        <v>687.29951816311348</v>
      </c>
      <c r="R88" s="62">
        <f t="shared" si="55"/>
        <v>980.63285149644685</v>
      </c>
      <c r="S88" s="62">
        <f ca="1">AVERAGE(OFFSET($R$3,0,0,'Données projet'!$E$9+1,1))-AVERAGE(OFFSET($H$3,0,0,'Données projet'!$E$9+1,1))</f>
        <v>529.25712986118265</v>
      </c>
      <c r="T88" s="62">
        <f t="shared" si="88"/>
        <v>278.21741231699929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11.5</v>
      </c>
      <c r="AI88" s="14">
        <f>IF('Données projet'!$A$62&gt;35,AI87+AH88-AQ87,IF(A88&lt;'Données projet'!$A$62,$AF$205^A88,IF(A88='Données projet'!$A$62,'Données projet'!$B$62,AI87+AH88-AQ87)))</f>
        <v>431.49999999999966</v>
      </c>
      <c r="AJ88" s="14">
        <f>AI88*VLOOKUP('Données projet'!$B$10,Paramètres!$A$1:$I$89,3,0)*VLOOKUP('Données projet'!$B$10,Paramètres!$A$1:$I$89,5,0)</f>
        <v>370.22699999999975</v>
      </c>
      <c r="AK88" s="14">
        <f t="shared" si="89"/>
        <v>85.713744339137904</v>
      </c>
      <c r="AL88" s="22">
        <f t="shared" si="58"/>
        <v>794.09679639066474</v>
      </c>
      <c r="AM88" s="62">
        <f t="shared" si="59"/>
        <v>1087.4301297239981</v>
      </c>
      <c r="AN88" s="62">
        <f ca="1">AVERAGE(OFFSET($AM$3,0,0,'Données projet'!$E$10+1,1))-AVERAGE(OFFSET($H$3,0,0,'Données projet'!$E$10+1,1))</f>
        <v>446.86777652265448</v>
      </c>
      <c r="AO88" s="62">
        <f t="shared" si="90"/>
        <v>230.82970731138215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-4.5224624045658861E-14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370.59298168107364</v>
      </c>
      <c r="BJ88" s="62">
        <f t="shared" si="92"/>
        <v>404.61777090709171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-5.6843418860808015E-14</v>
      </c>
      <c r="BZ88" s="14">
        <f>BY88*VLOOKUP('Données projet'!$B$12,Paramètres!$A$1:$I$89,3,0)*VLOOKUP('Données projet'!$B$12,Paramètres!$A$1:$I$89,5,0)</f>
        <v>-4.1677594708744434E-14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344.45199703750711</v>
      </c>
      <c r="CE88" s="62">
        <f t="shared" si="94"/>
        <v>376.41441893222185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298</v>
      </c>
      <c r="CR88" s="13">
        <f>VLOOKUP(A88,'Données projet'!$A$139:$I$159,9,0)</f>
        <v>4.2</v>
      </c>
      <c r="CS88" s="13">
        <f t="array" ref="CS88">INDEX(CR:CR,MIN(IF(ISNUMBER(CR88:CR284),ROW(CR88:CR284),"")))</f>
        <v>4.2</v>
      </c>
      <c r="CT88" s="13">
        <f>IF('Données projet'!$A$140&gt;35,CT87+CS88-DB87,IF(A88&lt;'Données projet'!$A$140,$CQ$205^A88,IF(A88='Données projet'!$A$140,'Données projet'!$B$140,CT87+CS88-DB87)))</f>
        <v>298.00000000000017</v>
      </c>
      <c r="CU88" s="18">
        <f>CT88*VLOOKUP('Données projet'!$B$13,Paramètres!$A$1:$I$89,3,0)*VLOOKUP('Données projet'!$B$13,Paramètres!$A$1:$I$89,5,0)</f>
        <v>195.2496000000001</v>
      </c>
      <c r="CV88" s="14">
        <f t="shared" si="95"/>
        <v>48.698717484385973</v>
      </c>
      <c r="CW88" s="22">
        <f t="shared" si="67"/>
        <v>424.8766529519724</v>
      </c>
      <c r="CX88" s="62">
        <f t="shared" si="68"/>
        <v>718.20998628530572</v>
      </c>
      <c r="CY88" s="62">
        <f ca="1">AVERAGE(OFFSET($CX$3,0,0,'Données projet'!$E$13+1,1))-AVERAGE(OFFSET($H$3,0,0,'Données projet'!$E$13+1,1))</f>
        <v>311.53750850588153</v>
      </c>
      <c r="CZ88" s="62">
        <f t="shared" si="96"/>
        <v>304.84379909635476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-1.1368683772161603E-13</v>
      </c>
      <c r="DP88" s="18">
        <f>DO88*VLOOKUP('Données projet'!$B$14,Paramètres!$A$1:$I$89,3,0)*VLOOKUP('Données projet'!$B$14,Paramètres!$A$1:$I$89,5,0)</f>
        <v>-9.2222762759774927E-14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256.19915261735281</v>
      </c>
      <c r="DU88" s="62">
        <f t="shared" si="98"/>
        <v>297.47246687305056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258.33333333333331</v>
      </c>
      <c r="EH88" s="13">
        <f>VLOOKUP(A88,'Données projet'!$A$191:$I$211,9,0)</f>
        <v>4.2307692307692264</v>
      </c>
      <c r="EI88" s="13">
        <f t="array" ref="EI88">INDEX(EH:EH,MIN(IF(ISNUMBER(EH88:EH284),ROW(EH88:EH284),"")))</f>
        <v>4.2307692307692264</v>
      </c>
      <c r="EJ88" s="13">
        <f>IF('Données projet'!$A$192&gt;35,EJ87+EI88-ER87,IF(A88&lt;'Données projet'!$A$192,$EG$205^A88,IF(A88='Données projet'!$A$192,'Données projet'!$B$192,EJ87+EI88-ER87)))</f>
        <v>258.33333333333326</v>
      </c>
      <c r="EK88" s="18">
        <f>EJ88*VLOOKUP('Données projet'!$B$15,Paramètres!$A$1:$I$89,3,0)*VLOOKUP('Données projet'!$B$15,Paramètres!$A$1:$I$89,5,0)</f>
        <v>245.82999999999993</v>
      </c>
      <c r="EL88" s="14">
        <f t="shared" si="99"/>
        <v>59.692125837514034</v>
      </c>
      <c r="EM88" s="22">
        <f t="shared" si="73"/>
        <v>532.1177025003368</v>
      </c>
      <c r="EN88" s="62">
        <f t="shared" si="74"/>
        <v>825.45103583367018</v>
      </c>
      <c r="EO88" s="62">
        <f ca="1">AVERAGE(OFFSET($EN$3,0,0,'Données projet'!$E$15+1,1))-AVERAGE(OFFSET($H$3,0,0,'Données projet'!$E$15+1,1))</f>
        <v>406.24139966722936</v>
      </c>
      <c r="EP88" s="62">
        <f t="shared" si="100"/>
        <v>295.95724296920577</v>
      </c>
      <c r="EQ88" s="16">
        <f>IF(ISNA(VLOOKUP(A88,'Données projet'!$A$191:$I$211,3,0)),0,VLOOKUP(A88,'Données projet'!$A$191:$I$211,3,0))</f>
        <v>7</v>
      </c>
      <c r="ER88" s="16">
        <f>IF(ISNA(VLOOKUP(A88,'Données projet'!$A$191:$I$211,4,0)),0,VLOOKUP(A88,'Données projet'!$A$191:$I$211,4,0))</f>
        <v>28.846153846153847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1.1368683772161603E-13</v>
      </c>
      <c r="FF88" s="18">
        <f>FE88*VLOOKUP('Données projet'!$B$16,Paramètres!$A$1:$I$89,3,0)*VLOOKUP('Données projet'!$B$16,Paramètres!$A$1:$I$89,5,0)</f>
        <v>8.8675733422860506E-14</v>
      </c>
      <c r="FG88" s="14">
        <f t="shared" si="101"/>
        <v>1.3509285393066301E-12</v>
      </c>
      <c r="FH88" s="22">
        <f t="shared" si="76"/>
        <v>2.5073107750038623E-12</v>
      </c>
      <c r="FI88" s="62">
        <f t="shared" si="77"/>
        <v>293.33333333333582</v>
      </c>
      <c r="FJ88" s="62">
        <f ca="1">AVERAGE(OFFSET($FI$3,0,0,'Données projet'!$E$16+1,1))-AVERAGE(OFFSET($H$3,0,0,'Données projet'!$E$16+1,1))</f>
        <v>292.57482726862594</v>
      </c>
      <c r="FK88" s="62">
        <f t="shared" si="102"/>
        <v>283.48738729114024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6.6</v>
      </c>
      <c r="FZ88" s="13">
        <f>IF('Données projet'!$A$244&gt;35,FZ87+FY88-GH87,IF(A88&lt;'Données projet'!$A$244,$FW$205^A88,IF(A88='Données projet'!$A$244,'Données projet'!$B$244,FZ87+FY88-GH87)))</f>
        <v>353.00000000000011</v>
      </c>
      <c r="GA88" s="18">
        <f>FZ88*VLOOKUP('Données projet'!$B$17,Paramètres!$A$1:$I$89,3,0)*VLOOKUP('Données projet'!$B$17,Paramètres!$A$1:$I$89,5,0)</f>
        <v>341.42160000000013</v>
      </c>
      <c r="GB88" s="14">
        <f t="shared" si="103"/>
        <v>79.793586620318962</v>
      </c>
      <c r="GC88" s="22">
        <f t="shared" si="79"/>
        <v>733.61645003038905</v>
      </c>
      <c r="GD88" s="62">
        <f t="shared" si="80"/>
        <v>1026.9497833637224</v>
      </c>
      <c r="GE88" s="62">
        <f ca="1">AVERAGE(OFFSET($GD$3,0,0,'Données projet'!$E$17+1,1))-AVERAGE(OFFSET($H$3,0,0,'Données projet'!$E$17+1,1))</f>
        <v>562.69380557620775</v>
      </c>
      <c r="GF88" s="62">
        <f t="shared" si="104"/>
        <v>294.45557293177131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6.6</v>
      </c>
      <c r="N89" s="14">
        <f>IF('Données projet'!$A$36&gt;35,N88+M89-V88,IF(A89&lt;'Données projet'!$A$36,$K$205^A89,IF(A89='Données projet'!$A$36,'Données projet'!$B$36,N88+M89-V88)))</f>
        <v>359.60000000000014</v>
      </c>
      <c r="O89" s="14">
        <f>N89*VLOOKUP('Données projet'!$B$9,Paramètres!$A$1:$I$89,3,0)*VLOOKUP('Données projet'!$B$9,Paramètres!$A$1:$I$89,5,0)</f>
        <v>325.36608000000012</v>
      </c>
      <c r="P89" s="14">
        <f t="shared" si="87"/>
        <v>76.468788033923758</v>
      </c>
      <c r="Q89" s="22">
        <f t="shared" si="54"/>
        <v>699.86239515908403</v>
      </c>
      <c r="R89" s="62">
        <f t="shared" si="55"/>
        <v>993.1957284924174</v>
      </c>
      <c r="S89" s="62">
        <f ca="1">AVERAGE(OFFSET($R$3,0,0,'Données projet'!$E$9+1,1))-AVERAGE(OFFSET($H$3,0,0,'Données projet'!$E$9+1,1))</f>
        <v>529.25712986118265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11.5</v>
      </c>
      <c r="AI89" s="14">
        <f>IF('Données projet'!$A$62&gt;35,AI88+AH89-AQ88,IF(A89&lt;'Données projet'!$A$62,$AF$205^A89,IF(A89='Données projet'!$A$62,'Données projet'!$B$62,AI88+AH89-AQ88)))</f>
        <v>442.99999999999966</v>
      </c>
      <c r="AJ89" s="14">
        <f>AI89*VLOOKUP('Données projet'!$B$10,Paramètres!$A$1:$I$89,3,0)*VLOOKUP('Données projet'!$B$10,Paramètres!$A$1:$I$89,5,0)</f>
        <v>380.09399999999977</v>
      </c>
      <c r="AK89" s="14">
        <f t="shared" si="89"/>
        <v>87.729118359210162</v>
      </c>
      <c r="AL89" s="22">
        <f t="shared" si="58"/>
        <v>814.79193114229065</v>
      </c>
      <c r="AM89" s="62">
        <f t="shared" si="59"/>
        <v>1108.1252644756239</v>
      </c>
      <c r="AN89" s="62">
        <f ca="1">AVERAGE(OFFSET($AM$3,0,0,'Données projet'!$E$10+1,1))-AVERAGE(OFFSET($H$3,0,0,'Données projet'!$E$10+1,1))</f>
        <v>446.86777652265448</v>
      </c>
      <c r="AO89" s="62">
        <f t="shared" si="90"/>
        <v>230.82970731138215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-4.5224624045658861E-14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370.59298168107364</v>
      </c>
      <c r="BJ89" s="62">
        <f t="shared" si="92"/>
        <v>404.61777090709171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-5.6843418860808015E-14</v>
      </c>
      <c r="BZ89" s="14">
        <f>BY89*VLOOKUP('Données projet'!$B$12,Paramètres!$A$1:$I$89,3,0)*VLOOKUP('Données projet'!$B$12,Paramètres!$A$1:$I$89,5,0)</f>
        <v>-4.1677594708744434E-14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344.45199703750711</v>
      </c>
      <c r="CE89" s="62">
        <f t="shared" si="94"/>
        <v>376.41441893222185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3.8</v>
      </c>
      <c r="CT89" s="13">
        <f>IF('Données projet'!$A$140&gt;35,CT88+CS89-DB88,IF(A89&lt;'Données projet'!$A$140,$CQ$205^A89,IF(A89='Données projet'!$A$140,'Données projet'!$B$140,CT88+CS89-DB88)))</f>
        <v>301.80000000000018</v>
      </c>
      <c r="CU89" s="18">
        <f>CT89*VLOOKUP('Données projet'!$B$13,Paramètres!$A$1:$I$89,3,0)*VLOOKUP('Données projet'!$B$13,Paramètres!$A$1:$I$89,5,0)</f>
        <v>197.73936000000012</v>
      </c>
      <c r="CV89" s="14">
        <f t="shared" si="95"/>
        <v>49.247019261786988</v>
      </c>
      <c r="CW89" s="22">
        <f t="shared" si="67"/>
        <v>430.16794388094587</v>
      </c>
      <c r="CX89" s="62">
        <f t="shared" si="68"/>
        <v>723.50127721427918</v>
      </c>
      <c r="CY89" s="62">
        <f ca="1">AVERAGE(OFFSET($CX$3,0,0,'Données projet'!$E$13+1,1))-AVERAGE(OFFSET($H$3,0,0,'Données projet'!$E$13+1,1))</f>
        <v>311.53750850588153</v>
      </c>
      <c r="CZ89" s="62">
        <f t="shared" si="96"/>
        <v>304.84379909635476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-1.1368683772161603E-13</v>
      </c>
      <c r="DP89" s="18">
        <f>DO89*VLOOKUP('Données projet'!$B$14,Paramètres!$A$1:$I$89,3,0)*VLOOKUP('Données projet'!$B$14,Paramètres!$A$1:$I$89,5,0)</f>
        <v>-9.2222762759774927E-14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256.19915261735281</v>
      </c>
      <c r="DU89" s="62">
        <f t="shared" si="98"/>
        <v>297.47246687305056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3.8461538461538454</v>
      </c>
      <c r="EJ89" s="13">
        <f>IF('Données projet'!$A$192&gt;35,EJ88+EI89-ER88,IF(A89&lt;'Données projet'!$A$192,$EG$205^A89,IF(A89='Données projet'!$A$192,'Données projet'!$B$192,EJ88+EI89-ER88)))</f>
        <v>233.33333333333329</v>
      </c>
      <c r="EK89" s="18">
        <f>EJ89*VLOOKUP('Données projet'!$B$15,Paramètres!$A$1:$I$89,3,0)*VLOOKUP('Données projet'!$B$15,Paramètres!$A$1:$I$89,5,0)</f>
        <v>222.04</v>
      </c>
      <c r="EL89" s="14">
        <f t="shared" si="99"/>
        <v>54.558031180803546</v>
      </c>
      <c r="EM89" s="22">
        <f t="shared" si="73"/>
        <v>481.74157097323285</v>
      </c>
      <c r="EN89" s="62">
        <f t="shared" si="74"/>
        <v>775.07490430656617</v>
      </c>
      <c r="EO89" s="62">
        <f ca="1">AVERAGE(OFFSET($EN$3,0,0,'Données projet'!$E$15+1,1))-AVERAGE(OFFSET($H$3,0,0,'Données projet'!$E$15+1,1))</f>
        <v>406.24139966722936</v>
      </c>
      <c r="EP89" s="62">
        <f t="shared" si="100"/>
        <v>295.95724296920577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1.1368683772161603E-13</v>
      </c>
      <c r="FF89" s="18">
        <f>FE89*VLOOKUP('Données projet'!$B$16,Paramètres!$A$1:$I$89,3,0)*VLOOKUP('Données projet'!$B$16,Paramètres!$A$1:$I$89,5,0)</f>
        <v>8.8675733422860506E-14</v>
      </c>
      <c r="FG89" s="14">
        <f t="shared" si="101"/>
        <v>1.3509285393066301E-12</v>
      </c>
      <c r="FH89" s="22">
        <f t="shared" si="76"/>
        <v>2.5073107750038623E-12</v>
      </c>
      <c r="FI89" s="62">
        <f t="shared" si="77"/>
        <v>293.33333333333582</v>
      </c>
      <c r="FJ89" s="62">
        <f ca="1">AVERAGE(OFFSET($FI$3,0,0,'Données projet'!$E$16+1,1))-AVERAGE(OFFSET($H$3,0,0,'Données projet'!$E$16+1,1))</f>
        <v>292.57482726862594</v>
      </c>
      <c r="FK89" s="62">
        <f t="shared" si="102"/>
        <v>283.48738729114024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6.6</v>
      </c>
      <c r="FZ89" s="13">
        <f>IF('Données projet'!$A$244&gt;35,FZ88+FY89-GH88,IF(A89&lt;'Données projet'!$A$244,$FW$205^A89,IF(A89='Données projet'!$A$244,'Données projet'!$B$244,FZ88+FY89-GH88)))</f>
        <v>359.60000000000014</v>
      </c>
      <c r="GA89" s="18">
        <f>FZ89*VLOOKUP('Données projet'!$B$17,Paramètres!$A$1:$I$89,3,0)*VLOOKUP('Données projet'!$B$17,Paramètres!$A$1:$I$89,5,0)</f>
        <v>347.80512000000016</v>
      </c>
      <c r="GB89" s="14">
        <f t="shared" si="103"/>
        <v>81.110397313948141</v>
      </c>
      <c r="GC89" s="22">
        <f t="shared" si="79"/>
        <v>747.02785932179313</v>
      </c>
      <c r="GD89" s="62">
        <f t="shared" si="80"/>
        <v>1040.3611926551264</v>
      </c>
      <c r="GE89" s="62">
        <f ca="1">AVERAGE(OFFSET($GD$3,0,0,'Données projet'!$E$17+1,1))-AVERAGE(OFFSET($H$3,0,0,'Données projet'!$E$17+1,1))</f>
        <v>562.69380557620775</v>
      </c>
      <c r="GF89" s="62">
        <f t="shared" si="104"/>
        <v>294.45557293177131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6.6</v>
      </c>
      <c r="N90" s="14">
        <f>IF('Données projet'!$A$36&gt;35,N89+M90-V89,IF(A90&lt;'Données projet'!$A$36,$K$205^A90,IF(A90='Données projet'!$A$36,'Données projet'!$B$36,N89+M90-V89)))</f>
        <v>366.20000000000016</v>
      </c>
      <c r="O90" s="14">
        <f>N90*VLOOKUP('Données projet'!$B$9,Paramètres!$A$1:$I$89,3,0)*VLOOKUP('Données projet'!$B$9,Paramètres!$A$1:$I$89,5,0)</f>
        <v>331.33776000000012</v>
      </c>
      <c r="P90" s="14">
        <f t="shared" si="87"/>
        <v>77.707593612890619</v>
      </c>
      <c r="Q90" s="22">
        <f t="shared" si="54"/>
        <v>712.42065754245129</v>
      </c>
      <c r="R90" s="62">
        <f t="shared" si="55"/>
        <v>1005.7539908757847</v>
      </c>
      <c r="S90" s="62">
        <f ca="1">AVERAGE(OFFSET($R$3,0,0,'Données projet'!$E$9+1,1))-AVERAGE(OFFSET($H$3,0,0,'Données projet'!$E$9+1,1))</f>
        <v>529.25712986118265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11.5</v>
      </c>
      <c r="AI90" s="14">
        <f>IF('Données projet'!$A$62&gt;35,AI89+AH90-AQ89,IF(A90&lt;'Données projet'!$A$62,$AF$205^A90,IF(A90='Données projet'!$A$62,'Données projet'!$B$62,AI89+AH90-AQ89)))</f>
        <v>454.49999999999966</v>
      </c>
      <c r="AJ90" s="14">
        <f>AI90*VLOOKUP('Données projet'!$B$10,Paramètres!$A$1:$I$89,3,0)*VLOOKUP('Données projet'!$B$10,Paramètres!$A$1:$I$89,5,0)</f>
        <v>389.96099999999973</v>
      </c>
      <c r="AK90" s="14">
        <f t="shared" si="89"/>
        <v>89.738411052819643</v>
      </c>
      <c r="AL90" s="22">
        <f t="shared" si="58"/>
        <v>835.47647425032699</v>
      </c>
      <c r="AM90" s="62">
        <f t="shared" si="59"/>
        <v>1128.8098075836604</v>
      </c>
      <c r="AN90" s="62">
        <f ca="1">AVERAGE(OFFSET($AM$3,0,0,'Données projet'!$E$10+1,1))-AVERAGE(OFFSET($H$3,0,0,'Données projet'!$E$10+1,1))</f>
        <v>446.86777652265448</v>
      </c>
      <c r="AO90" s="62">
        <f t="shared" si="90"/>
        <v>230.82970731138215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-4.5224624045658861E-14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370.59298168107364</v>
      </c>
      <c r="BJ90" s="62">
        <f t="shared" si="92"/>
        <v>404.61777090709171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-5.6843418860808015E-14</v>
      </c>
      <c r="BZ90" s="14">
        <f>BY90*VLOOKUP('Données projet'!$B$12,Paramètres!$A$1:$I$89,3,0)*VLOOKUP('Données projet'!$B$12,Paramètres!$A$1:$I$89,5,0)</f>
        <v>-4.1677594708744434E-14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344.45199703750711</v>
      </c>
      <c r="CE90" s="62">
        <f t="shared" si="94"/>
        <v>376.41441893222185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3.8</v>
      </c>
      <c r="CT90" s="13">
        <f>IF('Données projet'!$A$140&gt;35,CT89+CS90-DB89,IF(A90&lt;'Données projet'!$A$140,$CQ$205^A90,IF(A90='Données projet'!$A$140,'Données projet'!$B$140,CT89+CS90-DB89)))</f>
        <v>305.60000000000019</v>
      </c>
      <c r="CU90" s="18">
        <f>CT90*VLOOKUP('Données projet'!$B$13,Paramètres!$A$1:$I$89,3,0)*VLOOKUP('Données projet'!$B$13,Paramètres!$A$1:$I$89,5,0)</f>
        <v>200.22912000000014</v>
      </c>
      <c r="CV90" s="14">
        <f t="shared" si="95"/>
        <v>49.794518010766396</v>
      </c>
      <c r="CW90" s="22">
        <f t="shared" si="67"/>
        <v>435.45783620208505</v>
      </c>
      <c r="CX90" s="62">
        <f t="shared" si="68"/>
        <v>728.79116953541836</v>
      </c>
      <c r="CY90" s="62">
        <f ca="1">AVERAGE(OFFSET($CX$3,0,0,'Données projet'!$E$13+1,1))-AVERAGE(OFFSET($H$3,0,0,'Données projet'!$E$13+1,1))</f>
        <v>311.53750850588153</v>
      </c>
      <c r="CZ90" s="62">
        <f t="shared" si="96"/>
        <v>304.84379909635476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-1.1368683772161603E-13</v>
      </c>
      <c r="DP90" s="18">
        <f>DO90*VLOOKUP('Données projet'!$B$14,Paramètres!$A$1:$I$89,3,0)*VLOOKUP('Données projet'!$B$14,Paramètres!$A$1:$I$89,5,0)</f>
        <v>-9.2222762759774927E-14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256.19915261735281</v>
      </c>
      <c r="DU90" s="62">
        <f t="shared" si="98"/>
        <v>297.47246687305056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3.8461538461538454</v>
      </c>
      <c r="EJ90" s="13">
        <f>IF('Données projet'!$A$192&gt;35,EJ89+EI90-ER89,IF(A90&lt;'Données projet'!$A$192,$EG$205^A90,IF(A90='Données projet'!$A$192,'Données projet'!$B$192,EJ89+EI90-ER89)))</f>
        <v>237.17948717948713</v>
      </c>
      <c r="EK90" s="18">
        <f>EJ90*VLOOKUP('Données projet'!$B$15,Paramètres!$A$1:$I$89,3,0)*VLOOKUP('Données projet'!$B$15,Paramètres!$A$1:$I$89,5,0)</f>
        <v>225.69999999999996</v>
      </c>
      <c r="EL90" s="14">
        <f t="shared" si="99"/>
        <v>55.351902227970015</v>
      </c>
      <c r="EM90" s="22">
        <f t="shared" si="73"/>
        <v>489.49872971371445</v>
      </c>
      <c r="EN90" s="62">
        <f t="shared" si="74"/>
        <v>782.83206304704777</v>
      </c>
      <c r="EO90" s="62">
        <f ca="1">AVERAGE(OFFSET($EN$3,0,0,'Données projet'!$E$15+1,1))-AVERAGE(OFFSET($H$3,0,0,'Données projet'!$E$15+1,1))</f>
        <v>406.24139966722936</v>
      </c>
      <c r="EP90" s="62">
        <f t="shared" si="100"/>
        <v>295.95724296920577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1.1368683772161603E-13</v>
      </c>
      <c r="FF90" s="18">
        <f>FE90*VLOOKUP('Données projet'!$B$16,Paramètres!$A$1:$I$89,3,0)*VLOOKUP('Données projet'!$B$16,Paramètres!$A$1:$I$89,5,0)</f>
        <v>8.8675733422860506E-14</v>
      </c>
      <c r="FG90" s="14">
        <f t="shared" si="101"/>
        <v>1.3509285393066301E-12</v>
      </c>
      <c r="FH90" s="22">
        <f t="shared" si="76"/>
        <v>2.5073107750038623E-12</v>
      </c>
      <c r="FI90" s="62">
        <f t="shared" si="77"/>
        <v>293.33333333333582</v>
      </c>
      <c r="FJ90" s="62">
        <f ca="1">AVERAGE(OFFSET($FI$3,0,0,'Données projet'!$E$16+1,1))-AVERAGE(OFFSET($H$3,0,0,'Données projet'!$E$16+1,1))</f>
        <v>292.57482726862594</v>
      </c>
      <c r="FK90" s="62">
        <f t="shared" si="102"/>
        <v>283.48738729114024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6.6</v>
      </c>
      <c r="FZ90" s="13">
        <f>IF('Données projet'!$A$244&gt;35,FZ89+FY90-GH89,IF(A90&lt;'Données projet'!$A$244,$FW$205^A90,IF(A90='Données projet'!$A$244,'Données projet'!$B$244,FZ89+FY90-GH89)))</f>
        <v>366.20000000000016</v>
      </c>
      <c r="GA90" s="18">
        <f>FZ90*VLOOKUP('Données projet'!$B$17,Paramètres!$A$1:$I$89,3,0)*VLOOKUP('Données projet'!$B$17,Paramètres!$A$1:$I$89,5,0)</f>
        <v>354.18864000000013</v>
      </c>
      <c r="GB90" s="14">
        <f t="shared" si="103"/>
        <v>82.424397643862704</v>
      </c>
      <c r="GC90" s="22">
        <f t="shared" si="79"/>
        <v>760.4343738963945</v>
      </c>
      <c r="GD90" s="62">
        <f t="shared" si="80"/>
        <v>1053.7677072297279</v>
      </c>
      <c r="GE90" s="62">
        <f ca="1">AVERAGE(OFFSET($GD$3,0,0,'Données projet'!$E$17+1,1))-AVERAGE(OFFSET($H$3,0,0,'Données projet'!$E$17+1,1))</f>
        <v>562.69380557620775</v>
      </c>
      <c r="GF90" s="62">
        <f t="shared" si="104"/>
        <v>294.45557293177131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6.6</v>
      </c>
      <c r="N91" s="14">
        <f>IF('Données projet'!$A$36&gt;35,N90+M91-V90,IF(A91&lt;'Données projet'!$A$36,$K$205^A91,IF(A91='Données projet'!$A$36,'Données projet'!$B$36,N90+M91-V90)))</f>
        <v>372.80000000000018</v>
      </c>
      <c r="O91" s="14">
        <f>N91*VLOOKUP('Données projet'!$B$9,Paramètres!$A$1:$I$89,3,0)*VLOOKUP('Données projet'!$B$9,Paramètres!$A$1:$I$89,5,0)</f>
        <v>337.30944000000017</v>
      </c>
      <c r="P91" s="14">
        <f t="shared" si="87"/>
        <v>78.943802914307284</v>
      </c>
      <c r="Q91" s="22">
        <f t="shared" si="54"/>
        <v>724.97439807575211</v>
      </c>
      <c r="R91" s="62">
        <f t="shared" si="55"/>
        <v>1018.3077314090854</v>
      </c>
      <c r="S91" s="62">
        <f ca="1">AVERAGE(OFFSET($R$3,0,0,'Données projet'!$E$9+1,1))-AVERAGE(OFFSET($H$3,0,0,'Données projet'!$E$9+1,1))</f>
        <v>529.25712986118265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11.5</v>
      </c>
      <c r="AI91" s="14">
        <f>IF('Données projet'!$A$62&gt;35,AI90+AH91-AQ90,IF(A91&lt;'Données projet'!$A$62,$AF$205^A91,IF(A91='Données projet'!$A$62,'Données projet'!$B$62,AI90+AH91-AQ90)))</f>
        <v>465.99999999999966</v>
      </c>
      <c r="AJ91" s="14">
        <f>AI91*VLOOKUP('Données projet'!$B$10,Paramètres!$A$1:$I$89,3,0)*VLOOKUP('Données projet'!$B$10,Paramètres!$A$1:$I$89,5,0)</f>
        <v>399.82799999999975</v>
      </c>
      <c r="AK91" s="14">
        <f t="shared" si="89"/>
        <v>91.741793988042701</v>
      </c>
      <c r="AL91" s="22">
        <f t="shared" si="58"/>
        <v>856.15072452917377</v>
      </c>
      <c r="AM91" s="62">
        <f t="shared" si="59"/>
        <v>1149.4840578625071</v>
      </c>
      <c r="AN91" s="62">
        <f ca="1">AVERAGE(OFFSET($AM$3,0,0,'Données projet'!$E$10+1,1))-AVERAGE(OFFSET($H$3,0,0,'Données projet'!$E$10+1,1))</f>
        <v>446.86777652265448</v>
      </c>
      <c r="AO91" s="62">
        <f t="shared" si="90"/>
        <v>230.82970731138215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-4.5224624045658861E-14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370.59298168107364</v>
      </c>
      <c r="BJ91" s="62">
        <f t="shared" si="92"/>
        <v>404.61777090709171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-5.6843418860808015E-14</v>
      </c>
      <c r="BZ91" s="14">
        <f>BY91*VLOOKUP('Données projet'!$B$12,Paramètres!$A$1:$I$89,3,0)*VLOOKUP('Données projet'!$B$12,Paramètres!$A$1:$I$89,5,0)</f>
        <v>-4.1677594708744434E-14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344.45199703750711</v>
      </c>
      <c r="CE91" s="62">
        <f t="shared" si="94"/>
        <v>376.41441893222185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3.8</v>
      </c>
      <c r="CT91" s="13">
        <f>IF('Données projet'!$A$140&gt;35,CT90+CS91-DB90,IF(A91&lt;'Données projet'!$A$140,$CQ$205^A91,IF(A91='Données projet'!$A$140,'Données projet'!$B$140,CT90+CS91-DB90)))</f>
        <v>309.4000000000002</v>
      </c>
      <c r="CU91" s="18">
        <f>CT91*VLOOKUP('Données projet'!$B$13,Paramètres!$A$1:$I$89,3,0)*VLOOKUP('Données projet'!$B$13,Paramètres!$A$1:$I$89,5,0)</f>
        <v>202.71888000000015</v>
      </c>
      <c r="CV91" s="14">
        <f t="shared" si="95"/>
        <v>50.341224871428174</v>
      </c>
      <c r="CW91" s="22">
        <f t="shared" si="67"/>
        <v>440.74634931773767</v>
      </c>
      <c r="CX91" s="62">
        <f t="shared" si="68"/>
        <v>734.07968265107093</v>
      </c>
      <c r="CY91" s="62">
        <f ca="1">AVERAGE(OFFSET($CX$3,0,0,'Données projet'!$E$13+1,1))-AVERAGE(OFFSET($H$3,0,0,'Données projet'!$E$13+1,1))</f>
        <v>311.53750850588153</v>
      </c>
      <c r="CZ91" s="62">
        <f t="shared" si="96"/>
        <v>304.84379909635476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-1.1368683772161603E-13</v>
      </c>
      <c r="DP91" s="18">
        <f>DO91*VLOOKUP('Données projet'!$B$14,Paramètres!$A$1:$I$89,3,0)*VLOOKUP('Données projet'!$B$14,Paramètres!$A$1:$I$89,5,0)</f>
        <v>-9.2222762759774927E-14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256.19915261735281</v>
      </c>
      <c r="DU91" s="62">
        <f t="shared" si="98"/>
        <v>297.47246687305056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3.8461538461538454</v>
      </c>
      <c r="EJ91" s="13">
        <f>IF('Données projet'!$A$192&gt;35,EJ90+EI91-ER90,IF(A91&lt;'Données projet'!$A$192,$EG$205^A91,IF(A91='Données projet'!$A$192,'Données projet'!$B$192,EJ90+EI91-ER90)))</f>
        <v>241.02564102564097</v>
      </c>
      <c r="EK91" s="18">
        <f>EJ91*VLOOKUP('Données projet'!$B$15,Paramètres!$A$1:$I$89,3,0)*VLOOKUP('Données projet'!$B$15,Paramètres!$A$1:$I$89,5,0)</f>
        <v>229.35999999999996</v>
      </c>
      <c r="EL91" s="14">
        <f t="shared" si="99"/>
        <v>56.144276133877753</v>
      </c>
      <c r="EM91" s="22">
        <f t="shared" si="73"/>
        <v>497.25328093317034</v>
      </c>
      <c r="EN91" s="62">
        <f t="shared" si="74"/>
        <v>790.5866142665036</v>
      </c>
      <c r="EO91" s="62">
        <f ca="1">AVERAGE(OFFSET($EN$3,0,0,'Données projet'!$E$15+1,1))-AVERAGE(OFFSET($H$3,0,0,'Données projet'!$E$15+1,1))</f>
        <v>406.24139966722936</v>
      </c>
      <c r="EP91" s="62">
        <f t="shared" si="100"/>
        <v>295.95724296920577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1.1368683772161603E-13</v>
      </c>
      <c r="FF91" s="18">
        <f>FE91*VLOOKUP('Données projet'!$B$16,Paramètres!$A$1:$I$89,3,0)*VLOOKUP('Données projet'!$B$16,Paramètres!$A$1:$I$89,5,0)</f>
        <v>8.8675733422860506E-14</v>
      </c>
      <c r="FG91" s="14">
        <f t="shared" si="101"/>
        <v>1.3509285393066301E-12</v>
      </c>
      <c r="FH91" s="22">
        <f t="shared" si="76"/>
        <v>2.5073107750038623E-12</v>
      </c>
      <c r="FI91" s="62">
        <f t="shared" si="77"/>
        <v>293.33333333333582</v>
      </c>
      <c r="FJ91" s="62">
        <f ca="1">AVERAGE(OFFSET($FI$3,0,0,'Données projet'!$E$16+1,1))-AVERAGE(OFFSET($H$3,0,0,'Données projet'!$E$16+1,1))</f>
        <v>292.57482726862594</v>
      </c>
      <c r="FK91" s="62">
        <f t="shared" si="102"/>
        <v>283.48738729114024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6.6</v>
      </c>
      <c r="FZ91" s="13">
        <f>IF('Données projet'!$A$244&gt;35,FZ90+FY91-GH90,IF(A91&lt;'Données projet'!$A$244,$FW$205^A91,IF(A91='Données projet'!$A$244,'Données projet'!$B$244,FZ90+FY91-GH90)))</f>
        <v>372.80000000000018</v>
      </c>
      <c r="GA91" s="18">
        <f>FZ91*VLOOKUP('Données projet'!$B$17,Paramètres!$A$1:$I$89,3,0)*VLOOKUP('Données projet'!$B$17,Paramètres!$A$1:$I$89,5,0)</f>
        <v>360.57216000000017</v>
      </c>
      <c r="GB91" s="14">
        <f t="shared" si="103"/>
        <v>83.735644103746736</v>
      </c>
      <c r="GC91" s="22">
        <f t="shared" si="79"/>
        <v>773.83609214735907</v>
      </c>
      <c r="GD91" s="62">
        <f t="shared" si="80"/>
        <v>1067.1694254806923</v>
      </c>
      <c r="GE91" s="62">
        <f ca="1">AVERAGE(OFFSET($GD$3,0,0,'Données projet'!$E$17+1,1))-AVERAGE(OFFSET($H$3,0,0,'Données projet'!$E$17+1,1))</f>
        <v>562.69380557620775</v>
      </c>
      <c r="GF91" s="62">
        <f t="shared" si="104"/>
        <v>294.45557293177131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6.6</v>
      </c>
      <c r="N92" s="14">
        <f>IF('Données projet'!$A$36&gt;35,N91+M92-V91,IF(A92&lt;'Données projet'!$A$36,$K$205^A92,IF(A92='Données projet'!$A$36,'Données projet'!$B$36,N91+M92-V91)))</f>
        <v>379.4000000000002</v>
      </c>
      <c r="O92" s="14">
        <f>N92*VLOOKUP('Données projet'!$B$9,Paramètres!$A$1:$I$89,3,0)*VLOOKUP('Données projet'!$B$9,Paramètres!$A$1:$I$89,5,0)</f>
        <v>343.28112000000016</v>
      </c>
      <c r="P92" s="14">
        <f t="shared" si="87"/>
        <v>80.17746720510398</v>
      </c>
      <c r="Q92" s="22">
        <f t="shared" si="54"/>
        <v>737.52370604888972</v>
      </c>
      <c r="R92" s="62">
        <f t="shared" si="55"/>
        <v>1030.8570393822231</v>
      </c>
      <c r="S92" s="62">
        <f ca="1">AVERAGE(OFFSET($R$3,0,0,'Données projet'!$E$9+1,1))-AVERAGE(OFFSET($H$3,0,0,'Données projet'!$E$9+1,1))</f>
        <v>529.25712986118265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11.5</v>
      </c>
      <c r="AI92" s="14">
        <f>IF('Données projet'!$A$62&gt;35,AI91+AH92-AQ91,IF(A92&lt;'Données projet'!$A$62,$AF$205^A92,IF(A92='Données projet'!$A$62,'Données projet'!$B$62,AI91+AH92-AQ91)))</f>
        <v>477.49999999999966</v>
      </c>
      <c r="AJ92" s="14">
        <f>AI92*VLOOKUP('Données projet'!$B$10,Paramètres!$A$1:$I$89,3,0)*VLOOKUP('Données projet'!$B$10,Paramètres!$A$1:$I$89,5,0)</f>
        <v>409.69499999999977</v>
      </c>
      <c r="AK92" s="14">
        <f t="shared" si="89"/>
        <v>93.739429782288525</v>
      </c>
      <c r="AL92" s="22">
        <f t="shared" si="58"/>
        <v>876.81496520415214</v>
      </c>
      <c r="AM92" s="62">
        <f t="shared" si="59"/>
        <v>1170.1482985374855</v>
      </c>
      <c r="AN92" s="62">
        <f ca="1">AVERAGE(OFFSET($AM$3,0,0,'Données projet'!$E$10+1,1))-AVERAGE(OFFSET($H$3,0,0,'Données projet'!$E$10+1,1))</f>
        <v>446.86777652265448</v>
      </c>
      <c r="AO92" s="62">
        <f t="shared" si="90"/>
        <v>230.82970731138215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-4.5224624045658861E-14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370.59298168107364</v>
      </c>
      <c r="BJ92" s="62">
        <f t="shared" si="92"/>
        <v>404.61777090709171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-5.6843418860808015E-14</v>
      </c>
      <c r="BZ92" s="14">
        <f>BY92*VLOOKUP('Données projet'!$B$12,Paramètres!$A$1:$I$89,3,0)*VLOOKUP('Données projet'!$B$12,Paramètres!$A$1:$I$89,5,0)</f>
        <v>-4.1677594708744434E-14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344.45199703750711</v>
      </c>
      <c r="CE92" s="62">
        <f t="shared" si="94"/>
        <v>376.41441893222185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3.8</v>
      </c>
      <c r="CT92" s="13">
        <f>IF('Données projet'!$A$140&gt;35,CT91+CS92-DB91,IF(A92&lt;'Données projet'!$A$140,$CQ$205^A92,IF(A92='Données projet'!$A$140,'Données projet'!$B$140,CT91+CS92-DB91)))</f>
        <v>313.20000000000022</v>
      </c>
      <c r="CU92" s="18">
        <f>CT92*VLOOKUP('Données projet'!$B$13,Paramètres!$A$1:$I$89,3,0)*VLOOKUP('Données projet'!$B$13,Paramètres!$A$1:$I$89,5,0)</f>
        <v>205.20864000000014</v>
      </c>
      <c r="CV92" s="14">
        <f t="shared" si="95"/>
        <v>50.887150694493592</v>
      </c>
      <c r="CW92" s="22">
        <f t="shared" si="67"/>
        <v>446.03350212624326</v>
      </c>
      <c r="CX92" s="62">
        <f t="shared" si="68"/>
        <v>739.36683545957658</v>
      </c>
      <c r="CY92" s="62">
        <f ca="1">AVERAGE(OFFSET($CX$3,0,0,'Données projet'!$E$13+1,1))-AVERAGE(OFFSET($H$3,0,0,'Données projet'!$E$13+1,1))</f>
        <v>311.53750850588153</v>
      </c>
      <c r="CZ92" s="62">
        <f t="shared" si="96"/>
        <v>304.84379909635476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-1.1368683772161603E-13</v>
      </c>
      <c r="DP92" s="18">
        <f>DO92*VLOOKUP('Données projet'!$B$14,Paramètres!$A$1:$I$89,3,0)*VLOOKUP('Données projet'!$B$14,Paramètres!$A$1:$I$89,5,0)</f>
        <v>-9.2222762759774927E-14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256.19915261735281</v>
      </c>
      <c r="DU92" s="62">
        <f t="shared" si="98"/>
        <v>297.47246687305056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3.8461538461538454</v>
      </c>
      <c r="EJ92" s="13">
        <f>IF('Données projet'!$A$192&gt;35,EJ91+EI92-ER91,IF(A92&lt;'Données projet'!$A$192,$EG$205^A92,IF(A92='Données projet'!$A$192,'Données projet'!$B$192,EJ91+EI92-ER91)))</f>
        <v>244.8717948717948</v>
      </c>
      <c r="EK92" s="18">
        <f>EJ92*VLOOKUP('Données projet'!$B$15,Paramètres!$A$1:$I$89,3,0)*VLOOKUP('Données projet'!$B$15,Paramètres!$A$1:$I$89,5,0)</f>
        <v>233.01999999999995</v>
      </c>
      <c r="EL92" s="14">
        <f t="shared" si="99"/>
        <v>56.935179547462297</v>
      </c>
      <c r="EM92" s="22">
        <f t="shared" si="73"/>
        <v>505.00527104516345</v>
      </c>
      <c r="EN92" s="62">
        <f t="shared" si="74"/>
        <v>798.33860437849671</v>
      </c>
      <c r="EO92" s="62">
        <f ca="1">AVERAGE(OFFSET($EN$3,0,0,'Données projet'!$E$15+1,1))-AVERAGE(OFFSET($H$3,0,0,'Données projet'!$E$15+1,1))</f>
        <v>406.24139966722936</v>
      </c>
      <c r="EP92" s="62">
        <f t="shared" si="100"/>
        <v>295.95724296920577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1.1368683772161603E-13</v>
      </c>
      <c r="FF92" s="18">
        <f>FE92*VLOOKUP('Données projet'!$B$16,Paramètres!$A$1:$I$89,3,0)*VLOOKUP('Données projet'!$B$16,Paramètres!$A$1:$I$89,5,0)</f>
        <v>8.8675733422860506E-14</v>
      </c>
      <c r="FG92" s="14">
        <f t="shared" si="101"/>
        <v>1.3509285393066301E-12</v>
      </c>
      <c r="FH92" s="22">
        <f t="shared" si="76"/>
        <v>2.5073107750038623E-12</v>
      </c>
      <c r="FI92" s="62">
        <f t="shared" si="77"/>
        <v>293.33333333333582</v>
      </c>
      <c r="FJ92" s="62">
        <f ca="1">AVERAGE(OFFSET($FI$3,0,0,'Données projet'!$E$16+1,1))-AVERAGE(OFFSET($H$3,0,0,'Données projet'!$E$16+1,1))</f>
        <v>292.57482726862594</v>
      </c>
      <c r="FK92" s="62">
        <f t="shared" si="102"/>
        <v>283.48738729114024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6.6</v>
      </c>
      <c r="FZ92" s="13">
        <f>IF('Données projet'!$A$244&gt;35,FZ91+FY92-GH91,IF(A92&lt;'Données projet'!$A$244,$FW$205^A92,IF(A92='Données projet'!$A$244,'Données projet'!$B$244,FZ91+FY92-GH91)))</f>
        <v>379.4000000000002</v>
      </c>
      <c r="GA92" s="18">
        <f>FZ92*VLOOKUP('Données projet'!$B$17,Paramètres!$A$1:$I$89,3,0)*VLOOKUP('Données projet'!$B$17,Paramètres!$A$1:$I$89,5,0)</f>
        <v>366.9556800000002</v>
      </c>
      <c r="GB92" s="14">
        <f t="shared" si="103"/>
        <v>85.044191072402157</v>
      </c>
      <c r="GC92" s="22">
        <f t="shared" si="79"/>
        <v>787.23310878443408</v>
      </c>
      <c r="GD92" s="62">
        <f t="shared" si="80"/>
        <v>1080.5664421177673</v>
      </c>
      <c r="GE92" s="62">
        <f ca="1">AVERAGE(OFFSET($GD$3,0,0,'Données projet'!$E$17+1,1))-AVERAGE(OFFSET($H$3,0,0,'Données projet'!$E$17+1,1))</f>
        <v>562.69380557620775</v>
      </c>
      <c r="GF92" s="62">
        <f t="shared" si="104"/>
        <v>294.45557293177131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386</v>
      </c>
      <c r="L93" s="13">
        <f>VLOOKUP(A93,'Données projet'!$A$35:$I$55,9,0)</f>
        <v>6.6</v>
      </c>
      <c r="M93" s="13">
        <f t="array" ref="M93">INDEX(L:L,MIN(IF(ISNUMBER(L93:L289),ROW(L93:L289),"")))</f>
        <v>6.6</v>
      </c>
      <c r="N93" s="14">
        <f>IF('Données projet'!$A$36&gt;35,N92+M93-V92,IF(A93&lt;'Données projet'!$A$36,$K$205^A93,IF(A93='Données projet'!$A$36,'Données projet'!$B$36,N92+M93-V92)))</f>
        <v>386.00000000000023</v>
      </c>
      <c r="O93" s="14">
        <f>N93*VLOOKUP('Données projet'!$B$9,Paramètres!$A$1:$I$89,3,0)*VLOOKUP('Données projet'!$B$9,Paramètres!$A$1:$I$89,5,0)</f>
        <v>349.25280000000021</v>
      </c>
      <c r="P93" s="14">
        <f t="shared" si="87"/>
        <v>81.408635866358992</v>
      </c>
      <c r="Q93" s="22">
        <f t="shared" si="54"/>
        <v>750.06866746724211</v>
      </c>
      <c r="R93" s="62">
        <f t="shared" si="55"/>
        <v>1043.4020008005755</v>
      </c>
      <c r="S93" s="62">
        <f ca="1">AVERAGE(OFFSET($R$3,0,0,'Données projet'!$E$9+1,1))-AVERAGE(OFFSET($H$3,0,0,'Données projet'!$E$9+1,1))</f>
        <v>529.25712986118265</v>
      </c>
      <c r="T93" s="62">
        <f t="shared" si="88"/>
        <v>278.21741231699929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84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489</v>
      </c>
      <c r="AG93" s="13">
        <f>VLOOKUP(A93,'Données projet'!$A$61:$I$81,9,0)</f>
        <v>11.5</v>
      </c>
      <c r="AH93" s="13">
        <f t="array" ref="AH93">INDEX(AG:AG,MIN(IF(ISNUMBER(AG93:AG289),ROW(AG93:AG289),"")))</f>
        <v>11.5</v>
      </c>
      <c r="AI93" s="14">
        <f>IF('Données projet'!$A$62&gt;35,AI92+AH93-AQ92,IF(A93&lt;'Données projet'!$A$62,$AF$205^A93,IF(A93='Données projet'!$A$62,'Données projet'!$B$62,AI92+AH93-AQ92)))</f>
        <v>488.99999999999966</v>
      </c>
      <c r="AJ93" s="14">
        <f>AI93*VLOOKUP('Données projet'!$B$10,Paramètres!$A$1:$I$89,3,0)*VLOOKUP('Données projet'!$B$10,Paramètres!$A$1:$I$89,5,0)</f>
        <v>419.56199999999973</v>
      </c>
      <c r="AK93" s="14">
        <f t="shared" si="89"/>
        <v>95.731472773408413</v>
      </c>
      <c r="AL93" s="22">
        <f t="shared" si="58"/>
        <v>897.46946508035228</v>
      </c>
      <c r="AM93" s="62">
        <f t="shared" si="59"/>
        <v>1190.8027984136857</v>
      </c>
      <c r="AN93" s="62">
        <f ca="1">AVERAGE(OFFSET($AM$3,0,0,'Données projet'!$E$10+1,1))-AVERAGE(OFFSET($H$3,0,0,'Données projet'!$E$10+1,1))</f>
        <v>446.86777652265448</v>
      </c>
      <c r="AO93" s="62">
        <f t="shared" si="90"/>
        <v>230.82970731138215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-4.5224624045658861E-14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370.59298168107364</v>
      </c>
      <c r="BJ93" s="62">
        <f t="shared" si="92"/>
        <v>404.61777090709171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-5.6843418860808015E-14</v>
      </c>
      <c r="BZ93" s="14">
        <f>BY93*VLOOKUP('Données projet'!$B$12,Paramètres!$A$1:$I$89,3,0)*VLOOKUP('Données projet'!$B$12,Paramètres!$A$1:$I$89,5,0)</f>
        <v>-4.1677594708744434E-14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344.45199703750711</v>
      </c>
      <c r="CE93" s="62">
        <f t="shared" si="94"/>
        <v>376.41441893222185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317</v>
      </c>
      <c r="CR93" s="13">
        <f>VLOOKUP(A93,'Données projet'!$A$139:$I$159,9,0)</f>
        <v>3.8</v>
      </c>
      <c r="CS93" s="13">
        <f t="array" ref="CS93">INDEX(CR:CR,MIN(IF(ISNUMBER(CR93:CR289),ROW(CR93:CR289),"")))</f>
        <v>3.8</v>
      </c>
      <c r="CT93" s="13">
        <f>IF('Données projet'!$A$140&gt;35,CT92+CS93-DB92,IF(A93&lt;'Données projet'!$A$140,$CQ$205^A93,IF(A93='Données projet'!$A$140,'Données projet'!$B$140,CT92+CS93-DB92)))</f>
        <v>317.00000000000023</v>
      </c>
      <c r="CU93" s="18">
        <f>CT93*VLOOKUP('Données projet'!$B$13,Paramètres!$A$1:$I$89,3,0)*VLOOKUP('Données projet'!$B$13,Paramètres!$A$1:$I$89,5,0)</f>
        <v>207.69840000000016</v>
      </c>
      <c r="CV93" s="14">
        <f t="shared" si="95"/>
        <v>51.43230605223669</v>
      </c>
      <c r="CW93" s="22">
        <f t="shared" si="67"/>
        <v>451.31931304097913</v>
      </c>
      <c r="CX93" s="62">
        <f t="shared" si="68"/>
        <v>744.65264637431244</v>
      </c>
      <c r="CY93" s="62">
        <f ca="1">AVERAGE(OFFSET($CX$3,0,0,'Données projet'!$E$13+1,1))-AVERAGE(OFFSET($H$3,0,0,'Données projet'!$E$13+1,1))</f>
        <v>311.53750850588153</v>
      </c>
      <c r="CZ93" s="62">
        <f t="shared" si="96"/>
        <v>304.84379909635476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317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-1.1368683772161603E-13</v>
      </c>
      <c r="DP93" s="18">
        <f>DO93*VLOOKUP('Données projet'!$B$14,Paramètres!$A$1:$I$89,3,0)*VLOOKUP('Données projet'!$B$14,Paramètres!$A$1:$I$89,5,0)</f>
        <v>-9.2222762759774927E-14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256.19915261735281</v>
      </c>
      <c r="DU93" s="62">
        <f t="shared" si="98"/>
        <v>297.47246687305056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248.7179487179487</v>
      </c>
      <c r="EH93" s="13">
        <f>VLOOKUP(A93,'Données projet'!$A$191:$I$211,9,0)</f>
        <v>3.8461538461538454</v>
      </c>
      <c r="EI93" s="13">
        <f t="array" ref="EI93">INDEX(EH:EH,MIN(IF(ISNUMBER(EH93:EH289),ROW(EH93:EH289),"")))</f>
        <v>3.8461538461538454</v>
      </c>
      <c r="EJ93" s="13">
        <f>IF('Données projet'!$A$192&gt;35,EJ92+EI93-ER92,IF(A93&lt;'Données projet'!$A$192,$EG$205^A93,IF(A93='Données projet'!$A$192,'Données projet'!$B$192,EJ92+EI93-ER92)))</f>
        <v>248.71794871794864</v>
      </c>
      <c r="EK93" s="18">
        <f>EJ93*VLOOKUP('Données projet'!$B$15,Paramètres!$A$1:$I$89,3,0)*VLOOKUP('Données projet'!$B$15,Paramètres!$A$1:$I$89,5,0)</f>
        <v>236.67999999999995</v>
      </c>
      <c r="EL93" s="14">
        <f t="shared" si="99"/>
        <v>57.724638232498961</v>
      </c>
      <c r="EM93" s="22">
        <f t="shared" si="73"/>
        <v>512.7547449216022</v>
      </c>
      <c r="EN93" s="62">
        <f t="shared" si="74"/>
        <v>806.08807825493545</v>
      </c>
      <c r="EO93" s="62">
        <f ca="1">AVERAGE(OFFSET($EN$3,0,0,'Données projet'!$E$15+1,1))-AVERAGE(OFFSET($H$3,0,0,'Données projet'!$E$15+1,1))</f>
        <v>406.24139966722936</v>
      </c>
      <c r="EP93" s="62">
        <f t="shared" si="100"/>
        <v>295.95724296920577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1.1368683772161603E-13</v>
      </c>
      <c r="FF93" s="18">
        <f>FE93*VLOOKUP('Données projet'!$B$16,Paramètres!$A$1:$I$89,3,0)*VLOOKUP('Données projet'!$B$16,Paramètres!$A$1:$I$89,5,0)</f>
        <v>8.8675733422860506E-14</v>
      </c>
      <c r="FG93" s="14">
        <f t="shared" si="101"/>
        <v>1.3509285393066301E-12</v>
      </c>
      <c r="FH93" s="22">
        <f t="shared" si="76"/>
        <v>2.5073107750038623E-12</v>
      </c>
      <c r="FI93" s="62">
        <f t="shared" si="77"/>
        <v>293.33333333333582</v>
      </c>
      <c r="FJ93" s="62">
        <f ca="1">AVERAGE(OFFSET($FI$3,0,0,'Données projet'!$E$16+1,1))-AVERAGE(OFFSET($H$3,0,0,'Données projet'!$E$16+1,1))</f>
        <v>292.57482726862594</v>
      </c>
      <c r="FK93" s="62">
        <f t="shared" si="102"/>
        <v>283.48738729114024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386</v>
      </c>
      <c r="FX93" s="13">
        <f>VLOOKUP(A93,'Données projet'!$A$243:$I$263,9,0)</f>
        <v>6.6</v>
      </c>
      <c r="FY93" s="13">
        <f t="array" ref="FY93">INDEX(FX:FX,MIN(IF(ISNUMBER(FX93:FX289),ROW(FX93:FX289),"")))</f>
        <v>6.6</v>
      </c>
      <c r="FZ93" s="13">
        <f>IF('Données projet'!$A$244&gt;35,FZ92+FY93-GH92,IF(A93&lt;'Données projet'!$A$244,$FW$205^A93,IF(A93='Données projet'!$A$244,'Données projet'!$B$244,FZ92+FY93-GH92)))</f>
        <v>386.00000000000023</v>
      </c>
      <c r="GA93" s="18">
        <f>FZ93*VLOOKUP('Données projet'!$B$17,Paramètres!$A$1:$I$89,3,0)*VLOOKUP('Données projet'!$B$17,Paramètres!$A$1:$I$89,5,0)</f>
        <v>373.33920000000023</v>
      </c>
      <c r="GB93" s="14">
        <f t="shared" si="103"/>
        <v>86.350090928308958</v>
      </c>
      <c r="GC93" s="22">
        <f t="shared" si="79"/>
        <v>800.62551503347186</v>
      </c>
      <c r="GD93" s="62">
        <f t="shared" si="80"/>
        <v>1093.9588483668051</v>
      </c>
      <c r="GE93" s="62">
        <f ca="1">AVERAGE(OFFSET($GD$3,0,0,'Données projet'!$E$17+1,1))-AVERAGE(OFFSET($H$3,0,0,'Données projet'!$E$17+1,1))</f>
        <v>562.69380557620775</v>
      </c>
      <c r="GF93" s="62">
        <f t="shared" si="104"/>
        <v>294.45557293177131</v>
      </c>
      <c r="GG93" s="16">
        <f>IF(ISNA(VLOOKUP(A93,'Données projet'!$A$243:$I$263,3,0)),0,VLOOKUP(A93,'Données projet'!$A$243:$I$263,3,0))</f>
        <v>7</v>
      </c>
      <c r="GH93" s="16">
        <f>IF(ISNA(VLOOKUP(A93,'Données projet'!$A$243:$I$263,4,0)),0,VLOOKUP(A93,'Données projet'!$A$243:$I$263,4,0))</f>
        <v>84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5.9</v>
      </c>
      <c r="N94" s="14">
        <f>IF('Données projet'!$A$36&gt;35,N93+M94-V93,IF(A94&lt;'Données projet'!$A$36,$K$205^A94,IF(A94='Données projet'!$A$36,'Données projet'!$B$36,N93+M94-V93)))</f>
        <v>307.9000000000002</v>
      </c>
      <c r="O94" s="14">
        <f>N94*VLOOKUP('Données projet'!$B$9,Paramètres!$A$1:$I$89,3,0)*VLOOKUP('Données projet'!$B$9,Paramètres!$A$1:$I$89,5,0)</f>
        <v>278.58792000000017</v>
      </c>
      <c r="P94" s="14">
        <f t="shared" si="87"/>
        <v>66.668508032294284</v>
      </c>
      <c r="Q94" s="22">
        <f t="shared" si="54"/>
        <v>601.32161215624615</v>
      </c>
      <c r="R94" s="62">
        <f t="shared" si="55"/>
        <v>894.6549454895794</v>
      </c>
      <c r="S94" s="62">
        <f ca="1">AVERAGE(OFFSET($R$3,0,0,'Données projet'!$E$9+1,1))-AVERAGE(OFFSET($H$3,0,0,'Données projet'!$E$9+1,1))</f>
        <v>529.25712986118265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11.333333333333334</v>
      </c>
      <c r="AI94" s="14">
        <f>IF('Données projet'!$A$62&gt;35,AI93+AH94-AQ93,IF(A94&lt;'Données projet'!$A$62,$AF$205^A94,IF(A94='Données projet'!$A$62,'Données projet'!$B$62,AI93+AH94-AQ93)))</f>
        <v>500.33333333333297</v>
      </c>
      <c r="AJ94" s="14">
        <f>AI94*VLOOKUP('Données projet'!$B$10,Paramètres!$A$1:$I$89,3,0)*VLOOKUP('Données projet'!$B$10,Paramètres!$A$1:$I$89,5,0)</f>
        <v>429.28599999999977</v>
      </c>
      <c r="AK94" s="14">
        <f t="shared" si="89"/>
        <v>97.689316592289586</v>
      </c>
      <c r="AL94" s="22">
        <f t="shared" si="58"/>
        <v>917.81534306490391</v>
      </c>
      <c r="AM94" s="62">
        <f t="shared" si="59"/>
        <v>1211.1486763982373</v>
      </c>
      <c r="AN94" s="62">
        <f ca="1">AVERAGE(OFFSET($AM$3,0,0,'Données projet'!$E$10+1,1))-AVERAGE(OFFSET($H$3,0,0,'Données projet'!$E$10+1,1))</f>
        <v>446.86777652265448</v>
      </c>
      <c r="AO94" s="62">
        <f t="shared" si="90"/>
        <v>230.82970731138215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-4.5224624045658861E-14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370.59298168107364</v>
      </c>
      <c r="BJ94" s="62">
        <f t="shared" si="92"/>
        <v>404.61777090709171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-5.6843418860808015E-14</v>
      </c>
      <c r="BZ94" s="14">
        <f>BY94*VLOOKUP('Données projet'!$B$12,Paramètres!$A$1:$I$89,3,0)*VLOOKUP('Données projet'!$B$12,Paramètres!$A$1:$I$89,5,0)</f>
        <v>-4.1677594708744434E-14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344.45199703750711</v>
      </c>
      <c r="CE94" s="62">
        <f t="shared" si="94"/>
        <v>376.41441893222185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2.2737367544323206E-13</v>
      </c>
      <c r="CU94" s="18">
        <f>CT94*VLOOKUP('Données projet'!$B$13,Paramètres!$A$1:$I$89,3,0)*VLOOKUP('Données projet'!$B$13,Paramètres!$A$1:$I$89,5,0)</f>
        <v>1.4897523215040565E-13</v>
      </c>
      <c r="CV94" s="14">
        <f t="shared" si="95"/>
        <v>2.136562777003313E-12</v>
      </c>
      <c r="CW94" s="22">
        <f t="shared" si="67"/>
        <v>3.9806453659427267E-12</v>
      </c>
      <c r="CX94" s="62">
        <f t="shared" si="68"/>
        <v>293.33333333333729</v>
      </c>
      <c r="CY94" s="62">
        <f ca="1">AVERAGE(OFFSET($CX$3,0,0,'Données projet'!$E$13+1,1))-AVERAGE(OFFSET($H$3,0,0,'Données projet'!$E$13+1,1))</f>
        <v>311.53750850588153</v>
      </c>
      <c r="CZ94" s="62">
        <f t="shared" si="96"/>
        <v>304.84379909635476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-1.1368683772161603E-13</v>
      </c>
      <c r="DP94" s="18">
        <f>DO94*VLOOKUP('Données projet'!$B$14,Paramètres!$A$1:$I$89,3,0)*VLOOKUP('Données projet'!$B$14,Paramètres!$A$1:$I$89,5,0)</f>
        <v>-9.2222762759774927E-14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256.19915261735281</v>
      </c>
      <c r="DU94" s="62">
        <f t="shared" si="98"/>
        <v>297.47246687305056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3.8461538461538511</v>
      </c>
      <c r="EJ94" s="13">
        <f>IF('Données projet'!$A$192&gt;35,EJ93+EI94-ER93,IF(A94&lt;'Données projet'!$A$192,$EG$205^A94,IF(A94='Données projet'!$A$192,'Données projet'!$B$192,EJ93+EI94-ER93)))</f>
        <v>252.56410256410248</v>
      </c>
      <c r="EK94" s="18">
        <f>EJ94*VLOOKUP('Données projet'!$B$15,Paramètres!$A$1:$I$89,3,0)*VLOOKUP('Données projet'!$B$15,Paramètres!$A$1:$I$89,5,0)</f>
        <v>240.33999999999992</v>
      </c>
      <c r="EL94" s="14">
        <f t="shared" si="99"/>
        <v>58.512677110228594</v>
      </c>
      <c r="EM94" s="22">
        <f t="shared" si="73"/>
        <v>520.50174596698128</v>
      </c>
      <c r="EN94" s="62">
        <f t="shared" si="74"/>
        <v>813.83507930031465</v>
      </c>
      <c r="EO94" s="62">
        <f ca="1">AVERAGE(OFFSET($EN$3,0,0,'Données projet'!$E$15+1,1))-AVERAGE(OFFSET($H$3,0,0,'Données projet'!$E$15+1,1))</f>
        <v>406.24139966722936</v>
      </c>
      <c r="EP94" s="62">
        <f t="shared" si="100"/>
        <v>295.95724296920577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1.1368683772161603E-13</v>
      </c>
      <c r="FF94" s="18">
        <f>FE94*VLOOKUP('Données projet'!$B$16,Paramètres!$A$1:$I$89,3,0)*VLOOKUP('Données projet'!$B$16,Paramètres!$A$1:$I$89,5,0)</f>
        <v>8.8675733422860506E-14</v>
      </c>
      <c r="FG94" s="14">
        <f t="shared" si="101"/>
        <v>1.3509285393066301E-12</v>
      </c>
      <c r="FH94" s="22">
        <f t="shared" si="76"/>
        <v>2.5073107750038623E-12</v>
      </c>
      <c r="FI94" s="62">
        <f t="shared" si="77"/>
        <v>293.33333333333582</v>
      </c>
      <c r="FJ94" s="62">
        <f ca="1">AVERAGE(OFFSET($FI$3,0,0,'Données projet'!$E$16+1,1))-AVERAGE(OFFSET($H$3,0,0,'Données projet'!$E$16+1,1))</f>
        <v>292.57482726862594</v>
      </c>
      <c r="FK94" s="62">
        <f t="shared" si="102"/>
        <v>283.48738729114024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5.9</v>
      </c>
      <c r="FZ94" s="13">
        <f>IF('Données projet'!$A$244&gt;35,FZ93+FY94-GH93,IF(A94&lt;'Données projet'!$A$244,$FW$205^A94,IF(A94='Données projet'!$A$244,'Données projet'!$B$244,FZ93+FY94-GH93)))</f>
        <v>307.9000000000002</v>
      </c>
      <c r="GA94" s="18">
        <f>FZ94*VLOOKUP('Données projet'!$B$17,Paramètres!$A$1:$I$89,3,0)*VLOOKUP('Données projet'!$B$17,Paramètres!$A$1:$I$89,5,0)</f>
        <v>297.80088000000023</v>
      </c>
      <c r="GB94" s="14">
        <f t="shared" si="103"/>
        <v>70.715246231293804</v>
      </c>
      <c r="GC94" s="22">
        <f t="shared" si="79"/>
        <v>641.83225318617042</v>
      </c>
      <c r="GD94" s="62">
        <f t="shared" si="80"/>
        <v>935.16558651950368</v>
      </c>
      <c r="GE94" s="62">
        <f ca="1">AVERAGE(OFFSET($GD$3,0,0,'Données projet'!$E$17+1,1))-AVERAGE(OFFSET($H$3,0,0,'Données projet'!$E$17+1,1))</f>
        <v>562.69380557620775</v>
      </c>
      <c r="GF94" s="62">
        <f t="shared" si="104"/>
        <v>294.45557293177131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5.9</v>
      </c>
      <c r="N95" s="14">
        <f>IF('Données projet'!$A$36&gt;35,N94+M95-V94,IF(A95&lt;'Données projet'!$A$36,$K$205^A95,IF(A95='Données projet'!$A$36,'Données projet'!$B$36,N94+M95-V94)))</f>
        <v>313.80000000000018</v>
      </c>
      <c r="O95" s="14">
        <f>N95*VLOOKUP('Données projet'!$B$9,Paramètres!$A$1:$I$89,3,0)*VLOOKUP('Données projet'!$B$9,Paramètres!$A$1:$I$89,5,0)</f>
        <v>283.92624000000018</v>
      </c>
      <c r="P95" s="14">
        <f t="shared" si="87"/>
        <v>67.796062628528361</v>
      </c>
      <c r="Q95" s="22">
        <f t="shared" si="54"/>
        <v>612.58301041135394</v>
      </c>
      <c r="R95" s="62">
        <f t="shared" si="55"/>
        <v>905.91634374468731</v>
      </c>
      <c r="S95" s="62">
        <f ca="1">AVERAGE(OFFSET($R$3,0,0,'Données projet'!$E$9+1,1))-AVERAGE(OFFSET($H$3,0,0,'Données projet'!$E$9+1,1))</f>
        <v>529.25712986118265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11.333333333333334</v>
      </c>
      <c r="AI95" s="14">
        <f>IF('Données projet'!$A$62&gt;35,AI94+AH95-AQ94,IF(A95&lt;'Données projet'!$A$62,$AF$205^A95,IF(A95='Données projet'!$A$62,'Données projet'!$B$62,AI94+AH95-AQ94)))</f>
        <v>511.66666666666629</v>
      </c>
      <c r="AJ95" s="14">
        <f>AI95*VLOOKUP('Données projet'!$B$10,Paramètres!$A$1:$I$89,3,0)*VLOOKUP('Données projet'!$B$10,Paramètres!$A$1:$I$89,5,0)</f>
        <v>439.00999999999971</v>
      </c>
      <c r="AK95" s="14">
        <f t="shared" si="89"/>
        <v>99.642004610829247</v>
      </c>
      <c r="AL95" s="22">
        <f t="shared" si="58"/>
        <v>938.15224136386041</v>
      </c>
      <c r="AM95" s="62">
        <f t="shared" si="59"/>
        <v>1231.4855746971937</v>
      </c>
      <c r="AN95" s="62">
        <f ca="1">AVERAGE(OFFSET($AM$3,0,0,'Données projet'!$E$10+1,1))-AVERAGE(OFFSET($H$3,0,0,'Données projet'!$E$10+1,1))</f>
        <v>446.86777652265448</v>
      </c>
      <c r="AO95" s="62">
        <f t="shared" si="90"/>
        <v>230.82970731138215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-4.5224624045658861E-14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370.59298168107364</v>
      </c>
      <c r="BJ95" s="62">
        <f t="shared" si="92"/>
        <v>404.61777090709171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-5.6843418860808015E-14</v>
      </c>
      <c r="BZ95" s="14">
        <f>BY95*VLOOKUP('Données projet'!$B$12,Paramètres!$A$1:$I$89,3,0)*VLOOKUP('Données projet'!$B$12,Paramètres!$A$1:$I$89,5,0)</f>
        <v>-4.1677594708744434E-14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344.45199703750711</v>
      </c>
      <c r="CE95" s="62">
        <f t="shared" si="94"/>
        <v>376.41441893222185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2.2737367544323206E-13</v>
      </c>
      <c r="CU95" s="18">
        <f>CT95*VLOOKUP('Données projet'!$B$13,Paramètres!$A$1:$I$89,3,0)*VLOOKUP('Données projet'!$B$13,Paramètres!$A$1:$I$89,5,0)</f>
        <v>1.4897523215040565E-13</v>
      </c>
      <c r="CV95" s="14">
        <f t="shared" si="95"/>
        <v>2.136562777003313E-12</v>
      </c>
      <c r="CW95" s="22">
        <f t="shared" si="67"/>
        <v>3.9806453659427267E-12</v>
      </c>
      <c r="CX95" s="62">
        <f t="shared" si="68"/>
        <v>293.33333333333729</v>
      </c>
      <c r="CY95" s="62">
        <f ca="1">AVERAGE(OFFSET($CX$3,0,0,'Données projet'!$E$13+1,1))-AVERAGE(OFFSET($H$3,0,0,'Données projet'!$E$13+1,1))</f>
        <v>311.53750850588153</v>
      </c>
      <c r="CZ95" s="62">
        <f t="shared" si="96"/>
        <v>304.84379909635476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-1.1368683772161603E-13</v>
      </c>
      <c r="DP95" s="18">
        <f>DO95*VLOOKUP('Données projet'!$B$14,Paramètres!$A$1:$I$89,3,0)*VLOOKUP('Données projet'!$B$14,Paramètres!$A$1:$I$89,5,0)</f>
        <v>-9.2222762759774927E-14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256.19915261735281</v>
      </c>
      <c r="DU95" s="62">
        <f t="shared" si="98"/>
        <v>297.47246687305056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3.8461538461538511</v>
      </c>
      <c r="EJ95" s="13">
        <f>IF('Données projet'!$A$192&gt;35,EJ94+EI95-ER94,IF(A95&lt;'Données projet'!$A$192,$EG$205^A95,IF(A95='Données projet'!$A$192,'Données projet'!$B$192,EJ94+EI95-ER94)))</f>
        <v>256.41025641025635</v>
      </c>
      <c r="EK95" s="18">
        <f>EJ95*VLOOKUP('Données projet'!$B$15,Paramètres!$A$1:$I$89,3,0)*VLOOKUP('Données projet'!$B$15,Paramètres!$A$1:$I$89,5,0)</f>
        <v>243.99999999999997</v>
      </c>
      <c r="EL95" s="14">
        <f t="shared" si="99"/>
        <v>59.299320299313244</v>
      </c>
      <c r="EM95" s="22">
        <f t="shared" si="73"/>
        <v>528.24631618797048</v>
      </c>
      <c r="EN95" s="62">
        <f t="shared" si="74"/>
        <v>821.57964952130374</v>
      </c>
      <c r="EO95" s="62">
        <f ca="1">AVERAGE(OFFSET($EN$3,0,0,'Données projet'!$E$15+1,1))-AVERAGE(OFFSET($H$3,0,0,'Données projet'!$E$15+1,1))</f>
        <v>406.24139966722936</v>
      </c>
      <c r="EP95" s="62">
        <f t="shared" si="100"/>
        <v>295.95724296920577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1.1368683772161603E-13</v>
      </c>
      <c r="FF95" s="18">
        <f>FE95*VLOOKUP('Données projet'!$B$16,Paramètres!$A$1:$I$89,3,0)*VLOOKUP('Données projet'!$B$16,Paramètres!$A$1:$I$89,5,0)</f>
        <v>8.8675733422860506E-14</v>
      </c>
      <c r="FG95" s="14">
        <f t="shared" si="101"/>
        <v>1.3509285393066301E-12</v>
      </c>
      <c r="FH95" s="22">
        <f t="shared" si="76"/>
        <v>2.5073107750038623E-12</v>
      </c>
      <c r="FI95" s="62">
        <f t="shared" si="77"/>
        <v>293.33333333333582</v>
      </c>
      <c r="FJ95" s="62">
        <f ca="1">AVERAGE(OFFSET($FI$3,0,0,'Données projet'!$E$16+1,1))-AVERAGE(OFFSET($H$3,0,0,'Données projet'!$E$16+1,1))</f>
        <v>292.57482726862594</v>
      </c>
      <c r="FK95" s="62">
        <f t="shared" si="102"/>
        <v>283.48738729114024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5.9</v>
      </c>
      <c r="FZ95" s="13">
        <f>IF('Données projet'!$A$244&gt;35,FZ94+FY95-GH94,IF(A95&lt;'Données projet'!$A$244,$FW$205^A95,IF(A95='Données projet'!$A$244,'Données projet'!$B$244,FZ94+FY95-GH94)))</f>
        <v>313.80000000000018</v>
      </c>
      <c r="GA95" s="18">
        <f>FZ95*VLOOKUP('Données projet'!$B$17,Paramètres!$A$1:$I$89,3,0)*VLOOKUP('Données projet'!$B$17,Paramètres!$A$1:$I$89,5,0)</f>
        <v>303.50736000000023</v>
      </c>
      <c r="GB95" s="14">
        <f t="shared" si="103"/>
        <v>71.911242710970541</v>
      </c>
      <c r="GC95" s="22">
        <f t="shared" si="79"/>
        <v>653.85406638827408</v>
      </c>
      <c r="GD95" s="62">
        <f t="shared" si="80"/>
        <v>947.18739972160733</v>
      </c>
      <c r="GE95" s="62">
        <f ca="1">AVERAGE(OFFSET($GD$3,0,0,'Données projet'!$E$17+1,1))-AVERAGE(OFFSET($H$3,0,0,'Données projet'!$E$17+1,1))</f>
        <v>562.69380557620775</v>
      </c>
      <c r="GF95" s="62">
        <f t="shared" si="104"/>
        <v>294.45557293177131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5.9</v>
      </c>
      <c r="N96" s="14">
        <f>IF('Données projet'!$A$36&gt;35,N95+M96-V95,IF(A96&lt;'Données projet'!$A$36,$K$205^A96,IF(A96='Données projet'!$A$36,'Données projet'!$B$36,N95+M96-V95)))</f>
        <v>319.70000000000016</v>
      </c>
      <c r="O96" s="14">
        <f>N96*VLOOKUP('Données projet'!$B$9,Paramètres!$A$1:$I$89,3,0)*VLOOKUP('Données projet'!$B$9,Paramètres!$A$1:$I$89,5,0)</f>
        <v>289.26456000000013</v>
      </c>
      <c r="P96" s="14">
        <f t="shared" si="87"/>
        <v>68.921152085057912</v>
      </c>
      <c r="Q96" s="22">
        <f t="shared" si="54"/>
        <v>623.84011521480943</v>
      </c>
      <c r="R96" s="62">
        <f t="shared" si="55"/>
        <v>917.17344854814269</v>
      </c>
      <c r="S96" s="62">
        <f ca="1">AVERAGE(OFFSET($R$3,0,0,'Données projet'!$E$9+1,1))-AVERAGE(OFFSET($H$3,0,0,'Données projet'!$E$9+1,1))</f>
        <v>529.25712986118265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11.333333333333334</v>
      </c>
      <c r="AI96" s="14">
        <f>IF('Données projet'!$A$62&gt;35,AI95+AH96-AQ95,IF(A96&lt;'Données projet'!$A$62,$AF$205^A96,IF(A96='Données projet'!$A$62,'Données projet'!$B$62,AI95+AH96-AQ95)))</f>
        <v>522.99999999999966</v>
      </c>
      <c r="AJ96" s="14">
        <f>AI96*VLOOKUP('Données projet'!$B$10,Paramètres!$A$1:$I$89,3,0)*VLOOKUP('Données projet'!$B$10,Paramètres!$A$1:$I$89,5,0)</f>
        <v>448.73399999999981</v>
      </c>
      <c r="AK96" s="14">
        <f t="shared" si="89"/>
        <v>101.58966417888674</v>
      </c>
      <c r="AL96" s="22">
        <f t="shared" si="58"/>
        <v>958.48038177822752</v>
      </c>
      <c r="AM96" s="62">
        <f t="shared" si="59"/>
        <v>1251.8137151115609</v>
      </c>
      <c r="AN96" s="62">
        <f ca="1">AVERAGE(OFFSET($AM$3,0,0,'Données projet'!$E$10+1,1))-AVERAGE(OFFSET($H$3,0,0,'Données projet'!$E$10+1,1))</f>
        <v>446.86777652265448</v>
      </c>
      <c r="AO96" s="62">
        <f t="shared" si="90"/>
        <v>230.82970731138215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-4.5224624045658861E-14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370.59298168107364</v>
      </c>
      <c r="BJ96" s="62">
        <f t="shared" si="92"/>
        <v>404.61777090709171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-5.6843418860808015E-14</v>
      </c>
      <c r="BZ96" s="14">
        <f>BY96*VLOOKUP('Données projet'!$B$12,Paramètres!$A$1:$I$89,3,0)*VLOOKUP('Données projet'!$B$12,Paramètres!$A$1:$I$89,5,0)</f>
        <v>-4.1677594708744434E-14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344.45199703750711</v>
      </c>
      <c r="CE96" s="62">
        <f t="shared" si="94"/>
        <v>376.41441893222185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2.2737367544323206E-13</v>
      </c>
      <c r="CU96" s="18">
        <f>CT96*VLOOKUP('Données projet'!$B$13,Paramètres!$A$1:$I$89,3,0)*VLOOKUP('Données projet'!$B$13,Paramètres!$A$1:$I$89,5,0)</f>
        <v>1.4897523215040565E-13</v>
      </c>
      <c r="CV96" s="14">
        <f t="shared" si="95"/>
        <v>2.136562777003313E-12</v>
      </c>
      <c r="CW96" s="22">
        <f t="shared" si="67"/>
        <v>3.9806453659427267E-12</v>
      </c>
      <c r="CX96" s="62">
        <f t="shared" si="68"/>
        <v>293.33333333333729</v>
      </c>
      <c r="CY96" s="62">
        <f ca="1">AVERAGE(OFFSET($CX$3,0,0,'Données projet'!$E$13+1,1))-AVERAGE(OFFSET($H$3,0,0,'Données projet'!$E$13+1,1))</f>
        <v>311.53750850588153</v>
      </c>
      <c r="CZ96" s="62">
        <f t="shared" si="96"/>
        <v>304.84379909635476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-1.1368683772161603E-13</v>
      </c>
      <c r="DP96" s="18">
        <f>DO96*VLOOKUP('Données projet'!$B$14,Paramètres!$A$1:$I$89,3,0)*VLOOKUP('Données projet'!$B$14,Paramètres!$A$1:$I$89,5,0)</f>
        <v>-9.2222762759774927E-14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256.19915261735281</v>
      </c>
      <c r="DU96" s="62">
        <f t="shared" si="98"/>
        <v>297.47246687305056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3.8461538461538511</v>
      </c>
      <c r="EJ96" s="13">
        <f>IF('Données projet'!$A$192&gt;35,EJ95+EI96-ER95,IF(A96&lt;'Données projet'!$A$192,$EG$205^A96,IF(A96='Données projet'!$A$192,'Données projet'!$B$192,EJ95+EI96-ER95)))</f>
        <v>260.25641025641022</v>
      </c>
      <c r="EK96" s="18">
        <f>EJ96*VLOOKUP('Données projet'!$B$15,Paramètres!$A$1:$I$89,3,0)*VLOOKUP('Données projet'!$B$15,Paramètres!$A$1:$I$89,5,0)</f>
        <v>247.65999999999994</v>
      </c>
      <c r="EL96" s="14">
        <f t="shared" si="99"/>
        <v>60.084591153326222</v>
      </c>
      <c r="EM96" s="22">
        <f t="shared" si="73"/>
        <v>535.98849625870969</v>
      </c>
      <c r="EN96" s="62">
        <f t="shared" si="74"/>
        <v>829.32182959204306</v>
      </c>
      <c r="EO96" s="62">
        <f ca="1">AVERAGE(OFFSET($EN$3,0,0,'Données projet'!$E$15+1,1))-AVERAGE(OFFSET($H$3,0,0,'Données projet'!$E$15+1,1))</f>
        <v>406.24139966722936</v>
      </c>
      <c r="EP96" s="62">
        <f t="shared" si="100"/>
        <v>295.95724296920577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1.1368683772161603E-13</v>
      </c>
      <c r="FF96" s="18">
        <f>FE96*VLOOKUP('Données projet'!$B$16,Paramètres!$A$1:$I$89,3,0)*VLOOKUP('Données projet'!$B$16,Paramètres!$A$1:$I$89,5,0)</f>
        <v>8.8675733422860506E-14</v>
      </c>
      <c r="FG96" s="14">
        <f t="shared" si="101"/>
        <v>1.3509285393066301E-12</v>
      </c>
      <c r="FH96" s="22">
        <f t="shared" si="76"/>
        <v>2.5073107750038623E-12</v>
      </c>
      <c r="FI96" s="62">
        <f t="shared" si="77"/>
        <v>293.33333333333582</v>
      </c>
      <c r="FJ96" s="62">
        <f ca="1">AVERAGE(OFFSET($FI$3,0,0,'Données projet'!$E$16+1,1))-AVERAGE(OFFSET($H$3,0,0,'Données projet'!$E$16+1,1))</f>
        <v>292.57482726862594</v>
      </c>
      <c r="FK96" s="62">
        <f t="shared" si="102"/>
        <v>283.48738729114024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5.9</v>
      </c>
      <c r="FZ96" s="13">
        <f>IF('Données projet'!$A$244&gt;35,FZ95+FY96-GH95,IF(A96&lt;'Données projet'!$A$244,$FW$205^A96,IF(A96='Données projet'!$A$244,'Données projet'!$B$244,FZ95+FY96-GH95)))</f>
        <v>319.70000000000016</v>
      </c>
      <c r="GA96" s="18">
        <f>FZ96*VLOOKUP('Données projet'!$B$17,Paramètres!$A$1:$I$89,3,0)*VLOOKUP('Données projet'!$B$17,Paramètres!$A$1:$I$89,5,0)</f>
        <v>309.21384000000012</v>
      </c>
      <c r="GB96" s="14">
        <f t="shared" si="103"/>
        <v>73.104624418450499</v>
      </c>
      <c r="GC96" s="22">
        <f t="shared" si="79"/>
        <v>665.87132552880155</v>
      </c>
      <c r="GD96" s="62">
        <f t="shared" si="80"/>
        <v>959.20465886213492</v>
      </c>
      <c r="GE96" s="62">
        <f ca="1">AVERAGE(OFFSET($GD$3,0,0,'Données projet'!$E$17+1,1))-AVERAGE(OFFSET($H$3,0,0,'Données projet'!$E$17+1,1))</f>
        <v>562.69380557620775</v>
      </c>
      <c r="GF96" s="62">
        <f t="shared" si="104"/>
        <v>294.45557293177131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5.9</v>
      </c>
      <c r="N97" s="14">
        <f>IF('Données projet'!$A$36&gt;35,N96+M97-V96,IF(A97&lt;'Données projet'!$A$36,$K$205^A97,IF(A97='Données projet'!$A$36,'Données projet'!$B$36,N96+M97-V96)))</f>
        <v>325.60000000000014</v>
      </c>
      <c r="O97" s="14">
        <f>N97*VLOOKUP('Données projet'!$B$9,Paramètres!$A$1:$I$89,3,0)*VLOOKUP('Données projet'!$B$9,Paramètres!$A$1:$I$89,5,0)</f>
        <v>294.60288000000014</v>
      </c>
      <c r="P97" s="14">
        <f t="shared" si="87"/>
        <v>70.043827142305744</v>
      </c>
      <c r="Q97" s="22">
        <f t="shared" si="54"/>
        <v>635.09301493951614</v>
      </c>
      <c r="R97" s="62">
        <f t="shared" si="55"/>
        <v>928.42634827284951</v>
      </c>
      <c r="S97" s="62">
        <f ca="1">AVERAGE(OFFSET($R$3,0,0,'Données projet'!$E$9+1,1))-AVERAGE(OFFSET($H$3,0,0,'Données projet'!$E$9+1,1))</f>
        <v>529.25712986118265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11.333333333333334</v>
      </c>
      <c r="AI97" s="14">
        <f>IF('Données projet'!$A$62&gt;35,AI96+AH97-AQ96,IF(A97&lt;'Données projet'!$A$62,$AF$205^A97,IF(A97='Données projet'!$A$62,'Données projet'!$B$62,AI96+AH97-AQ96)))</f>
        <v>534.33333333333303</v>
      </c>
      <c r="AJ97" s="14">
        <f>AI97*VLOOKUP('Données projet'!$B$10,Paramètres!$A$1:$I$89,3,0)*VLOOKUP('Données projet'!$B$10,Paramètres!$A$1:$I$89,5,0)</f>
        <v>458.4579999999998</v>
      </c>
      <c r="AK97" s="14">
        <f t="shared" si="89"/>
        <v>103.53241681177968</v>
      </c>
      <c r="AL97" s="22">
        <f t="shared" si="58"/>
        <v>978.79997594718259</v>
      </c>
      <c r="AM97" s="62">
        <f t="shared" si="59"/>
        <v>1272.133309280516</v>
      </c>
      <c r="AN97" s="62">
        <f ca="1">AVERAGE(OFFSET($AM$3,0,0,'Données projet'!$E$10+1,1))-AVERAGE(OFFSET($H$3,0,0,'Données projet'!$E$10+1,1))</f>
        <v>446.86777652265448</v>
      </c>
      <c r="AO97" s="62">
        <f t="shared" si="90"/>
        <v>230.82970731138215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-4.5224624045658861E-14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370.59298168107364</v>
      </c>
      <c r="BJ97" s="62">
        <f t="shared" si="92"/>
        <v>404.61777090709171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-5.6843418860808015E-14</v>
      </c>
      <c r="BZ97" s="14">
        <f>BY97*VLOOKUP('Données projet'!$B$12,Paramètres!$A$1:$I$89,3,0)*VLOOKUP('Données projet'!$B$12,Paramètres!$A$1:$I$89,5,0)</f>
        <v>-4.1677594708744434E-14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344.45199703750711</v>
      </c>
      <c r="CE97" s="62">
        <f t="shared" si="94"/>
        <v>376.41441893222185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2.2737367544323206E-13</v>
      </c>
      <c r="CU97" s="18">
        <f>CT97*VLOOKUP('Données projet'!$B$13,Paramètres!$A$1:$I$89,3,0)*VLOOKUP('Données projet'!$B$13,Paramètres!$A$1:$I$89,5,0)</f>
        <v>1.4897523215040565E-13</v>
      </c>
      <c r="CV97" s="14">
        <f t="shared" si="95"/>
        <v>2.136562777003313E-12</v>
      </c>
      <c r="CW97" s="22">
        <f t="shared" si="67"/>
        <v>3.9806453659427267E-12</v>
      </c>
      <c r="CX97" s="62">
        <f t="shared" si="68"/>
        <v>293.33333333333729</v>
      </c>
      <c r="CY97" s="62">
        <f ca="1">AVERAGE(OFFSET($CX$3,0,0,'Données projet'!$E$13+1,1))-AVERAGE(OFFSET($H$3,0,0,'Données projet'!$E$13+1,1))</f>
        <v>311.53750850588153</v>
      </c>
      <c r="CZ97" s="62">
        <f t="shared" si="96"/>
        <v>304.84379909635476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-1.1368683772161603E-13</v>
      </c>
      <c r="DP97" s="18">
        <f>DO97*VLOOKUP('Données projet'!$B$14,Paramètres!$A$1:$I$89,3,0)*VLOOKUP('Données projet'!$B$14,Paramètres!$A$1:$I$89,5,0)</f>
        <v>-9.2222762759774927E-14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256.19915261735281</v>
      </c>
      <c r="DU97" s="62">
        <f t="shared" si="98"/>
        <v>297.47246687305056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3.8461538461538511</v>
      </c>
      <c r="EJ97" s="13">
        <f>IF('Données projet'!$A$192&gt;35,EJ96+EI97-ER96,IF(A97&lt;'Données projet'!$A$192,$EG$205^A97,IF(A97='Données projet'!$A$192,'Données projet'!$B$192,EJ96+EI97-ER96)))</f>
        <v>264.10256410256409</v>
      </c>
      <c r="EK97" s="18">
        <f>EJ97*VLOOKUP('Données projet'!$B$15,Paramètres!$A$1:$I$89,3,0)*VLOOKUP('Données projet'!$B$15,Paramètres!$A$1:$I$89,5,0)</f>
        <v>251.32</v>
      </c>
      <c r="EL97" s="14">
        <f t="shared" si="99"/>
        <v>60.868512295963441</v>
      </c>
      <c r="EM97" s="22">
        <f t="shared" si="73"/>
        <v>543.72832558213634</v>
      </c>
      <c r="EN97" s="62">
        <f t="shared" si="74"/>
        <v>837.06165891546971</v>
      </c>
      <c r="EO97" s="62">
        <f ca="1">AVERAGE(OFFSET($EN$3,0,0,'Données projet'!$E$15+1,1))-AVERAGE(OFFSET($H$3,0,0,'Données projet'!$E$15+1,1))</f>
        <v>406.24139966722936</v>
      </c>
      <c r="EP97" s="62">
        <f t="shared" si="100"/>
        <v>295.95724296920577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1.1368683772161603E-13</v>
      </c>
      <c r="FF97" s="18">
        <f>FE97*VLOOKUP('Données projet'!$B$16,Paramètres!$A$1:$I$89,3,0)*VLOOKUP('Données projet'!$B$16,Paramètres!$A$1:$I$89,5,0)</f>
        <v>8.8675733422860506E-14</v>
      </c>
      <c r="FG97" s="14">
        <f t="shared" si="101"/>
        <v>1.3509285393066301E-12</v>
      </c>
      <c r="FH97" s="22">
        <f t="shared" si="76"/>
        <v>2.5073107750038623E-12</v>
      </c>
      <c r="FI97" s="62">
        <f t="shared" si="77"/>
        <v>293.33333333333582</v>
      </c>
      <c r="FJ97" s="62">
        <f ca="1">AVERAGE(OFFSET($FI$3,0,0,'Données projet'!$E$16+1,1))-AVERAGE(OFFSET($H$3,0,0,'Données projet'!$E$16+1,1))</f>
        <v>292.57482726862594</v>
      </c>
      <c r="FK97" s="62">
        <f t="shared" si="102"/>
        <v>283.48738729114024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5.9</v>
      </c>
      <c r="FZ97" s="13">
        <f>IF('Données projet'!$A$244&gt;35,FZ96+FY97-GH96,IF(A97&lt;'Données projet'!$A$244,$FW$205^A97,IF(A97='Données projet'!$A$244,'Données projet'!$B$244,FZ96+FY97-GH96)))</f>
        <v>325.60000000000014</v>
      </c>
      <c r="GA97" s="18">
        <f>FZ97*VLOOKUP('Données projet'!$B$17,Paramètres!$A$1:$I$89,3,0)*VLOOKUP('Données projet'!$B$17,Paramètres!$A$1:$I$89,5,0)</f>
        <v>314.92032000000012</v>
      </c>
      <c r="GB97" s="14">
        <f t="shared" si="103"/>
        <v>74.295445174069556</v>
      </c>
      <c r="GC97" s="22">
        <f t="shared" si="79"/>
        <v>677.88412434483791</v>
      </c>
      <c r="GD97" s="62">
        <f t="shared" si="80"/>
        <v>971.21745767817129</v>
      </c>
      <c r="GE97" s="62">
        <f ca="1">AVERAGE(OFFSET($GD$3,0,0,'Données projet'!$E$17+1,1))-AVERAGE(OFFSET($H$3,0,0,'Données projet'!$E$17+1,1))</f>
        <v>562.69380557620775</v>
      </c>
      <c r="GF97" s="62">
        <f t="shared" si="104"/>
        <v>294.45557293177131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5.9</v>
      </c>
      <c r="N98" s="14">
        <f>IF('Données projet'!$A$36&gt;35,N97+M98-V97,IF(A98&lt;'Données projet'!$A$36,$K$205^A98,IF(A98='Données projet'!$A$36,'Données projet'!$B$36,N97+M98-V97)))</f>
        <v>331.50000000000011</v>
      </c>
      <c r="O98" s="14">
        <f>N98*VLOOKUP('Données projet'!$B$9,Paramètres!$A$1:$I$89,3,0)*VLOOKUP('Données projet'!$B$9,Paramètres!$A$1:$I$89,5,0)</f>
        <v>299.94120000000009</v>
      </c>
      <c r="P98" s="14">
        <f t="shared" si="87"/>
        <v>71.164136596531577</v>
      </c>
      <c r="Q98" s="22">
        <f t="shared" si="54"/>
        <v>646.34179457229266</v>
      </c>
      <c r="R98" s="62">
        <f t="shared" si="55"/>
        <v>939.67512790562591</v>
      </c>
      <c r="S98" s="62">
        <f ca="1">AVERAGE(OFFSET($R$3,0,0,'Données projet'!$E$9+1,1))-AVERAGE(OFFSET($H$3,0,0,'Données projet'!$E$9+1,1))</f>
        <v>529.25712986118265</v>
      </c>
      <c r="T98" s="62">
        <f t="shared" si="88"/>
        <v>278.21741231699929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11.333333333333334</v>
      </c>
      <c r="AI98" s="14">
        <f>IF('Données projet'!$A$62&gt;35,AI97+AH98-AQ97,IF(A98&lt;'Données projet'!$A$62,$AF$205^A98,IF(A98='Données projet'!$A$62,'Données projet'!$B$62,AI97+AH98-AQ97)))</f>
        <v>545.6666666666664</v>
      </c>
      <c r="AJ98" s="14">
        <f>AI98*VLOOKUP('Données projet'!$B$10,Paramètres!$A$1:$I$89,3,0)*VLOOKUP('Données projet'!$B$10,Paramètres!$A$1:$I$89,5,0)</f>
        <v>468.18199999999985</v>
      </c>
      <c r="AK98" s="14">
        <f t="shared" si="89"/>
        <v>105.47037857558523</v>
      </c>
      <c r="AL98" s="22">
        <f t="shared" si="58"/>
        <v>999.11122601914394</v>
      </c>
      <c r="AM98" s="62">
        <f t="shared" si="59"/>
        <v>1292.4445593524772</v>
      </c>
      <c r="AN98" s="62">
        <f ca="1">AVERAGE(OFFSET($AM$3,0,0,'Données projet'!$E$10+1,1))-AVERAGE(OFFSET($H$3,0,0,'Données projet'!$E$10+1,1))</f>
        <v>446.86777652265448</v>
      </c>
      <c r="AO98" s="62">
        <f t="shared" si="90"/>
        <v>230.82970731138215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-4.5224624045658861E-14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370.59298168107364</v>
      </c>
      <c r="BJ98" s="62">
        <f t="shared" si="92"/>
        <v>404.61777090709171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-5.6843418860808015E-14</v>
      </c>
      <c r="BZ98" s="14">
        <f>BY98*VLOOKUP('Données projet'!$B$12,Paramètres!$A$1:$I$89,3,0)*VLOOKUP('Données projet'!$B$12,Paramètres!$A$1:$I$89,5,0)</f>
        <v>-4.1677594708744434E-14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344.45199703750711</v>
      </c>
      <c r="CE98" s="62">
        <f t="shared" si="94"/>
        <v>376.41441893222185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2.2737367544323206E-13</v>
      </c>
      <c r="CU98" s="18">
        <f>CT98*VLOOKUP('Données projet'!$B$13,Paramètres!$A$1:$I$89,3,0)*VLOOKUP('Données projet'!$B$13,Paramètres!$A$1:$I$89,5,0)</f>
        <v>1.4897523215040565E-13</v>
      </c>
      <c r="CV98" s="14">
        <f t="shared" si="95"/>
        <v>2.136562777003313E-12</v>
      </c>
      <c r="CW98" s="22">
        <f t="shared" si="67"/>
        <v>3.9806453659427267E-12</v>
      </c>
      <c r="CX98" s="62">
        <f t="shared" si="68"/>
        <v>293.33333333333729</v>
      </c>
      <c r="CY98" s="62">
        <f ca="1">AVERAGE(OFFSET($CX$3,0,0,'Données projet'!$E$13+1,1))-AVERAGE(OFFSET($H$3,0,0,'Données projet'!$E$13+1,1))</f>
        <v>311.53750850588153</v>
      </c>
      <c r="CZ98" s="62">
        <f t="shared" si="96"/>
        <v>304.84379909635476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-1.1368683772161603E-13</v>
      </c>
      <c r="DP98" s="18">
        <f>DO98*VLOOKUP('Données projet'!$B$14,Paramètres!$A$1:$I$89,3,0)*VLOOKUP('Données projet'!$B$14,Paramètres!$A$1:$I$89,5,0)</f>
        <v>-9.2222762759774927E-14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256.19915261735281</v>
      </c>
      <c r="DU98" s="62">
        <f t="shared" si="98"/>
        <v>297.47246687305056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267.94871794871796</v>
      </c>
      <c r="EH98" s="13">
        <f>VLOOKUP(A98,'Données projet'!$A$191:$I$211,9,0)</f>
        <v>3.8461538461538511</v>
      </c>
      <c r="EI98" s="13">
        <f t="array" ref="EI98">INDEX(EH:EH,MIN(IF(ISNUMBER(EH98:EH294),ROW(EH98:EH294),"")))</f>
        <v>3.8461538461538511</v>
      </c>
      <c r="EJ98" s="13">
        <f>IF('Données projet'!$A$192&gt;35,EJ97+EI98-ER97,IF(A98&lt;'Données projet'!$A$192,$EG$205^A98,IF(A98='Données projet'!$A$192,'Données projet'!$B$192,EJ97+EI98-ER97)))</f>
        <v>267.94871794871796</v>
      </c>
      <c r="EK98" s="18">
        <f>EJ98*VLOOKUP('Données projet'!$B$15,Paramètres!$A$1:$I$89,3,0)*VLOOKUP('Données projet'!$B$15,Paramètres!$A$1:$I$89,5,0)</f>
        <v>254.98000000000002</v>
      </c>
      <c r="EL98" s="14">
        <f t="shared" si="99"/>
        <v>61.651105654144821</v>
      </c>
      <c r="EM98" s="22">
        <f t="shared" si="73"/>
        <v>551.46584234763566</v>
      </c>
      <c r="EN98" s="62">
        <f t="shared" si="74"/>
        <v>844.79917568096903</v>
      </c>
      <c r="EO98" s="62">
        <f ca="1">AVERAGE(OFFSET($EN$3,0,0,'Données projet'!$E$15+1,1))-AVERAGE(OFFSET($H$3,0,0,'Données projet'!$E$15+1,1))</f>
        <v>406.24139966722936</v>
      </c>
      <c r="EP98" s="62">
        <f t="shared" si="100"/>
        <v>295.95724296920577</v>
      </c>
      <c r="EQ98" s="16">
        <f>IF(ISNA(VLOOKUP(A98,'Données projet'!$A$191:$I$211,3,0)),0,VLOOKUP(A98,'Données projet'!$A$191:$I$211,3,0))</f>
        <v>8</v>
      </c>
      <c r="ER98" s="16">
        <f>IF(ISNA(VLOOKUP(A98,'Données projet'!$A$191:$I$211,4,0)),0,VLOOKUP(A98,'Données projet'!$A$191:$I$211,4,0))</f>
        <v>27.564102564102562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1.1368683772161603E-13</v>
      </c>
      <c r="FF98" s="18">
        <f>FE98*VLOOKUP('Données projet'!$B$16,Paramètres!$A$1:$I$89,3,0)*VLOOKUP('Données projet'!$B$16,Paramètres!$A$1:$I$89,5,0)</f>
        <v>8.8675733422860506E-14</v>
      </c>
      <c r="FG98" s="14">
        <f t="shared" si="101"/>
        <v>1.3509285393066301E-12</v>
      </c>
      <c r="FH98" s="22">
        <f t="shared" si="76"/>
        <v>2.5073107750038623E-12</v>
      </c>
      <c r="FI98" s="62">
        <f t="shared" si="77"/>
        <v>293.33333333333582</v>
      </c>
      <c r="FJ98" s="62">
        <f ca="1">AVERAGE(OFFSET($FI$3,0,0,'Données projet'!$E$16+1,1))-AVERAGE(OFFSET($H$3,0,0,'Données projet'!$E$16+1,1))</f>
        <v>292.57482726862594</v>
      </c>
      <c r="FK98" s="62">
        <f t="shared" si="102"/>
        <v>283.48738729114024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5.9</v>
      </c>
      <c r="FZ98" s="13">
        <f>IF('Données projet'!$A$244&gt;35,FZ97+FY98-GH97,IF(A98&lt;'Données projet'!$A$244,$FW$205^A98,IF(A98='Données projet'!$A$244,'Données projet'!$B$244,FZ97+FY98-GH97)))</f>
        <v>331.50000000000011</v>
      </c>
      <c r="GA98" s="18">
        <f>FZ98*VLOOKUP('Données projet'!$B$17,Paramètres!$A$1:$I$89,3,0)*VLOOKUP('Données projet'!$B$17,Paramètres!$A$1:$I$89,5,0)</f>
        <v>320.62680000000012</v>
      </c>
      <c r="GB98" s="14">
        <f t="shared" si="103"/>
        <v>75.483756735990909</v>
      </c>
      <c r="GC98" s="22">
        <f t="shared" si="79"/>
        <v>689.89255298185105</v>
      </c>
      <c r="GD98" s="62">
        <f t="shared" si="80"/>
        <v>983.22588631518443</v>
      </c>
      <c r="GE98" s="62">
        <f ca="1">AVERAGE(OFFSET($GD$3,0,0,'Données projet'!$E$17+1,1))-AVERAGE(OFFSET($H$3,0,0,'Données projet'!$E$17+1,1))</f>
        <v>562.69380557620775</v>
      </c>
      <c r="GF98" s="62">
        <f t="shared" si="104"/>
        <v>294.45557293177131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5.9</v>
      </c>
      <c r="N99" s="14">
        <f>IF('Données projet'!$A$36&gt;35,N98+M99-V98,IF(A99&lt;'Données projet'!$A$36,$K$205^A99,IF(A99='Données projet'!$A$36,'Données projet'!$B$36,N98+M99-V98)))</f>
        <v>337.40000000000009</v>
      </c>
      <c r="O99" s="14">
        <f>N99*VLOOKUP('Données projet'!$B$9,Paramètres!$A$1:$I$89,3,0)*VLOOKUP('Données projet'!$B$9,Paramètres!$A$1:$I$89,5,0)</f>
        <v>305.27952000000005</v>
      </c>
      <c r="P99" s="14">
        <f t="shared" si="87"/>
        <v>72.282127407576866</v>
      </c>
      <c r="Q99" s="22">
        <f t="shared" ref="Q99:Q130" si="107">(O99+P99)*0.475*44/12</f>
        <v>657.58653590152971</v>
      </c>
      <c r="R99" s="62">
        <f t="shared" si="55"/>
        <v>950.91986923486297</v>
      </c>
      <c r="S99" s="62">
        <f ca="1">AVERAGE(OFFSET($R$3,0,0,'Données projet'!$E$9+1,1))-AVERAGE(OFFSET($H$3,0,0,'Données projet'!$E$9+1,1))</f>
        <v>529.25712986118265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>
        <f>VLOOKUP(A99,'Données projet'!$A$61:$I$81,2,0)</f>
        <v>557</v>
      </c>
      <c r="AG99" s="13">
        <f>VLOOKUP(A99,'Données projet'!$A$61:$I$81,9,0)</f>
        <v>11.333333333333334</v>
      </c>
      <c r="AH99" s="13">
        <f t="array" ref="AH99">INDEX(AG:AG,MIN(IF(ISNUMBER(AG99:AG295),ROW(AG99:AG295),"")))</f>
        <v>11.333333333333334</v>
      </c>
      <c r="AI99" s="14">
        <f>IF('Données projet'!$A$62&gt;35,AI98+AH99-AQ98,IF(A99&lt;'Données projet'!$A$62,$AF$205^A99,IF(A99='Données projet'!$A$62,'Données projet'!$B$62,AI98+AH99-AQ98)))</f>
        <v>556.99999999999977</v>
      </c>
      <c r="AJ99" s="14">
        <f>AI99*VLOOKUP('Données projet'!$B$10,Paramètres!$A$1:$I$89,3,0)*VLOOKUP('Données projet'!$B$10,Paramètres!$A$1:$I$89,5,0)</f>
        <v>477.90599999999989</v>
      </c>
      <c r="AK99" s="14">
        <f t="shared" si="89"/>
        <v>107.4036604395269</v>
      </c>
      <c r="AL99" s="22">
        <f t="shared" si="58"/>
        <v>1019.4143252655093</v>
      </c>
      <c r="AM99" s="62">
        <f t="shared" si="59"/>
        <v>1312.7476585988427</v>
      </c>
      <c r="AN99" s="62">
        <f ca="1">AVERAGE(OFFSET($AM$3,0,0,'Données projet'!$E$10+1,1))-AVERAGE(OFFSET($H$3,0,0,'Données projet'!$E$10+1,1))</f>
        <v>446.86777652265448</v>
      </c>
      <c r="AO99" s="62">
        <f t="shared" si="90"/>
        <v>230.82970731138215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-4.5224624045658861E-14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370.59298168107364</v>
      </c>
      <c r="BJ99" s="62">
        <f t="shared" si="92"/>
        <v>404.61777090709171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-5.6843418860808015E-14</v>
      </c>
      <c r="BZ99" s="14">
        <f>BY99*VLOOKUP('Données projet'!$B$12,Paramètres!$A$1:$I$89,3,0)*VLOOKUP('Données projet'!$B$12,Paramètres!$A$1:$I$89,5,0)</f>
        <v>-4.1677594708744434E-14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344.45199703750711</v>
      </c>
      <c r="CE99" s="62">
        <f t="shared" si="94"/>
        <v>376.41441893222185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2.2737367544323206E-13</v>
      </c>
      <c r="CU99" s="18">
        <f>CT99*VLOOKUP('Données projet'!$B$13,Paramètres!$A$1:$I$89,3,0)*VLOOKUP('Données projet'!$B$13,Paramètres!$A$1:$I$89,5,0)</f>
        <v>1.4897523215040565E-13</v>
      </c>
      <c r="CV99" s="14">
        <f t="shared" si="95"/>
        <v>2.136562777003313E-12</v>
      </c>
      <c r="CW99" s="22">
        <f t="shared" si="67"/>
        <v>3.9806453659427267E-12</v>
      </c>
      <c r="CX99" s="62">
        <f t="shared" si="68"/>
        <v>293.33333333333729</v>
      </c>
      <c r="CY99" s="62">
        <f ca="1">AVERAGE(OFFSET($CX$3,0,0,'Données projet'!$E$13+1,1))-AVERAGE(OFFSET($H$3,0,0,'Données projet'!$E$13+1,1))</f>
        <v>311.53750850588153</v>
      </c>
      <c r="CZ99" s="62">
        <f t="shared" si="96"/>
        <v>304.84379909635476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-1.1368683772161603E-13</v>
      </c>
      <c r="DP99" s="18">
        <f>DO99*VLOOKUP('Données projet'!$B$14,Paramètres!$A$1:$I$89,3,0)*VLOOKUP('Données projet'!$B$14,Paramètres!$A$1:$I$89,5,0)</f>
        <v>-9.2222762759774927E-14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256.19915261735281</v>
      </c>
      <c r="DU99" s="62">
        <f t="shared" si="98"/>
        <v>297.47246687305056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3.5897435897435854</v>
      </c>
      <c r="EJ99" s="13">
        <f>IF('Données projet'!$A$192&gt;35,EJ98+EI99-ER98,IF(A99&lt;'Données projet'!$A$192,$EG$205^A99,IF(A99='Données projet'!$A$192,'Données projet'!$B$192,EJ98+EI99-ER98)))</f>
        <v>243.97435897435898</v>
      </c>
      <c r="EK99" s="18">
        <f>EJ99*VLOOKUP('Données projet'!$B$15,Paramètres!$A$1:$I$89,3,0)*VLOOKUP('Données projet'!$B$15,Paramètres!$A$1:$I$89,5,0)</f>
        <v>232.166</v>
      </c>
      <c r="EL99" s="14">
        <f t="shared" si="99"/>
        <v>56.750765573960223</v>
      </c>
      <c r="EM99" s="22">
        <f t="shared" si="73"/>
        <v>503.19670004131399</v>
      </c>
      <c r="EN99" s="62">
        <f t="shared" si="74"/>
        <v>796.53003337464725</v>
      </c>
      <c r="EO99" s="62">
        <f ca="1">AVERAGE(OFFSET($EN$3,0,0,'Données projet'!$E$15+1,1))-AVERAGE(OFFSET($H$3,0,0,'Données projet'!$E$15+1,1))</f>
        <v>406.24139966722936</v>
      </c>
      <c r="EP99" s="62">
        <f t="shared" si="100"/>
        <v>295.95724296920577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1.1368683772161603E-13</v>
      </c>
      <c r="FF99" s="18">
        <f>FE99*VLOOKUP('Données projet'!$B$16,Paramètres!$A$1:$I$89,3,0)*VLOOKUP('Données projet'!$B$16,Paramètres!$A$1:$I$89,5,0)</f>
        <v>8.8675733422860506E-14</v>
      </c>
      <c r="FG99" s="14">
        <f t="shared" si="101"/>
        <v>1.3509285393066301E-12</v>
      </c>
      <c r="FH99" s="22">
        <f t="shared" si="76"/>
        <v>2.5073107750038623E-12</v>
      </c>
      <c r="FI99" s="62">
        <f t="shared" si="77"/>
        <v>293.33333333333582</v>
      </c>
      <c r="FJ99" s="62">
        <f ca="1">AVERAGE(OFFSET($FI$3,0,0,'Données projet'!$E$16+1,1))-AVERAGE(OFFSET($H$3,0,0,'Données projet'!$E$16+1,1))</f>
        <v>292.57482726862594</v>
      </c>
      <c r="FK99" s="62">
        <f t="shared" si="102"/>
        <v>283.48738729114024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5.9</v>
      </c>
      <c r="FZ99" s="13">
        <f>IF('Données projet'!$A$244&gt;35,FZ98+FY99-GH98,IF(A99&lt;'Données projet'!$A$244,$FW$205^A99,IF(A99='Données projet'!$A$244,'Données projet'!$B$244,FZ98+FY99-GH98)))</f>
        <v>337.40000000000009</v>
      </c>
      <c r="GA99" s="18">
        <f>FZ99*VLOOKUP('Données projet'!$B$17,Paramètres!$A$1:$I$89,3,0)*VLOOKUP('Données projet'!$B$17,Paramètres!$A$1:$I$89,5,0)</f>
        <v>326.33328000000006</v>
      </c>
      <c r="GB99" s="14">
        <f t="shared" si="103"/>
        <v>76.669608914490098</v>
      </c>
      <c r="GC99" s="22">
        <f t="shared" si="79"/>
        <v>701.89669819273695</v>
      </c>
      <c r="GD99" s="62">
        <f t="shared" si="80"/>
        <v>995.23003152607021</v>
      </c>
      <c r="GE99" s="62">
        <f ca="1">AVERAGE(OFFSET($GD$3,0,0,'Données projet'!$E$17+1,1))-AVERAGE(OFFSET($H$3,0,0,'Données projet'!$E$17+1,1))</f>
        <v>562.69380557620775</v>
      </c>
      <c r="GF99" s="62">
        <f t="shared" si="104"/>
        <v>294.45557293177131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5.9</v>
      </c>
      <c r="N100" s="14">
        <f>IF('Données projet'!$A$36&gt;35,N99+M100-V99,IF(A100&lt;'Données projet'!$A$36,$K$205^A100,IF(A100='Données projet'!$A$36,'Données projet'!$B$36,N99+M100-V99)))</f>
        <v>343.30000000000007</v>
      </c>
      <c r="O100" s="14">
        <f>N100*VLOOKUP('Données projet'!$B$9,Paramètres!$A$1:$I$89,3,0)*VLOOKUP('Données projet'!$B$9,Paramètres!$A$1:$I$89,5,0)</f>
        <v>310.61784000000006</v>
      </c>
      <c r="P100" s="14">
        <f t="shared" si="87"/>
        <v>73.397844798859666</v>
      </c>
      <c r="Q100" s="22">
        <f t="shared" si="107"/>
        <v>668.82731769134739</v>
      </c>
      <c r="R100" s="62">
        <f t="shared" si="55"/>
        <v>962.16065102468065</v>
      </c>
      <c r="S100" s="62">
        <f ca="1">AVERAGE(OFFSET($R$3,0,0,'Données projet'!$E$9+1,1))-AVERAGE(OFFSET($H$3,0,0,'Données projet'!$E$9+1,1))</f>
        <v>529.25712986118265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11.333333333333334</v>
      </c>
      <c r="AI100" s="14">
        <f>IF('Données projet'!$A$62&gt;35,AI99+AH100-AQ99,IF(A100&lt;'Données projet'!$A$62,$AF$205^A100,IF(A100='Données projet'!$A$62,'Données projet'!$B$62,AI99+AH100-AQ99)))</f>
        <v>568.33333333333314</v>
      </c>
      <c r="AJ100" s="14">
        <f>AI100*VLOOKUP('Données projet'!$B$10,Paramètres!$A$1:$I$89,3,0)*VLOOKUP('Données projet'!$B$10,Paramètres!$A$1:$I$89,5,0)</f>
        <v>487.62999999999988</v>
      </c>
      <c r="AK100" s="14">
        <f t="shared" si="89"/>
        <v>109.33236859887117</v>
      </c>
      <c r="AL100" s="22">
        <f t="shared" si="58"/>
        <v>1039.7094586430337</v>
      </c>
      <c r="AM100" s="62">
        <f t="shared" si="59"/>
        <v>1333.042791976367</v>
      </c>
      <c r="AN100" s="62">
        <f ca="1">AVERAGE(OFFSET($AM$3,0,0,'Données projet'!$E$10+1,1))-AVERAGE(OFFSET($H$3,0,0,'Données projet'!$E$10+1,1))</f>
        <v>446.86777652265448</v>
      </c>
      <c r="AO100" s="62">
        <f t="shared" si="90"/>
        <v>230.82970731138215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-4.5224624045658861E-14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370.59298168107364</v>
      </c>
      <c r="BJ100" s="62">
        <f t="shared" si="92"/>
        <v>404.61777090709171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-5.6843418860808015E-14</v>
      </c>
      <c r="BZ100" s="14">
        <f>BY100*VLOOKUP('Données projet'!$B$12,Paramètres!$A$1:$I$89,3,0)*VLOOKUP('Données projet'!$B$12,Paramètres!$A$1:$I$89,5,0)</f>
        <v>-4.1677594708744434E-14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344.45199703750711</v>
      </c>
      <c r="CE100" s="62">
        <f t="shared" si="94"/>
        <v>376.41441893222185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2.2737367544323206E-13</v>
      </c>
      <c r="CU100" s="18">
        <f>CT100*VLOOKUP('Données projet'!$B$13,Paramètres!$A$1:$I$89,3,0)*VLOOKUP('Données projet'!$B$13,Paramètres!$A$1:$I$89,5,0)</f>
        <v>1.4897523215040565E-13</v>
      </c>
      <c r="CV100" s="14">
        <f t="shared" si="95"/>
        <v>2.136562777003313E-12</v>
      </c>
      <c r="CW100" s="22">
        <f t="shared" si="67"/>
        <v>3.9806453659427267E-12</v>
      </c>
      <c r="CX100" s="62">
        <f t="shared" si="68"/>
        <v>293.33333333333729</v>
      </c>
      <c r="CY100" s="62">
        <f ca="1">AVERAGE(OFFSET($CX$3,0,0,'Données projet'!$E$13+1,1))-AVERAGE(OFFSET($H$3,0,0,'Données projet'!$E$13+1,1))</f>
        <v>311.53750850588153</v>
      </c>
      <c r="CZ100" s="62">
        <f t="shared" si="96"/>
        <v>304.84379909635476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-1.1368683772161603E-13</v>
      </c>
      <c r="DP100" s="18">
        <f>DO100*VLOOKUP('Données projet'!$B$14,Paramètres!$A$1:$I$89,3,0)*VLOOKUP('Données projet'!$B$14,Paramètres!$A$1:$I$89,5,0)</f>
        <v>-9.2222762759774927E-14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256.19915261735281</v>
      </c>
      <c r="DU100" s="62">
        <f t="shared" si="98"/>
        <v>297.47246687305056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3.5897435897435854</v>
      </c>
      <c r="EJ100" s="13">
        <f>IF('Données projet'!$A$192&gt;35,EJ99+EI100-ER99,IF(A100&lt;'Données projet'!$A$192,$EG$205^A100,IF(A100='Données projet'!$A$192,'Données projet'!$B$192,EJ99+EI100-ER99)))</f>
        <v>247.56410256410257</v>
      </c>
      <c r="EK100" s="18">
        <f>EJ100*VLOOKUP('Données projet'!$B$15,Paramètres!$A$1:$I$89,3,0)*VLOOKUP('Données projet'!$B$15,Paramètres!$A$1:$I$89,5,0)</f>
        <v>235.58199999999999</v>
      </c>
      <c r="EL100" s="14">
        <f t="shared" si="99"/>
        <v>57.487950824806624</v>
      </c>
      <c r="EM100" s="22">
        <f t="shared" si="73"/>
        <v>510.4301643532047</v>
      </c>
      <c r="EN100" s="62">
        <f t="shared" si="74"/>
        <v>803.76349768653802</v>
      </c>
      <c r="EO100" s="62">
        <f ca="1">AVERAGE(OFFSET($EN$3,0,0,'Données projet'!$E$15+1,1))-AVERAGE(OFFSET($H$3,0,0,'Données projet'!$E$15+1,1))</f>
        <v>406.24139966722936</v>
      </c>
      <c r="EP100" s="62">
        <f t="shared" si="100"/>
        <v>295.95724296920577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1.1368683772161603E-13</v>
      </c>
      <c r="FF100" s="18">
        <f>FE100*VLOOKUP('Données projet'!$B$16,Paramètres!$A$1:$I$89,3,0)*VLOOKUP('Données projet'!$B$16,Paramètres!$A$1:$I$89,5,0)</f>
        <v>8.8675733422860506E-14</v>
      </c>
      <c r="FG100" s="14">
        <f t="shared" si="101"/>
        <v>1.3509285393066301E-12</v>
      </c>
      <c r="FH100" s="22">
        <f t="shared" si="76"/>
        <v>2.5073107750038623E-12</v>
      </c>
      <c r="FI100" s="62">
        <f t="shared" si="77"/>
        <v>293.33333333333582</v>
      </c>
      <c r="FJ100" s="62">
        <f ca="1">AVERAGE(OFFSET($FI$3,0,0,'Données projet'!$E$16+1,1))-AVERAGE(OFFSET($H$3,0,0,'Données projet'!$E$16+1,1))</f>
        <v>292.57482726862594</v>
      </c>
      <c r="FK100" s="62">
        <f t="shared" si="102"/>
        <v>283.48738729114024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5.9</v>
      </c>
      <c r="FZ100" s="13">
        <f>IF('Données projet'!$A$244&gt;35,FZ99+FY100-GH99,IF(A100&lt;'Données projet'!$A$244,$FW$205^A100,IF(A100='Données projet'!$A$244,'Données projet'!$B$244,FZ99+FY100-GH99)))</f>
        <v>343.30000000000007</v>
      </c>
      <c r="GA100" s="18">
        <f>FZ100*VLOOKUP('Données projet'!$B$17,Paramètres!$A$1:$I$89,3,0)*VLOOKUP('Données projet'!$B$17,Paramètres!$A$1:$I$89,5,0)</f>
        <v>332.03976000000006</v>
      </c>
      <c r="GB100" s="14">
        <f t="shared" si="103"/>
        <v>77.853049678019573</v>
      </c>
      <c r="GC100" s="22">
        <f t="shared" si="79"/>
        <v>713.89664352255079</v>
      </c>
      <c r="GD100" s="62">
        <f t="shared" si="80"/>
        <v>1007.2299768558842</v>
      </c>
      <c r="GE100" s="62">
        <f ca="1">AVERAGE(OFFSET($GD$3,0,0,'Données projet'!$E$17+1,1))-AVERAGE(OFFSET($H$3,0,0,'Données projet'!$E$17+1,1))</f>
        <v>562.69380557620775</v>
      </c>
      <c r="GF100" s="62">
        <f t="shared" si="104"/>
        <v>294.45557293177131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5.9</v>
      </c>
      <c r="N101" s="14">
        <f>IF('Données projet'!$A$36&gt;35,N100+M101-V100,IF(A101&lt;'Données projet'!$A$36,$K$205^A101,IF(A101='Données projet'!$A$36,'Données projet'!$B$36,N100+M101-V100)))</f>
        <v>349.20000000000005</v>
      </c>
      <c r="O101" s="14">
        <f>N101*VLOOKUP('Données projet'!$B$9,Paramètres!$A$1:$I$89,3,0)*VLOOKUP('Données projet'!$B$9,Paramètres!$A$1:$I$89,5,0)</f>
        <v>315.95616000000001</v>
      </c>
      <c r="P101" s="14">
        <f t="shared" si="87"/>
        <v>74.511332350301046</v>
      </c>
      <c r="Q101" s="22">
        <f t="shared" si="107"/>
        <v>680.06421584344105</v>
      </c>
      <c r="R101" s="62">
        <f t="shared" si="55"/>
        <v>973.39754917677442</v>
      </c>
      <c r="S101" s="62">
        <f ca="1">AVERAGE(OFFSET($R$3,0,0,'Données projet'!$E$9+1,1))-AVERAGE(OFFSET($H$3,0,0,'Données projet'!$E$9+1,1))</f>
        <v>529.25712986118265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11.333333333333334</v>
      </c>
      <c r="AI101" s="14">
        <f>IF('Données projet'!$A$62&gt;35,AI100+AH101-AQ100,IF(A101&lt;'Données projet'!$A$62,$AF$205^A101,IF(A101='Données projet'!$A$62,'Données projet'!$B$62,AI100+AH101-AQ100)))</f>
        <v>579.66666666666652</v>
      </c>
      <c r="AJ101" s="14">
        <f>AI101*VLOOKUP('Données projet'!$B$10,Paramètres!$A$1:$I$89,3,0)*VLOOKUP('Données projet'!$B$10,Paramètres!$A$1:$I$89,5,0)</f>
        <v>497.35399999999993</v>
      </c>
      <c r="AK101" s="14">
        <f t="shared" si="89"/>
        <v>111.25660477134088</v>
      </c>
      <c r="AL101" s="22">
        <f t="shared" si="58"/>
        <v>1059.9968033100852</v>
      </c>
      <c r="AM101" s="62">
        <f t="shared" si="59"/>
        <v>1353.3301366434184</v>
      </c>
      <c r="AN101" s="62">
        <f ca="1">AVERAGE(OFFSET($AM$3,0,0,'Données projet'!$E$10+1,1))-AVERAGE(OFFSET($H$3,0,0,'Données projet'!$E$10+1,1))</f>
        <v>446.86777652265448</v>
      </c>
      <c r="AO101" s="62">
        <f t="shared" si="90"/>
        <v>230.82970731138215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-4.5224624045658861E-14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370.59298168107364</v>
      </c>
      <c r="BJ101" s="62">
        <f t="shared" si="92"/>
        <v>404.61777090709171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-5.6843418860808015E-14</v>
      </c>
      <c r="BZ101" s="14">
        <f>BY101*VLOOKUP('Données projet'!$B$12,Paramètres!$A$1:$I$89,3,0)*VLOOKUP('Données projet'!$B$12,Paramètres!$A$1:$I$89,5,0)</f>
        <v>-4.1677594708744434E-14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344.45199703750711</v>
      </c>
      <c r="CE101" s="62">
        <f t="shared" si="94"/>
        <v>376.41441893222185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2.2737367544323206E-13</v>
      </c>
      <c r="CU101" s="18">
        <f>CT101*VLOOKUP('Données projet'!$B$13,Paramètres!$A$1:$I$89,3,0)*VLOOKUP('Données projet'!$B$13,Paramètres!$A$1:$I$89,5,0)</f>
        <v>1.4897523215040565E-13</v>
      </c>
      <c r="CV101" s="14">
        <f t="shared" si="95"/>
        <v>2.136562777003313E-12</v>
      </c>
      <c r="CW101" s="22">
        <f t="shared" si="67"/>
        <v>3.9806453659427267E-12</v>
      </c>
      <c r="CX101" s="62">
        <f t="shared" si="68"/>
        <v>293.33333333333729</v>
      </c>
      <c r="CY101" s="62">
        <f ca="1">AVERAGE(OFFSET($CX$3,0,0,'Données projet'!$E$13+1,1))-AVERAGE(OFFSET($H$3,0,0,'Données projet'!$E$13+1,1))</f>
        <v>311.53750850588153</v>
      </c>
      <c r="CZ101" s="62">
        <f t="shared" si="96"/>
        <v>304.84379909635476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-1.1368683772161603E-13</v>
      </c>
      <c r="DP101" s="18">
        <f>DO101*VLOOKUP('Données projet'!$B$14,Paramètres!$A$1:$I$89,3,0)*VLOOKUP('Données projet'!$B$14,Paramètres!$A$1:$I$89,5,0)</f>
        <v>-9.2222762759774927E-14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256.19915261735281</v>
      </c>
      <c r="DU101" s="62">
        <f t="shared" si="98"/>
        <v>297.47246687305056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3.5897435897435854</v>
      </c>
      <c r="EJ101" s="13">
        <f>IF('Données projet'!$A$192&gt;35,EJ100+EI101-ER100,IF(A101&lt;'Données projet'!$A$192,$EG$205^A101,IF(A101='Données projet'!$A$192,'Données projet'!$B$192,EJ100+EI101-ER100)))</f>
        <v>251.15384615384616</v>
      </c>
      <c r="EK101" s="18">
        <f>EJ101*VLOOKUP('Données projet'!$B$15,Paramètres!$A$1:$I$89,3,0)*VLOOKUP('Données projet'!$B$15,Paramètres!$A$1:$I$89,5,0)</f>
        <v>238.99799999999999</v>
      </c>
      <c r="EL101" s="14">
        <f t="shared" si="99"/>
        <v>58.223892835547517</v>
      </c>
      <c r="EM101" s="22">
        <f t="shared" si="73"/>
        <v>517.66146335524525</v>
      </c>
      <c r="EN101" s="62">
        <f t="shared" si="74"/>
        <v>810.99479668857862</v>
      </c>
      <c r="EO101" s="62">
        <f ca="1">AVERAGE(OFFSET($EN$3,0,0,'Données projet'!$E$15+1,1))-AVERAGE(OFFSET($H$3,0,0,'Données projet'!$E$15+1,1))</f>
        <v>406.24139966722936</v>
      </c>
      <c r="EP101" s="62">
        <f t="shared" si="100"/>
        <v>295.95724296920577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1.1368683772161603E-13</v>
      </c>
      <c r="FF101" s="18">
        <f>FE101*VLOOKUP('Données projet'!$B$16,Paramètres!$A$1:$I$89,3,0)*VLOOKUP('Données projet'!$B$16,Paramètres!$A$1:$I$89,5,0)</f>
        <v>8.8675733422860506E-14</v>
      </c>
      <c r="FG101" s="14">
        <f t="shared" si="101"/>
        <v>1.3509285393066301E-12</v>
      </c>
      <c r="FH101" s="22">
        <f t="shared" si="76"/>
        <v>2.5073107750038623E-12</v>
      </c>
      <c r="FI101" s="62">
        <f t="shared" si="77"/>
        <v>293.33333333333582</v>
      </c>
      <c r="FJ101" s="62">
        <f ca="1">AVERAGE(OFFSET($FI$3,0,0,'Données projet'!$E$16+1,1))-AVERAGE(OFFSET($H$3,0,0,'Données projet'!$E$16+1,1))</f>
        <v>292.57482726862594</v>
      </c>
      <c r="FK101" s="62">
        <f t="shared" si="102"/>
        <v>283.48738729114024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5.9</v>
      </c>
      <c r="FZ101" s="13">
        <f>IF('Données projet'!$A$244&gt;35,FZ100+FY101-GH100,IF(A101&lt;'Données projet'!$A$244,$FW$205^A101,IF(A101='Données projet'!$A$244,'Données projet'!$B$244,FZ100+FY101-GH100)))</f>
        <v>349.20000000000005</v>
      </c>
      <c r="GA101" s="18">
        <f>FZ101*VLOOKUP('Données projet'!$B$17,Paramètres!$A$1:$I$89,3,0)*VLOOKUP('Données projet'!$B$17,Paramètres!$A$1:$I$89,5,0)</f>
        <v>337.74624000000006</v>
      </c>
      <c r="GB101" s="14">
        <f t="shared" si="103"/>
        <v>79.034125251774896</v>
      </c>
      <c r="GC101" s="22">
        <f t="shared" si="79"/>
        <v>725.89246948017455</v>
      </c>
      <c r="GD101" s="62">
        <f t="shared" si="80"/>
        <v>1019.2258028135079</v>
      </c>
      <c r="GE101" s="62">
        <f ca="1">AVERAGE(OFFSET($GD$3,0,0,'Données projet'!$E$17+1,1))-AVERAGE(OFFSET($H$3,0,0,'Données projet'!$E$17+1,1))</f>
        <v>562.69380557620775</v>
      </c>
      <c r="GF101" s="62">
        <f t="shared" si="104"/>
        <v>294.45557293177131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5.9</v>
      </c>
      <c r="N102" s="14">
        <f>IF('Données projet'!$A$36&gt;35,N101+M102-V101,IF(A102&lt;'Données projet'!$A$36,$K$205^A102,IF(A102='Données projet'!$A$36,'Données projet'!$B$36,N101+M102-V101)))</f>
        <v>355.1</v>
      </c>
      <c r="O102" s="14">
        <f>N102*VLOOKUP('Données projet'!$B$9,Paramètres!$A$1:$I$89,3,0)*VLOOKUP('Données projet'!$B$9,Paramètres!$A$1:$I$89,5,0)</f>
        <v>321.29448000000002</v>
      </c>
      <c r="P102" s="14">
        <f t="shared" si="87"/>
        <v>75.622632084792471</v>
      </c>
      <c r="Q102" s="22">
        <f t="shared" si="107"/>
        <v>691.29730354768026</v>
      </c>
      <c r="R102" s="62">
        <f t="shared" si="55"/>
        <v>984.63063688101352</v>
      </c>
      <c r="S102" s="62">
        <f ca="1">AVERAGE(OFFSET($R$3,0,0,'Données projet'!$E$9+1,1))-AVERAGE(OFFSET($H$3,0,0,'Données projet'!$E$9+1,1))</f>
        <v>529.25712986118265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>
        <f>VLOOKUP(A102,'Données projet'!$A$61:$I$81,2,0)</f>
        <v>591</v>
      </c>
      <c r="AG102" s="13">
        <f>VLOOKUP(A102,'Données projet'!$A$61:$I$81,9,0)</f>
        <v>11.333333333333334</v>
      </c>
      <c r="AH102" s="13">
        <f t="array" ref="AH102">INDEX(AG:AG,MIN(IF(ISNUMBER(AG102:AG298),ROW(AG102:AG298),"")))</f>
        <v>11.333333333333334</v>
      </c>
      <c r="AI102" s="14">
        <f>IF('Données projet'!$A$62&gt;35,AI101+AH102-AQ101,IF(A102&lt;'Données projet'!$A$62,$AF$205^A102,IF(A102='Données projet'!$A$62,'Données projet'!$B$62,AI101+AH102-AQ101)))</f>
        <v>590.99999999999989</v>
      </c>
      <c r="AJ102" s="14">
        <f>AI102*VLOOKUP('Données projet'!$B$10,Paramètres!$A$1:$I$89,3,0)*VLOOKUP('Données projet'!$B$10,Paramètres!$A$1:$I$89,5,0)</f>
        <v>507.07799999999997</v>
      </c>
      <c r="AK102" s="14">
        <f t="shared" si="89"/>
        <v>113.17646646969149</v>
      </c>
      <c r="AL102" s="22">
        <f t="shared" si="58"/>
        <v>1080.2765291013793</v>
      </c>
      <c r="AM102" s="62">
        <f t="shared" si="59"/>
        <v>1373.6098624347126</v>
      </c>
      <c r="AN102" s="62">
        <f ca="1">AVERAGE(OFFSET($AM$3,0,0,'Données projet'!$E$10+1,1))-AVERAGE(OFFSET($H$3,0,0,'Données projet'!$E$10+1,1))</f>
        <v>446.86777652265448</v>
      </c>
      <c r="AO102" s="62">
        <f t="shared" si="90"/>
        <v>230.82970731138215</v>
      </c>
      <c r="AP102" s="16">
        <f>IF(ISNA(VLOOKUP(A102,'Données projet'!$A$61:$I$81,3,0)),0,VLOOKUP(A102,'Données projet'!$A$61:$I$81,3,0))</f>
        <v>10</v>
      </c>
      <c r="AQ102" s="16">
        <f>IF(ISNA(VLOOKUP(A102,'Données projet'!$A$61:$I$81,4,0)),0,VLOOKUP(A102,'Données projet'!$A$61:$I$81,4,0))</f>
        <v>591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-4.5224624045658861E-14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370.59298168107364</v>
      </c>
      <c r="BJ102" s="62">
        <f t="shared" si="92"/>
        <v>404.61777090709171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-5.6843418860808015E-14</v>
      </c>
      <c r="BZ102" s="14">
        <f>BY102*VLOOKUP('Données projet'!$B$12,Paramètres!$A$1:$I$89,3,0)*VLOOKUP('Données projet'!$B$12,Paramètres!$A$1:$I$89,5,0)</f>
        <v>-4.1677594708744434E-14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344.45199703750711</v>
      </c>
      <c r="CE102" s="62">
        <f t="shared" si="94"/>
        <v>376.41441893222185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2.2737367544323206E-13</v>
      </c>
      <c r="CU102" s="18">
        <f>CT102*VLOOKUP('Données projet'!$B$13,Paramètres!$A$1:$I$89,3,0)*VLOOKUP('Données projet'!$B$13,Paramètres!$A$1:$I$89,5,0)</f>
        <v>1.4897523215040565E-13</v>
      </c>
      <c r="CV102" s="14">
        <f t="shared" si="95"/>
        <v>2.136562777003313E-12</v>
      </c>
      <c r="CW102" s="22">
        <f t="shared" si="67"/>
        <v>3.9806453659427267E-12</v>
      </c>
      <c r="CX102" s="62">
        <f t="shared" si="68"/>
        <v>293.33333333333729</v>
      </c>
      <c r="CY102" s="62">
        <f ca="1">AVERAGE(OFFSET($CX$3,0,0,'Données projet'!$E$13+1,1))-AVERAGE(OFFSET($H$3,0,0,'Données projet'!$E$13+1,1))</f>
        <v>311.53750850588153</v>
      </c>
      <c r="CZ102" s="62">
        <f t="shared" si="96"/>
        <v>304.84379909635476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-1.1368683772161603E-13</v>
      </c>
      <c r="DP102" s="18">
        <f>DO102*VLOOKUP('Données projet'!$B$14,Paramètres!$A$1:$I$89,3,0)*VLOOKUP('Données projet'!$B$14,Paramètres!$A$1:$I$89,5,0)</f>
        <v>-9.2222762759774927E-14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256.19915261735281</v>
      </c>
      <c r="DU102" s="62">
        <f t="shared" si="98"/>
        <v>297.47246687305056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3.5897435897435854</v>
      </c>
      <c r="EJ102" s="13">
        <f>IF('Données projet'!$A$192&gt;35,EJ101+EI102-ER101,IF(A102&lt;'Données projet'!$A$192,$EG$205^A102,IF(A102='Données projet'!$A$192,'Données projet'!$B$192,EJ101+EI102-ER101)))</f>
        <v>254.74358974358975</v>
      </c>
      <c r="EK102" s="18">
        <f>EJ102*VLOOKUP('Données projet'!$B$15,Paramètres!$A$1:$I$89,3,0)*VLOOKUP('Données projet'!$B$15,Paramètres!$A$1:$I$89,5,0)</f>
        <v>242.41400000000002</v>
      </c>
      <c r="EL102" s="14">
        <f t="shared" si="99"/>
        <v>58.958611429073422</v>
      </c>
      <c r="EM102" s="22">
        <f t="shared" si="73"/>
        <v>524.89063157230294</v>
      </c>
      <c r="EN102" s="62">
        <f t="shared" si="74"/>
        <v>818.22396490563619</v>
      </c>
      <c r="EO102" s="62">
        <f ca="1">AVERAGE(OFFSET($EN$3,0,0,'Données projet'!$E$15+1,1))-AVERAGE(OFFSET($H$3,0,0,'Données projet'!$E$15+1,1))</f>
        <v>406.24139966722936</v>
      </c>
      <c r="EP102" s="62">
        <f t="shared" si="100"/>
        <v>295.95724296920577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1.1368683772161603E-13</v>
      </c>
      <c r="FF102" s="18">
        <f>FE102*VLOOKUP('Données projet'!$B$16,Paramètres!$A$1:$I$89,3,0)*VLOOKUP('Données projet'!$B$16,Paramètres!$A$1:$I$89,5,0)</f>
        <v>8.8675733422860506E-14</v>
      </c>
      <c r="FG102" s="14">
        <f t="shared" si="101"/>
        <v>1.3509285393066301E-12</v>
      </c>
      <c r="FH102" s="22">
        <f t="shared" si="76"/>
        <v>2.5073107750038623E-12</v>
      </c>
      <c r="FI102" s="62">
        <f t="shared" si="77"/>
        <v>293.33333333333582</v>
      </c>
      <c r="FJ102" s="62">
        <f ca="1">AVERAGE(OFFSET($FI$3,0,0,'Données projet'!$E$16+1,1))-AVERAGE(OFFSET($H$3,0,0,'Données projet'!$E$16+1,1))</f>
        <v>292.57482726862594</v>
      </c>
      <c r="FK102" s="62">
        <f t="shared" si="102"/>
        <v>283.48738729114024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5.9</v>
      </c>
      <c r="FZ102" s="13">
        <f>IF('Données projet'!$A$244&gt;35,FZ101+FY102-GH101,IF(A102&lt;'Données projet'!$A$244,$FW$205^A102,IF(A102='Données projet'!$A$244,'Données projet'!$B$244,FZ101+FY102-GH101)))</f>
        <v>355.1</v>
      </c>
      <c r="GA102" s="18">
        <f>FZ102*VLOOKUP('Données projet'!$B$17,Paramètres!$A$1:$I$89,3,0)*VLOOKUP('Données projet'!$B$17,Paramètres!$A$1:$I$89,5,0)</f>
        <v>343.45272</v>
      </c>
      <c r="GB102" s="14">
        <f t="shared" si="103"/>
        <v>80.212880209411935</v>
      </c>
      <c r="GC102" s="22">
        <f t="shared" si="79"/>
        <v>737.88425369805907</v>
      </c>
      <c r="GD102" s="62">
        <f t="shared" si="80"/>
        <v>1031.2175870313924</v>
      </c>
      <c r="GE102" s="62">
        <f ca="1">AVERAGE(OFFSET($GD$3,0,0,'Données projet'!$E$17+1,1))-AVERAGE(OFFSET($H$3,0,0,'Données projet'!$E$17+1,1))</f>
        <v>562.69380557620775</v>
      </c>
      <c r="GF102" s="62">
        <f t="shared" si="104"/>
        <v>294.45557293177131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361</v>
      </c>
      <c r="L103" s="13">
        <f>VLOOKUP(A103,'Données projet'!$A$35:$I$55,9,0)</f>
        <v>5.9</v>
      </c>
      <c r="M103" s="13">
        <f t="array" ref="M103">INDEX(L:L,MIN(IF(ISNUMBER(L103:L299),ROW(L103:L299),"")))</f>
        <v>5.9</v>
      </c>
      <c r="N103" s="14">
        <f>IF('Données projet'!$A$36&gt;35,N102+M103-V102,IF(A103&lt;'Données projet'!$A$36,$K$205^A103,IF(A103='Données projet'!$A$36,'Données projet'!$B$36,N102+M103-V102)))</f>
        <v>361</v>
      </c>
      <c r="O103" s="14">
        <f>N103*VLOOKUP('Données projet'!$B$9,Paramètres!$A$1:$I$89,3,0)*VLOOKUP('Données projet'!$B$9,Paramètres!$A$1:$I$89,5,0)</f>
        <v>326.63280000000003</v>
      </c>
      <c r="P103" s="14">
        <f t="shared" si="87"/>
        <v>76.731784548754845</v>
      </c>
      <c r="Q103" s="22">
        <f t="shared" si="107"/>
        <v>702.52665142241483</v>
      </c>
      <c r="R103" s="62">
        <f t="shared" si="55"/>
        <v>995.8599847557482</v>
      </c>
      <c r="S103" s="62">
        <f ca="1">AVERAGE(OFFSET($R$3,0,0,'Données projet'!$E$9+1,1))-AVERAGE(OFFSET($H$3,0,0,'Données projet'!$E$9+1,1))</f>
        <v>529.25712986118265</v>
      </c>
      <c r="T103" s="62">
        <f t="shared" si="88"/>
        <v>278.21741231699929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-9.7543306765146564E-14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446.86777652265448</v>
      </c>
      <c r="AO103" s="62">
        <f t="shared" si="90"/>
        <v>230.82970731138215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-4.5224624045658861E-14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370.59298168107364</v>
      </c>
      <c r="BJ103" s="62">
        <f t="shared" si="92"/>
        <v>404.61777090709171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-5.6843418860808015E-14</v>
      </c>
      <c r="BZ103" s="14">
        <f>BY103*VLOOKUP('Données projet'!$B$12,Paramètres!$A$1:$I$89,3,0)*VLOOKUP('Données projet'!$B$12,Paramètres!$A$1:$I$89,5,0)</f>
        <v>-4.1677594708744434E-14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344.45199703750711</v>
      </c>
      <c r="CE103" s="62">
        <f t="shared" si="94"/>
        <v>376.41441893222185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2.2737367544323206E-13</v>
      </c>
      <c r="CU103" s="18">
        <f>CT103*VLOOKUP('Données projet'!$B$13,Paramètres!$A$1:$I$89,3,0)*VLOOKUP('Données projet'!$B$13,Paramètres!$A$1:$I$89,5,0)</f>
        <v>1.4897523215040565E-13</v>
      </c>
      <c r="CV103" s="14">
        <f t="shared" si="95"/>
        <v>2.136562777003313E-12</v>
      </c>
      <c r="CW103" s="22">
        <f t="shared" si="67"/>
        <v>3.9806453659427267E-12</v>
      </c>
      <c r="CX103" s="62">
        <f t="shared" si="68"/>
        <v>293.33333333333729</v>
      </c>
      <c r="CY103" s="62">
        <f ca="1">AVERAGE(OFFSET($CX$3,0,0,'Données projet'!$E$13+1,1))-AVERAGE(OFFSET($H$3,0,0,'Données projet'!$E$13+1,1))</f>
        <v>311.53750850588153</v>
      </c>
      <c r="CZ103" s="62">
        <f t="shared" si="96"/>
        <v>304.84379909635476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-1.1368683772161603E-13</v>
      </c>
      <c r="DP103" s="18">
        <f>DO103*VLOOKUP('Données projet'!$B$14,Paramètres!$A$1:$I$89,3,0)*VLOOKUP('Données projet'!$B$14,Paramètres!$A$1:$I$89,5,0)</f>
        <v>-9.2222762759774927E-14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256.19915261735281</v>
      </c>
      <c r="DU103" s="62">
        <f t="shared" si="98"/>
        <v>297.47246687305056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258.33333333333331</v>
      </c>
      <c r="EH103" s="13">
        <f>VLOOKUP(A103,'Données projet'!$A$191:$I$211,9,0)</f>
        <v>3.5897435897435854</v>
      </c>
      <c r="EI103" s="13">
        <f t="array" ref="EI103">INDEX(EH:EH,MIN(IF(ISNUMBER(EH103:EH299),ROW(EH103:EH299),"")))</f>
        <v>3.5897435897435854</v>
      </c>
      <c r="EJ103" s="13">
        <f>IF('Données projet'!$A$192&gt;35,EJ102+EI103-ER102,IF(A103&lt;'Données projet'!$A$192,$EG$205^A103,IF(A103='Données projet'!$A$192,'Données projet'!$B$192,EJ102+EI103-ER102)))</f>
        <v>258.33333333333331</v>
      </c>
      <c r="EK103" s="18">
        <f>EJ103*VLOOKUP('Données projet'!$B$15,Paramètres!$A$1:$I$89,3,0)*VLOOKUP('Données projet'!$B$15,Paramètres!$A$1:$I$89,5,0)</f>
        <v>245.82999999999998</v>
      </c>
      <c r="EL103" s="14">
        <f t="shared" si="99"/>
        <v>59.692125837514034</v>
      </c>
      <c r="EM103" s="22">
        <f t="shared" si="73"/>
        <v>532.11770250033692</v>
      </c>
      <c r="EN103" s="62">
        <f t="shared" si="74"/>
        <v>825.45103583367018</v>
      </c>
      <c r="EO103" s="62">
        <f ca="1">AVERAGE(OFFSET($EN$3,0,0,'Données projet'!$E$15+1,1))-AVERAGE(OFFSET($H$3,0,0,'Données projet'!$E$15+1,1))</f>
        <v>406.24139966722936</v>
      </c>
      <c r="EP103" s="62">
        <f t="shared" si="100"/>
        <v>295.95724296920577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1.1368683772161603E-13</v>
      </c>
      <c r="FF103" s="18">
        <f>FE103*VLOOKUP('Données projet'!$B$16,Paramètres!$A$1:$I$89,3,0)*VLOOKUP('Données projet'!$B$16,Paramètres!$A$1:$I$89,5,0)</f>
        <v>8.8675733422860506E-14</v>
      </c>
      <c r="FG103" s="14">
        <f t="shared" si="101"/>
        <v>1.3509285393066301E-12</v>
      </c>
      <c r="FH103" s="22">
        <f t="shared" si="76"/>
        <v>2.5073107750038623E-12</v>
      </c>
      <c r="FI103" s="62">
        <f t="shared" si="77"/>
        <v>293.33333333333582</v>
      </c>
      <c r="FJ103" s="62">
        <f ca="1">AVERAGE(OFFSET($FI$3,0,0,'Données projet'!$E$16+1,1))-AVERAGE(OFFSET($H$3,0,0,'Données projet'!$E$16+1,1))</f>
        <v>292.57482726862594</v>
      </c>
      <c r="FK103" s="62">
        <f t="shared" si="102"/>
        <v>283.48738729114024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361</v>
      </c>
      <c r="FX103" s="13">
        <f>VLOOKUP(A103,'Données projet'!$A$243:$I$263,9,0)</f>
        <v>5.9</v>
      </c>
      <c r="FY103" s="13">
        <f t="array" ref="FY103">INDEX(FX:FX,MIN(IF(ISNUMBER(FX103:FX299),ROW(FX103:FX299),"")))</f>
        <v>5.9</v>
      </c>
      <c r="FZ103" s="13">
        <f>IF('Données projet'!$A$244&gt;35,FZ102+FY103-GH102,IF(A103&lt;'Données projet'!$A$244,$FW$205^A103,IF(A103='Données projet'!$A$244,'Données projet'!$B$244,FZ102+FY103-GH102)))</f>
        <v>361</v>
      </c>
      <c r="GA103" s="18">
        <f>FZ103*VLOOKUP('Données projet'!$B$17,Paramètres!$A$1:$I$89,3,0)*VLOOKUP('Données projet'!$B$17,Paramètres!$A$1:$I$89,5,0)</f>
        <v>349.1592</v>
      </c>
      <c r="GB103" s="14">
        <f t="shared" si="103"/>
        <v>81.389357558494837</v>
      </c>
      <c r="GC103" s="22">
        <f t="shared" si="79"/>
        <v>749.87207108104519</v>
      </c>
      <c r="GD103" s="62">
        <f t="shared" si="80"/>
        <v>1043.2054044143786</v>
      </c>
      <c r="GE103" s="62">
        <f ca="1">AVERAGE(OFFSET($GD$3,0,0,'Données projet'!$E$17+1,1))-AVERAGE(OFFSET($H$3,0,0,'Données projet'!$E$17+1,1))</f>
        <v>562.69380557620775</v>
      </c>
      <c r="GF103" s="62">
        <f t="shared" si="104"/>
        <v>294.45557293177131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5.2</v>
      </c>
      <c r="N104" s="14">
        <f>IF('Données projet'!$A$36&gt;35,N103+M104-V103,IF(A104&lt;'Données projet'!$A$36,$K$205^A104,IF(A104='Données projet'!$A$36,'Données projet'!$B$36,N103+M104-V103)))</f>
        <v>366.2</v>
      </c>
      <c r="O104" s="14">
        <f>N104*VLOOKUP('Données projet'!$B$9,Paramètres!$A$1:$I$89,3,0)*VLOOKUP('Données projet'!$B$9,Paramètres!$A$1:$I$89,5,0)</f>
        <v>331.33776</v>
      </c>
      <c r="P104" s="14">
        <f t="shared" si="87"/>
        <v>77.707593612890619</v>
      </c>
      <c r="Q104" s="22">
        <f t="shared" si="107"/>
        <v>712.42065754245107</v>
      </c>
      <c r="R104" s="62">
        <f t="shared" si="55"/>
        <v>1005.7539908757844</v>
      </c>
      <c r="S104" s="62">
        <f ca="1">AVERAGE(OFFSET($R$3,0,0,'Données projet'!$E$9+1,1))-AVERAGE(OFFSET($H$3,0,0,'Données projet'!$E$9+1,1))</f>
        <v>529.25712986118265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-9.7543306765146564E-14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446.86777652265448</v>
      </c>
      <c r="AO104" s="62">
        <f t="shared" si="90"/>
        <v>230.82970731138215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-4.5224624045658861E-14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370.59298168107364</v>
      </c>
      <c r="BJ104" s="62">
        <f t="shared" si="92"/>
        <v>404.61777090709171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-5.6843418860808015E-14</v>
      </c>
      <c r="BZ104" s="14">
        <f>BY104*VLOOKUP('Données projet'!$B$12,Paramètres!$A$1:$I$89,3,0)*VLOOKUP('Données projet'!$B$12,Paramètres!$A$1:$I$89,5,0)</f>
        <v>-4.1677594708744434E-14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344.45199703750711</v>
      </c>
      <c r="CE104" s="62">
        <f t="shared" si="94"/>
        <v>376.41441893222185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2.2737367544323206E-13</v>
      </c>
      <c r="CU104" s="18">
        <f>CT104*VLOOKUP('Données projet'!$B$13,Paramètres!$A$1:$I$89,3,0)*VLOOKUP('Données projet'!$B$13,Paramètres!$A$1:$I$89,5,0)</f>
        <v>1.4897523215040565E-13</v>
      </c>
      <c r="CV104" s="14">
        <f t="shared" si="95"/>
        <v>2.136562777003313E-12</v>
      </c>
      <c r="CW104" s="22">
        <f t="shared" si="67"/>
        <v>3.9806453659427267E-12</v>
      </c>
      <c r="CX104" s="62">
        <f t="shared" si="68"/>
        <v>293.33333333333729</v>
      </c>
      <c r="CY104" s="62">
        <f ca="1">AVERAGE(OFFSET($CX$3,0,0,'Données projet'!$E$13+1,1))-AVERAGE(OFFSET($H$3,0,0,'Données projet'!$E$13+1,1))</f>
        <v>311.53750850588153</v>
      </c>
      <c r="CZ104" s="62">
        <f t="shared" si="96"/>
        <v>304.84379909635476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-1.1368683772161603E-13</v>
      </c>
      <c r="DP104" s="18">
        <f>DO104*VLOOKUP('Données projet'!$B$14,Paramètres!$A$1:$I$89,3,0)*VLOOKUP('Données projet'!$B$14,Paramètres!$A$1:$I$89,5,0)</f>
        <v>-9.2222762759774927E-14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256.19915261735281</v>
      </c>
      <c r="DU104" s="62">
        <f t="shared" si="98"/>
        <v>297.47246687305056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3.3974358974359005</v>
      </c>
      <c r="EJ104" s="13">
        <f>IF('Données projet'!$A$192&gt;35,EJ103+EI104-ER103,IF(A104&lt;'Données projet'!$A$192,$EG$205^A104,IF(A104='Données projet'!$A$192,'Données projet'!$B$192,EJ103+EI104-ER103)))</f>
        <v>261.73076923076923</v>
      </c>
      <c r="EK104" s="18">
        <f>EJ104*VLOOKUP('Données projet'!$B$15,Paramètres!$A$1:$I$89,3,0)*VLOOKUP('Données projet'!$B$15,Paramètres!$A$1:$I$89,5,0)</f>
        <v>249.06300000000002</v>
      </c>
      <c r="EL104" s="14">
        <f t="shared" si="99"/>
        <v>60.385252576343511</v>
      </c>
      <c r="EM104" s="22">
        <f t="shared" si="73"/>
        <v>538.95570657046494</v>
      </c>
      <c r="EN104" s="62">
        <f t="shared" si="74"/>
        <v>832.28903990379831</v>
      </c>
      <c r="EO104" s="62">
        <f ca="1">AVERAGE(OFFSET($EN$3,0,0,'Données projet'!$E$15+1,1))-AVERAGE(OFFSET($H$3,0,0,'Données projet'!$E$15+1,1))</f>
        <v>406.24139966722936</v>
      </c>
      <c r="EP104" s="62">
        <f t="shared" si="100"/>
        <v>295.95724296920577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1.1368683772161603E-13</v>
      </c>
      <c r="FF104" s="18">
        <f>FE104*VLOOKUP('Données projet'!$B$16,Paramètres!$A$1:$I$89,3,0)*VLOOKUP('Données projet'!$B$16,Paramètres!$A$1:$I$89,5,0)</f>
        <v>8.8675733422860506E-14</v>
      </c>
      <c r="FG104" s="14">
        <f t="shared" si="101"/>
        <v>1.3509285393066301E-12</v>
      </c>
      <c r="FH104" s="22">
        <f t="shared" si="76"/>
        <v>2.5073107750038623E-12</v>
      </c>
      <c r="FI104" s="62">
        <f t="shared" si="77"/>
        <v>293.33333333333582</v>
      </c>
      <c r="FJ104" s="62">
        <f ca="1">AVERAGE(OFFSET($FI$3,0,0,'Données projet'!$E$16+1,1))-AVERAGE(OFFSET($H$3,0,0,'Données projet'!$E$16+1,1))</f>
        <v>292.57482726862594</v>
      </c>
      <c r="FK104" s="62">
        <f t="shared" si="102"/>
        <v>283.48738729114024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5.2</v>
      </c>
      <c r="FZ104" s="13">
        <f>IF('Données projet'!$A$244&gt;35,FZ103+FY104-GH103,IF(A104&lt;'Données projet'!$A$244,$FW$205^A104,IF(A104='Données projet'!$A$244,'Données projet'!$B$244,FZ103+FY104-GH103)))</f>
        <v>366.2</v>
      </c>
      <c r="GA104" s="18">
        <f>FZ104*VLOOKUP('Données projet'!$B$17,Paramètres!$A$1:$I$89,3,0)*VLOOKUP('Données projet'!$B$17,Paramètres!$A$1:$I$89,5,0)</f>
        <v>354.18863999999996</v>
      </c>
      <c r="GB104" s="14">
        <f t="shared" si="103"/>
        <v>82.424397643862633</v>
      </c>
      <c r="GC104" s="22">
        <f t="shared" si="79"/>
        <v>760.43437389639394</v>
      </c>
      <c r="GD104" s="62">
        <f t="shared" si="80"/>
        <v>1053.7677072297272</v>
      </c>
      <c r="GE104" s="62">
        <f ca="1">AVERAGE(OFFSET($GD$3,0,0,'Données projet'!$E$17+1,1))-AVERAGE(OFFSET($H$3,0,0,'Données projet'!$E$17+1,1))</f>
        <v>562.69380557620775</v>
      </c>
      <c r="GF104" s="62">
        <f t="shared" si="104"/>
        <v>294.45557293177131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5.2</v>
      </c>
      <c r="N105" s="14">
        <f>IF('Données projet'!$A$36&gt;35,N104+M105-V104,IF(A105&lt;'Données projet'!$A$36,$K$205^A105,IF(A105='Données projet'!$A$36,'Données projet'!$B$36,N104+M105-V104)))</f>
        <v>371.4</v>
      </c>
      <c r="O105" s="14">
        <f>N105*VLOOKUP('Données projet'!$B$9,Paramètres!$A$1:$I$89,3,0)*VLOOKUP('Données projet'!$B$9,Paramètres!$A$1:$I$89,5,0)</f>
        <v>336.04271999999997</v>
      </c>
      <c r="P105" s="14">
        <f t="shared" si="87"/>
        <v>78.681791069086316</v>
      </c>
      <c r="Q105" s="22">
        <f t="shared" si="107"/>
        <v>722.31185677865858</v>
      </c>
      <c r="R105" s="62">
        <f t="shared" si="55"/>
        <v>1015.645190111992</v>
      </c>
      <c r="S105" s="62">
        <f ca="1">AVERAGE(OFFSET($R$3,0,0,'Données projet'!$E$9+1,1))-AVERAGE(OFFSET($H$3,0,0,'Données projet'!$E$9+1,1))</f>
        <v>529.25712986118265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-9.7543306765146564E-14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446.86777652265448</v>
      </c>
      <c r="AO105" s="62">
        <f t="shared" si="90"/>
        <v>230.82970731138215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-4.5224624045658861E-14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370.59298168107364</v>
      </c>
      <c r="BJ105" s="62">
        <f t="shared" si="92"/>
        <v>404.61777090709171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-5.6843418860808015E-14</v>
      </c>
      <c r="BZ105" s="14">
        <f>BY105*VLOOKUP('Données projet'!$B$12,Paramètres!$A$1:$I$89,3,0)*VLOOKUP('Données projet'!$B$12,Paramètres!$A$1:$I$89,5,0)</f>
        <v>-4.1677594708744434E-14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344.45199703750711</v>
      </c>
      <c r="CE105" s="62">
        <f t="shared" si="94"/>
        <v>376.41441893222185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2.2737367544323206E-13</v>
      </c>
      <c r="CU105" s="18">
        <f>CT105*VLOOKUP('Données projet'!$B$13,Paramètres!$A$1:$I$89,3,0)*VLOOKUP('Données projet'!$B$13,Paramètres!$A$1:$I$89,5,0)</f>
        <v>1.4897523215040565E-13</v>
      </c>
      <c r="CV105" s="14">
        <f t="shared" si="95"/>
        <v>2.136562777003313E-12</v>
      </c>
      <c r="CW105" s="22">
        <f t="shared" si="67"/>
        <v>3.9806453659427267E-12</v>
      </c>
      <c r="CX105" s="62">
        <f t="shared" si="68"/>
        <v>293.33333333333729</v>
      </c>
      <c r="CY105" s="62">
        <f ca="1">AVERAGE(OFFSET($CX$3,0,0,'Données projet'!$E$13+1,1))-AVERAGE(OFFSET($H$3,0,0,'Données projet'!$E$13+1,1))</f>
        <v>311.53750850588153</v>
      </c>
      <c r="CZ105" s="62">
        <f t="shared" si="96"/>
        <v>304.84379909635476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-1.1368683772161603E-13</v>
      </c>
      <c r="DP105" s="18">
        <f>DO105*VLOOKUP('Données projet'!$B$14,Paramètres!$A$1:$I$89,3,0)*VLOOKUP('Données projet'!$B$14,Paramètres!$A$1:$I$89,5,0)</f>
        <v>-9.2222762759774927E-14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256.19915261735281</v>
      </c>
      <c r="DU105" s="62">
        <f t="shared" si="98"/>
        <v>297.47246687305056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3.3974358974359005</v>
      </c>
      <c r="EJ105" s="13">
        <f>IF('Données projet'!$A$192&gt;35,EJ104+EI105-ER104,IF(A105&lt;'Données projet'!$A$192,$EG$205^A105,IF(A105='Données projet'!$A$192,'Données projet'!$B$192,EJ104+EI105-ER104)))</f>
        <v>265.12820512820514</v>
      </c>
      <c r="EK105" s="18">
        <f>EJ105*VLOOKUP('Données projet'!$B$15,Paramètres!$A$1:$I$89,3,0)*VLOOKUP('Données projet'!$B$15,Paramètres!$A$1:$I$89,5,0)</f>
        <v>252.29600000000002</v>
      </c>
      <c r="EL105" s="14">
        <f t="shared" si="99"/>
        <v>61.077332796544965</v>
      </c>
      <c r="EM105" s="22">
        <f t="shared" si="73"/>
        <v>545.7918879539825</v>
      </c>
      <c r="EN105" s="62">
        <f t="shared" si="74"/>
        <v>839.12522128731575</v>
      </c>
      <c r="EO105" s="62">
        <f ca="1">AVERAGE(OFFSET($EN$3,0,0,'Données projet'!$E$15+1,1))-AVERAGE(OFFSET($H$3,0,0,'Données projet'!$E$15+1,1))</f>
        <v>406.24139966722936</v>
      </c>
      <c r="EP105" s="62">
        <f t="shared" si="100"/>
        <v>295.95724296920577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1.1368683772161603E-13</v>
      </c>
      <c r="FF105" s="18">
        <f>FE105*VLOOKUP('Données projet'!$B$16,Paramètres!$A$1:$I$89,3,0)*VLOOKUP('Données projet'!$B$16,Paramètres!$A$1:$I$89,5,0)</f>
        <v>8.8675733422860506E-14</v>
      </c>
      <c r="FG105" s="14">
        <f t="shared" si="101"/>
        <v>1.3509285393066301E-12</v>
      </c>
      <c r="FH105" s="22">
        <f t="shared" si="76"/>
        <v>2.5073107750038623E-12</v>
      </c>
      <c r="FI105" s="62">
        <f t="shared" si="77"/>
        <v>293.33333333333582</v>
      </c>
      <c r="FJ105" s="62">
        <f ca="1">AVERAGE(OFFSET($FI$3,0,0,'Données projet'!$E$16+1,1))-AVERAGE(OFFSET($H$3,0,0,'Données projet'!$E$16+1,1))</f>
        <v>292.57482726862594</v>
      </c>
      <c r="FK105" s="62">
        <f t="shared" si="102"/>
        <v>283.48738729114024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5.2</v>
      </c>
      <c r="FZ105" s="13">
        <f>IF('Données projet'!$A$244&gt;35,FZ104+FY105-GH104,IF(A105&lt;'Données projet'!$A$244,$FW$205^A105,IF(A105='Données projet'!$A$244,'Données projet'!$B$244,FZ104+FY105-GH104)))</f>
        <v>371.4</v>
      </c>
      <c r="GA105" s="18">
        <f>FZ105*VLOOKUP('Données projet'!$B$17,Paramètres!$A$1:$I$89,3,0)*VLOOKUP('Données projet'!$B$17,Paramètres!$A$1:$I$89,5,0)</f>
        <v>359.21807999999999</v>
      </c>
      <c r="GB105" s="14">
        <f t="shared" si="103"/>
        <v>83.457728297661106</v>
      </c>
      <c r="GC105" s="22">
        <f t="shared" si="79"/>
        <v>770.99369945175965</v>
      </c>
      <c r="GD105" s="62">
        <f t="shared" si="80"/>
        <v>1064.327032785093</v>
      </c>
      <c r="GE105" s="62">
        <f ca="1">AVERAGE(OFFSET($GD$3,0,0,'Données projet'!$E$17+1,1))-AVERAGE(OFFSET($H$3,0,0,'Données projet'!$E$17+1,1))</f>
        <v>562.69380557620775</v>
      </c>
      <c r="GF105" s="62">
        <f t="shared" si="104"/>
        <v>294.45557293177131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5.2</v>
      </c>
      <c r="N106" s="14">
        <f>IF('Données projet'!$A$36&gt;35,N105+M106-V105,IF(A106&lt;'Données projet'!$A$36,$K$205^A106,IF(A106='Données projet'!$A$36,'Données projet'!$B$36,N105+M106-V105)))</f>
        <v>376.59999999999997</v>
      </c>
      <c r="O106" s="14">
        <f>N106*VLOOKUP('Données projet'!$B$9,Paramètres!$A$1:$I$89,3,0)*VLOOKUP('Données projet'!$B$9,Paramètres!$A$1:$I$89,5,0)</f>
        <v>340.74767999999995</v>
      </c>
      <c r="P106" s="14">
        <f t="shared" si="87"/>
        <v>79.654402089206556</v>
      </c>
      <c r="Q106" s="22">
        <f t="shared" si="107"/>
        <v>732.20029297203462</v>
      </c>
      <c r="R106" s="62">
        <f t="shared" si="55"/>
        <v>1025.533626305368</v>
      </c>
      <c r="S106" s="62">
        <f ca="1">AVERAGE(OFFSET($R$3,0,0,'Données projet'!$E$9+1,1))-AVERAGE(OFFSET($H$3,0,0,'Données projet'!$E$9+1,1))</f>
        <v>529.25712986118265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-9.7543306765146564E-14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446.86777652265448</v>
      </c>
      <c r="AO106" s="62">
        <f t="shared" si="90"/>
        <v>230.82970731138215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-4.5224624045658861E-14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370.59298168107364</v>
      </c>
      <c r="BJ106" s="62">
        <f t="shared" si="92"/>
        <v>404.61777090709171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-5.6843418860808015E-14</v>
      </c>
      <c r="BZ106" s="14">
        <f>BY106*VLOOKUP('Données projet'!$B$12,Paramètres!$A$1:$I$89,3,0)*VLOOKUP('Données projet'!$B$12,Paramètres!$A$1:$I$89,5,0)</f>
        <v>-4.1677594708744434E-14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344.45199703750711</v>
      </c>
      <c r="CE106" s="62">
        <f t="shared" si="94"/>
        <v>376.41441893222185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2.2737367544323206E-13</v>
      </c>
      <c r="CU106" s="18">
        <f>CT106*VLOOKUP('Données projet'!$B$13,Paramètres!$A$1:$I$89,3,0)*VLOOKUP('Données projet'!$B$13,Paramètres!$A$1:$I$89,5,0)</f>
        <v>1.4897523215040565E-13</v>
      </c>
      <c r="CV106" s="14">
        <f t="shared" si="95"/>
        <v>2.136562777003313E-12</v>
      </c>
      <c r="CW106" s="22">
        <f t="shared" si="67"/>
        <v>3.9806453659427267E-12</v>
      </c>
      <c r="CX106" s="62">
        <f t="shared" si="68"/>
        <v>293.33333333333729</v>
      </c>
      <c r="CY106" s="62">
        <f ca="1">AVERAGE(OFFSET($CX$3,0,0,'Données projet'!$E$13+1,1))-AVERAGE(OFFSET($H$3,0,0,'Données projet'!$E$13+1,1))</f>
        <v>311.53750850588153</v>
      </c>
      <c r="CZ106" s="62">
        <f t="shared" si="96"/>
        <v>304.84379909635476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-1.1368683772161603E-13</v>
      </c>
      <c r="DP106" s="18">
        <f>DO106*VLOOKUP('Données projet'!$B$14,Paramètres!$A$1:$I$89,3,0)*VLOOKUP('Données projet'!$B$14,Paramètres!$A$1:$I$89,5,0)</f>
        <v>-9.2222762759774927E-14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256.19915261735281</v>
      </c>
      <c r="DU106" s="62">
        <f t="shared" si="98"/>
        <v>297.47246687305056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3.3974358974359005</v>
      </c>
      <c r="EJ106" s="13">
        <f>IF('Données projet'!$A$192&gt;35,EJ105+EI106-ER105,IF(A106&lt;'Données projet'!$A$192,$EG$205^A106,IF(A106='Données projet'!$A$192,'Données projet'!$B$192,EJ105+EI106-ER105)))</f>
        <v>268.52564102564105</v>
      </c>
      <c r="EK106" s="18">
        <f>EJ106*VLOOKUP('Données projet'!$B$15,Paramètres!$A$1:$I$89,3,0)*VLOOKUP('Données projet'!$B$15,Paramètres!$A$1:$I$89,5,0)</f>
        <v>255.52900000000002</v>
      </c>
      <c r="EL106" s="14">
        <f t="shared" si="99"/>
        <v>61.768381459172247</v>
      </c>
      <c r="EM106" s="22">
        <f t="shared" si="73"/>
        <v>552.62627270805831</v>
      </c>
      <c r="EN106" s="62">
        <f t="shared" si="74"/>
        <v>845.95960604139168</v>
      </c>
      <c r="EO106" s="62">
        <f ca="1">AVERAGE(OFFSET($EN$3,0,0,'Données projet'!$E$15+1,1))-AVERAGE(OFFSET($H$3,0,0,'Données projet'!$E$15+1,1))</f>
        <v>406.24139966722936</v>
      </c>
      <c r="EP106" s="62">
        <f t="shared" si="100"/>
        <v>295.95724296920577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1.1368683772161603E-13</v>
      </c>
      <c r="FF106" s="18">
        <f>FE106*VLOOKUP('Données projet'!$B$16,Paramètres!$A$1:$I$89,3,0)*VLOOKUP('Données projet'!$B$16,Paramètres!$A$1:$I$89,5,0)</f>
        <v>8.8675733422860506E-14</v>
      </c>
      <c r="FG106" s="14">
        <f t="shared" si="101"/>
        <v>1.3509285393066301E-12</v>
      </c>
      <c r="FH106" s="22">
        <f t="shared" si="76"/>
        <v>2.5073107750038623E-12</v>
      </c>
      <c r="FI106" s="62">
        <f t="shared" si="77"/>
        <v>293.33333333333582</v>
      </c>
      <c r="FJ106" s="62">
        <f ca="1">AVERAGE(OFFSET($FI$3,0,0,'Données projet'!$E$16+1,1))-AVERAGE(OFFSET($H$3,0,0,'Données projet'!$E$16+1,1))</f>
        <v>292.57482726862594</v>
      </c>
      <c r="FK106" s="62">
        <f t="shared" si="102"/>
        <v>283.48738729114024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5.2</v>
      </c>
      <c r="FZ106" s="13">
        <f>IF('Données projet'!$A$244&gt;35,FZ105+FY106-GH105,IF(A106&lt;'Données projet'!$A$244,$FW$205^A106,IF(A106='Données projet'!$A$244,'Données projet'!$B$244,FZ105+FY106-GH105)))</f>
        <v>376.59999999999997</v>
      </c>
      <c r="GA106" s="18">
        <f>FZ106*VLOOKUP('Données projet'!$B$17,Paramètres!$A$1:$I$89,3,0)*VLOOKUP('Données projet'!$B$17,Paramètres!$A$1:$I$89,5,0)</f>
        <v>364.24752000000001</v>
      </c>
      <c r="GB106" s="14">
        <f t="shared" si="103"/>
        <v>84.489376219671925</v>
      </c>
      <c r="GC106" s="22">
        <f t="shared" si="79"/>
        <v>781.55009424926186</v>
      </c>
      <c r="GD106" s="62">
        <f t="shared" si="80"/>
        <v>1074.8834275825952</v>
      </c>
      <c r="GE106" s="62">
        <f ca="1">AVERAGE(OFFSET($GD$3,0,0,'Données projet'!$E$17+1,1))-AVERAGE(OFFSET($H$3,0,0,'Données projet'!$E$17+1,1))</f>
        <v>562.69380557620775</v>
      </c>
      <c r="GF106" s="62">
        <f t="shared" si="104"/>
        <v>294.45557293177131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5.2</v>
      </c>
      <c r="N107" s="14">
        <f>IF('Données projet'!$A$36&gt;35,N106+M107-V106,IF(A107&lt;'Données projet'!$A$36,$K$205^A107,IF(A107='Données projet'!$A$36,'Données projet'!$B$36,N106+M107-V106)))</f>
        <v>381.79999999999995</v>
      </c>
      <c r="O107" s="14">
        <f>N107*VLOOKUP('Données projet'!$B$9,Paramètres!$A$1:$I$89,3,0)*VLOOKUP('Données projet'!$B$9,Paramètres!$A$1:$I$89,5,0)</f>
        <v>345.45263999999997</v>
      </c>
      <c r="P107" s="14">
        <f t="shared" si="87"/>
        <v>80.625451110046569</v>
      </c>
      <c r="Q107" s="22">
        <f t="shared" si="107"/>
        <v>742.08600868333099</v>
      </c>
      <c r="R107" s="62">
        <f t="shared" si="55"/>
        <v>1035.4193420166644</v>
      </c>
      <c r="S107" s="62">
        <f ca="1">AVERAGE(OFFSET($R$3,0,0,'Données projet'!$E$9+1,1))-AVERAGE(OFFSET($H$3,0,0,'Données projet'!$E$9+1,1))</f>
        <v>529.25712986118265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-9.7543306765146564E-14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446.86777652265448</v>
      </c>
      <c r="AO107" s="62">
        <f t="shared" si="90"/>
        <v>230.82970731138215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-4.5224624045658861E-14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370.59298168107364</v>
      </c>
      <c r="BJ107" s="62">
        <f t="shared" si="92"/>
        <v>404.61777090709171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-5.6843418860808015E-14</v>
      </c>
      <c r="BZ107" s="14">
        <f>BY107*VLOOKUP('Données projet'!$B$12,Paramètres!$A$1:$I$89,3,0)*VLOOKUP('Données projet'!$B$12,Paramètres!$A$1:$I$89,5,0)</f>
        <v>-4.1677594708744434E-14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344.45199703750711</v>
      </c>
      <c r="CE107" s="62">
        <f t="shared" si="94"/>
        <v>376.41441893222185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2.2737367544323206E-13</v>
      </c>
      <c r="CU107" s="18">
        <f>CT107*VLOOKUP('Données projet'!$B$13,Paramètres!$A$1:$I$89,3,0)*VLOOKUP('Données projet'!$B$13,Paramètres!$A$1:$I$89,5,0)</f>
        <v>1.4897523215040565E-13</v>
      </c>
      <c r="CV107" s="14">
        <f t="shared" si="95"/>
        <v>2.136562777003313E-12</v>
      </c>
      <c r="CW107" s="22">
        <f t="shared" si="67"/>
        <v>3.9806453659427267E-12</v>
      </c>
      <c r="CX107" s="62">
        <f t="shared" si="68"/>
        <v>293.33333333333729</v>
      </c>
      <c r="CY107" s="62">
        <f ca="1">AVERAGE(OFFSET($CX$3,0,0,'Données projet'!$E$13+1,1))-AVERAGE(OFFSET($H$3,0,0,'Données projet'!$E$13+1,1))</f>
        <v>311.53750850588153</v>
      </c>
      <c r="CZ107" s="62">
        <f t="shared" si="96"/>
        <v>304.84379909635476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-1.1368683772161603E-13</v>
      </c>
      <c r="DP107" s="18">
        <f>DO107*VLOOKUP('Données projet'!$B$14,Paramètres!$A$1:$I$89,3,0)*VLOOKUP('Données projet'!$B$14,Paramètres!$A$1:$I$89,5,0)</f>
        <v>-9.2222762759774927E-14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256.19915261735281</v>
      </c>
      <c r="DU107" s="62">
        <f t="shared" si="98"/>
        <v>297.47246687305056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3.3974358974359005</v>
      </c>
      <c r="EJ107" s="13">
        <f>IF('Données projet'!$A$192&gt;35,EJ106+EI107-ER106,IF(A107&lt;'Données projet'!$A$192,$EG$205^A107,IF(A107='Données projet'!$A$192,'Données projet'!$B$192,EJ106+EI107-ER106)))</f>
        <v>271.92307692307696</v>
      </c>
      <c r="EK107" s="18">
        <f>EJ107*VLOOKUP('Données projet'!$B$15,Paramètres!$A$1:$I$89,3,0)*VLOOKUP('Données projet'!$B$15,Paramètres!$A$1:$I$89,5,0)</f>
        <v>258.76200000000006</v>
      </c>
      <c r="EL107" s="14">
        <f t="shared" si="99"/>
        <v>62.458413124928875</v>
      </c>
      <c r="EM107" s="22">
        <f t="shared" si="73"/>
        <v>559.4588861925846</v>
      </c>
      <c r="EN107" s="62">
        <f t="shared" si="74"/>
        <v>852.79221952591797</v>
      </c>
      <c r="EO107" s="62">
        <f ca="1">AVERAGE(OFFSET($EN$3,0,0,'Données projet'!$E$15+1,1))-AVERAGE(OFFSET($H$3,0,0,'Données projet'!$E$15+1,1))</f>
        <v>406.24139966722936</v>
      </c>
      <c r="EP107" s="62">
        <f t="shared" si="100"/>
        <v>295.95724296920577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1.1368683772161603E-13</v>
      </c>
      <c r="FF107" s="18">
        <f>FE107*VLOOKUP('Données projet'!$B$16,Paramètres!$A$1:$I$89,3,0)*VLOOKUP('Données projet'!$B$16,Paramètres!$A$1:$I$89,5,0)</f>
        <v>8.8675733422860506E-14</v>
      </c>
      <c r="FG107" s="14">
        <f t="shared" si="101"/>
        <v>1.3509285393066301E-12</v>
      </c>
      <c r="FH107" s="22">
        <f t="shared" si="76"/>
        <v>2.5073107750038623E-12</v>
      </c>
      <c r="FI107" s="62">
        <f t="shared" si="77"/>
        <v>293.33333333333582</v>
      </c>
      <c r="FJ107" s="62">
        <f ca="1">AVERAGE(OFFSET($FI$3,0,0,'Données projet'!$E$16+1,1))-AVERAGE(OFFSET($H$3,0,0,'Données projet'!$E$16+1,1))</f>
        <v>292.57482726862594</v>
      </c>
      <c r="FK107" s="62">
        <f t="shared" si="102"/>
        <v>283.48738729114024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5.2</v>
      </c>
      <c r="FZ107" s="13">
        <f>IF('Données projet'!$A$244&gt;35,FZ106+FY107-GH106,IF(A107&lt;'Données projet'!$A$244,$FW$205^A107,IF(A107='Données projet'!$A$244,'Données projet'!$B$244,FZ106+FY107-GH106)))</f>
        <v>381.79999999999995</v>
      </c>
      <c r="GA107" s="18">
        <f>FZ107*VLOOKUP('Données projet'!$B$17,Paramètres!$A$1:$I$89,3,0)*VLOOKUP('Données projet'!$B$17,Paramètres!$A$1:$I$89,5,0)</f>
        <v>369.27695999999997</v>
      </c>
      <c r="GB107" s="14">
        <f t="shared" si="103"/>
        <v>85.519367329988739</v>
      </c>
      <c r="GC107" s="22">
        <f t="shared" si="79"/>
        <v>792.10360343306365</v>
      </c>
      <c r="GD107" s="62">
        <f t="shared" si="80"/>
        <v>1085.4369367663969</v>
      </c>
      <c r="GE107" s="62">
        <f ca="1">AVERAGE(OFFSET($GD$3,0,0,'Données projet'!$E$17+1,1))-AVERAGE(OFFSET($H$3,0,0,'Données projet'!$E$17+1,1))</f>
        <v>562.69380557620775</v>
      </c>
      <c r="GF107" s="62">
        <f t="shared" si="104"/>
        <v>294.45557293177131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5.2</v>
      </c>
      <c r="N108" s="14">
        <f>IF('Données projet'!$A$36&gt;35,N107+M108-V107,IF(A108&lt;'Données projet'!$A$36,$K$205^A108,IF(A108='Données projet'!$A$36,'Données projet'!$B$36,N107+M108-V107)))</f>
        <v>386.99999999999994</v>
      </c>
      <c r="O108" s="14">
        <f>N108*VLOOKUP('Données projet'!$B$9,Paramètres!$A$1:$I$89,3,0)*VLOOKUP('Données projet'!$B$9,Paramètres!$A$1:$I$89,5,0)</f>
        <v>350.15759999999995</v>
      </c>
      <c r="P108" s="14">
        <f t="shared" si="87"/>
        <v>81.59496186451068</v>
      </c>
      <c r="Q108" s="22">
        <f t="shared" si="107"/>
        <v>751.96904524735601</v>
      </c>
      <c r="R108" s="62">
        <f t="shared" si="55"/>
        <v>1045.3023785806893</v>
      </c>
      <c r="S108" s="62">
        <f ca="1">AVERAGE(OFFSET($R$3,0,0,'Données projet'!$E$9+1,1))-AVERAGE(OFFSET($H$3,0,0,'Données projet'!$E$9+1,1))</f>
        <v>529.25712986118265</v>
      </c>
      <c r="T108" s="62">
        <f t="shared" si="88"/>
        <v>278.21741231699929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-9.7543306765146564E-14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446.86777652265448</v>
      </c>
      <c r="AO108" s="62">
        <f t="shared" si="90"/>
        <v>230.82970731138215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-4.5224624045658861E-14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370.59298168107364</v>
      </c>
      <c r="BJ108" s="62">
        <f t="shared" si="92"/>
        <v>404.61777090709171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-5.6843418860808015E-14</v>
      </c>
      <c r="BZ108" s="14">
        <f>BY108*VLOOKUP('Données projet'!$B$12,Paramètres!$A$1:$I$89,3,0)*VLOOKUP('Données projet'!$B$12,Paramètres!$A$1:$I$89,5,0)</f>
        <v>-4.1677594708744434E-14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344.45199703750711</v>
      </c>
      <c r="CE108" s="62">
        <f t="shared" si="94"/>
        <v>376.41441893222185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2.2737367544323206E-13</v>
      </c>
      <c r="CU108" s="18">
        <f>CT108*VLOOKUP('Données projet'!$B$13,Paramètres!$A$1:$I$89,3,0)*VLOOKUP('Données projet'!$B$13,Paramètres!$A$1:$I$89,5,0)</f>
        <v>1.4897523215040565E-13</v>
      </c>
      <c r="CV108" s="14">
        <f t="shared" si="95"/>
        <v>2.136562777003313E-12</v>
      </c>
      <c r="CW108" s="22">
        <f t="shared" si="67"/>
        <v>3.9806453659427267E-12</v>
      </c>
      <c r="CX108" s="62">
        <f t="shared" si="68"/>
        <v>293.33333333333729</v>
      </c>
      <c r="CY108" s="62">
        <f ca="1">AVERAGE(OFFSET($CX$3,0,0,'Données projet'!$E$13+1,1))-AVERAGE(OFFSET($H$3,0,0,'Données projet'!$E$13+1,1))</f>
        <v>311.53750850588153</v>
      </c>
      <c r="CZ108" s="62">
        <f t="shared" si="96"/>
        <v>304.84379909635476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-1.1368683772161603E-13</v>
      </c>
      <c r="DP108" s="18">
        <f>DO108*VLOOKUP('Données projet'!$B$14,Paramètres!$A$1:$I$89,3,0)*VLOOKUP('Données projet'!$B$14,Paramètres!$A$1:$I$89,5,0)</f>
        <v>-9.2222762759774927E-14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256.19915261735281</v>
      </c>
      <c r="DU108" s="62">
        <f t="shared" si="98"/>
        <v>297.47246687305056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3.3974358974359005</v>
      </c>
      <c r="EJ108" s="13">
        <f>IF('Données projet'!$A$192&gt;35,EJ107+EI108-ER107,IF(A108&lt;'Données projet'!$A$192,$EG$205^A108,IF(A108='Données projet'!$A$192,'Données projet'!$B$192,EJ107+EI108-ER107)))</f>
        <v>275.32051282051287</v>
      </c>
      <c r="EK108" s="18">
        <f>EJ108*VLOOKUP('Données projet'!$B$15,Paramètres!$A$1:$I$89,3,0)*VLOOKUP('Données projet'!$B$15,Paramètres!$A$1:$I$89,5,0)</f>
        <v>261.99500000000006</v>
      </c>
      <c r="EL108" s="14">
        <f t="shared" si="99"/>
        <v>63.147441969746581</v>
      </c>
      <c r="EM108" s="22">
        <f t="shared" si="73"/>
        <v>566.28975309730868</v>
      </c>
      <c r="EN108" s="62">
        <f t="shared" si="74"/>
        <v>859.62308643064193</v>
      </c>
      <c r="EO108" s="62">
        <f ca="1">AVERAGE(OFFSET($EN$3,0,0,'Données projet'!$E$15+1,1))-AVERAGE(OFFSET($H$3,0,0,'Données projet'!$E$15+1,1))</f>
        <v>406.24139966722936</v>
      </c>
      <c r="EP108" s="62">
        <f t="shared" si="100"/>
        <v>295.95724296920577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1.1368683772161603E-13</v>
      </c>
      <c r="FF108" s="18">
        <f>FE108*VLOOKUP('Données projet'!$B$16,Paramètres!$A$1:$I$89,3,0)*VLOOKUP('Données projet'!$B$16,Paramètres!$A$1:$I$89,5,0)</f>
        <v>8.8675733422860506E-14</v>
      </c>
      <c r="FG108" s="14">
        <f t="shared" si="101"/>
        <v>1.3509285393066301E-12</v>
      </c>
      <c r="FH108" s="22">
        <f t="shared" si="76"/>
        <v>2.5073107750038623E-12</v>
      </c>
      <c r="FI108" s="62">
        <f t="shared" si="77"/>
        <v>293.33333333333582</v>
      </c>
      <c r="FJ108" s="62">
        <f ca="1">AVERAGE(OFFSET($FI$3,0,0,'Données projet'!$E$16+1,1))-AVERAGE(OFFSET($H$3,0,0,'Données projet'!$E$16+1,1))</f>
        <v>292.57482726862594</v>
      </c>
      <c r="FK108" s="62">
        <f t="shared" si="102"/>
        <v>283.48738729114024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5.2</v>
      </c>
      <c r="FZ108" s="13">
        <f>IF('Données projet'!$A$244&gt;35,FZ107+FY108-GH107,IF(A108&lt;'Données projet'!$A$244,$FW$205^A108,IF(A108='Données projet'!$A$244,'Données projet'!$B$244,FZ107+FY108-GH107)))</f>
        <v>386.99999999999994</v>
      </c>
      <c r="GA108" s="18">
        <f>FZ108*VLOOKUP('Données projet'!$B$17,Paramètres!$A$1:$I$89,3,0)*VLOOKUP('Données projet'!$B$17,Paramètres!$A$1:$I$89,5,0)</f>
        <v>374.30639999999994</v>
      </c>
      <c r="GB108" s="14">
        <f t="shared" si="103"/>
        <v>86.547726802089201</v>
      </c>
      <c r="GC108" s="22">
        <f t="shared" si="79"/>
        <v>802.65427084697183</v>
      </c>
      <c r="GD108" s="62">
        <f t="shared" si="80"/>
        <v>1095.9876041803052</v>
      </c>
      <c r="GE108" s="62">
        <f ca="1">AVERAGE(OFFSET($GD$3,0,0,'Données projet'!$E$17+1,1))-AVERAGE(OFFSET($H$3,0,0,'Données projet'!$E$17+1,1))</f>
        <v>562.69380557620775</v>
      </c>
      <c r="GF108" s="62">
        <f t="shared" si="104"/>
        <v>294.45557293177131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5.2</v>
      </c>
      <c r="N109" s="14">
        <f>IF('Données projet'!$A$36&gt;35,N108+M109-V108,IF(A109&lt;'Données projet'!$A$36,$K$205^A109,IF(A109='Données projet'!$A$36,'Données projet'!$B$36,N108+M109-V108)))</f>
        <v>392.19999999999993</v>
      </c>
      <c r="O109" s="14">
        <f>N109*VLOOKUP('Données projet'!$B$9,Paramètres!$A$1:$I$89,3,0)*VLOOKUP('Données projet'!$B$9,Paramètres!$A$1:$I$89,5,0)</f>
        <v>354.86255999999992</v>
      </c>
      <c r="P109" s="14">
        <f t="shared" si="87"/>
        <v>82.56295741106787</v>
      </c>
      <c r="Q109" s="22">
        <f t="shared" si="107"/>
        <v>761.84944282427648</v>
      </c>
      <c r="R109" s="62">
        <f t="shared" si="55"/>
        <v>1055.1827761576099</v>
      </c>
      <c r="S109" s="62">
        <f ca="1">AVERAGE(OFFSET($R$3,0,0,'Données projet'!$E$9+1,1))-AVERAGE(OFFSET($H$3,0,0,'Données projet'!$E$9+1,1))</f>
        <v>529.25712986118265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-9.7543306765146564E-14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446.86777652265448</v>
      </c>
      <c r="AO109" s="62">
        <f t="shared" si="90"/>
        <v>230.82970731138215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-4.5224624045658861E-14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370.59298168107364</v>
      </c>
      <c r="BJ109" s="62">
        <f t="shared" si="92"/>
        <v>404.61777090709171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-5.6843418860808015E-14</v>
      </c>
      <c r="BZ109" s="14">
        <f>BY109*VLOOKUP('Données projet'!$B$12,Paramètres!$A$1:$I$89,3,0)*VLOOKUP('Données projet'!$B$12,Paramètres!$A$1:$I$89,5,0)</f>
        <v>-4.1677594708744434E-14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344.45199703750711</v>
      </c>
      <c r="CE109" s="62">
        <f t="shared" si="94"/>
        <v>376.41441893222185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2.2737367544323206E-13</v>
      </c>
      <c r="CU109" s="18">
        <f>CT109*VLOOKUP('Données projet'!$B$13,Paramètres!$A$1:$I$89,3,0)*VLOOKUP('Données projet'!$B$13,Paramètres!$A$1:$I$89,5,0)</f>
        <v>1.4897523215040565E-13</v>
      </c>
      <c r="CV109" s="14">
        <f t="shared" si="95"/>
        <v>2.136562777003313E-12</v>
      </c>
      <c r="CW109" s="22">
        <f t="shared" si="67"/>
        <v>3.9806453659427267E-12</v>
      </c>
      <c r="CX109" s="62">
        <f t="shared" si="68"/>
        <v>293.33333333333729</v>
      </c>
      <c r="CY109" s="62">
        <f ca="1">AVERAGE(OFFSET($CX$3,0,0,'Données projet'!$E$13+1,1))-AVERAGE(OFFSET($H$3,0,0,'Données projet'!$E$13+1,1))</f>
        <v>311.53750850588153</v>
      </c>
      <c r="CZ109" s="62">
        <f t="shared" si="96"/>
        <v>304.84379909635476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-1.1368683772161603E-13</v>
      </c>
      <c r="DP109" s="18">
        <f>DO109*VLOOKUP('Données projet'!$B$14,Paramètres!$A$1:$I$89,3,0)*VLOOKUP('Données projet'!$B$14,Paramètres!$A$1:$I$89,5,0)</f>
        <v>-9.2222762759774927E-14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256.19915261735281</v>
      </c>
      <c r="DU109" s="62">
        <f t="shared" si="98"/>
        <v>297.47246687305056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3.3974358974359005</v>
      </c>
      <c r="EJ109" s="13">
        <f>IF('Données projet'!$A$192&gt;35,EJ108+EI109-ER108,IF(A109&lt;'Données projet'!$A$192,$EG$205^A109,IF(A109='Données projet'!$A$192,'Données projet'!$B$192,EJ108+EI109-ER108)))</f>
        <v>278.71794871794879</v>
      </c>
      <c r="EK109" s="18">
        <f>EJ109*VLOOKUP('Données projet'!$B$15,Paramètres!$A$1:$I$89,3,0)*VLOOKUP('Données projet'!$B$15,Paramètres!$A$1:$I$89,5,0)</f>
        <v>265.22800000000007</v>
      </c>
      <c r="EL109" s="14">
        <f t="shared" si="99"/>
        <v>63.835481799573074</v>
      </c>
      <c r="EM109" s="22">
        <f t="shared" si="73"/>
        <v>573.11889746758982</v>
      </c>
      <c r="EN109" s="62">
        <f t="shared" si="74"/>
        <v>866.45223080092319</v>
      </c>
      <c r="EO109" s="62">
        <f ca="1">AVERAGE(OFFSET($EN$3,0,0,'Données projet'!$E$15+1,1))-AVERAGE(OFFSET($H$3,0,0,'Données projet'!$E$15+1,1))</f>
        <v>406.24139966722936</v>
      </c>
      <c r="EP109" s="62">
        <f t="shared" si="100"/>
        <v>295.95724296920577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1.1368683772161603E-13</v>
      </c>
      <c r="FF109" s="18">
        <f>FE109*VLOOKUP('Données projet'!$B$16,Paramètres!$A$1:$I$89,3,0)*VLOOKUP('Données projet'!$B$16,Paramètres!$A$1:$I$89,5,0)</f>
        <v>8.8675733422860506E-14</v>
      </c>
      <c r="FG109" s="14">
        <f t="shared" si="101"/>
        <v>1.3509285393066301E-12</v>
      </c>
      <c r="FH109" s="22">
        <f t="shared" si="76"/>
        <v>2.5073107750038623E-12</v>
      </c>
      <c r="FI109" s="62">
        <f t="shared" si="77"/>
        <v>293.33333333333582</v>
      </c>
      <c r="FJ109" s="62">
        <f ca="1">AVERAGE(OFFSET($FI$3,0,0,'Données projet'!$E$16+1,1))-AVERAGE(OFFSET($H$3,0,0,'Données projet'!$E$16+1,1))</f>
        <v>292.57482726862594</v>
      </c>
      <c r="FK109" s="62">
        <f t="shared" si="102"/>
        <v>283.48738729114024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5.2</v>
      </c>
      <c r="FZ109" s="13">
        <f>IF('Données projet'!$A$244&gt;35,FZ108+FY109-GH108,IF(A109&lt;'Données projet'!$A$244,$FW$205^A109,IF(A109='Données projet'!$A$244,'Données projet'!$B$244,FZ108+FY109-GH108)))</f>
        <v>392.19999999999993</v>
      </c>
      <c r="GA109" s="18">
        <f>FZ109*VLOOKUP('Données projet'!$B$17,Paramètres!$A$1:$I$89,3,0)*VLOOKUP('Données projet'!$B$17,Paramètres!$A$1:$I$89,5,0)</f>
        <v>379.33583999999996</v>
      </c>
      <c r="GB109" s="14">
        <f t="shared" si="103"/>
        <v>87.574479094077503</v>
      </c>
      <c r="GC109" s="22">
        <f t="shared" si="79"/>
        <v>813.2021390888516</v>
      </c>
      <c r="GD109" s="62">
        <f t="shared" si="80"/>
        <v>1106.535472422185</v>
      </c>
      <c r="GE109" s="62">
        <f ca="1">AVERAGE(OFFSET($GD$3,0,0,'Données projet'!$E$17+1,1))-AVERAGE(OFFSET($H$3,0,0,'Données projet'!$E$17+1,1))</f>
        <v>562.69380557620775</v>
      </c>
      <c r="GF109" s="62">
        <f t="shared" si="104"/>
        <v>294.45557293177131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5.2</v>
      </c>
      <c r="N110" s="14">
        <f>IF('Données projet'!$A$36&gt;35,N109+M110-V109,IF(A110&lt;'Données projet'!$A$36,$K$205^A110,IF(A110='Données projet'!$A$36,'Données projet'!$B$36,N109+M110-V109)))</f>
        <v>397.39999999999992</v>
      </c>
      <c r="O110" s="14">
        <f>N110*VLOOKUP('Données projet'!$B$9,Paramètres!$A$1:$I$89,3,0)*VLOOKUP('Données projet'!$B$9,Paramètres!$A$1:$I$89,5,0)</f>
        <v>359.56751999999989</v>
      </c>
      <c r="P110" s="14">
        <f t="shared" si="87"/>
        <v>83.529460161600639</v>
      </c>
      <c r="Q110" s="22">
        <f t="shared" si="107"/>
        <v>771.72724044812094</v>
      </c>
      <c r="R110" s="62">
        <f t="shared" si="55"/>
        <v>1065.0605737814542</v>
      </c>
      <c r="S110" s="62">
        <f ca="1">AVERAGE(OFFSET($R$3,0,0,'Données projet'!$E$9+1,1))-AVERAGE(OFFSET($H$3,0,0,'Données projet'!$E$9+1,1))</f>
        <v>529.25712986118265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-9.7543306765146564E-14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446.86777652265448</v>
      </c>
      <c r="AO110" s="62">
        <f t="shared" si="90"/>
        <v>230.82970731138215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-4.5224624045658861E-14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370.59298168107364</v>
      </c>
      <c r="BJ110" s="62">
        <f t="shared" si="92"/>
        <v>404.61777090709171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-5.6843418860808015E-14</v>
      </c>
      <c r="BZ110" s="14">
        <f>BY110*VLOOKUP('Données projet'!$B$12,Paramètres!$A$1:$I$89,3,0)*VLOOKUP('Données projet'!$B$12,Paramètres!$A$1:$I$89,5,0)</f>
        <v>-4.1677594708744434E-14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344.45199703750711</v>
      </c>
      <c r="CE110" s="62">
        <f t="shared" si="94"/>
        <v>376.41441893222185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2.2737367544323206E-13</v>
      </c>
      <c r="CU110" s="18">
        <f>CT110*VLOOKUP('Données projet'!$B$13,Paramètres!$A$1:$I$89,3,0)*VLOOKUP('Données projet'!$B$13,Paramètres!$A$1:$I$89,5,0)</f>
        <v>1.4897523215040565E-13</v>
      </c>
      <c r="CV110" s="14">
        <f t="shared" si="95"/>
        <v>2.136562777003313E-12</v>
      </c>
      <c r="CW110" s="22">
        <f t="shared" si="67"/>
        <v>3.9806453659427267E-12</v>
      </c>
      <c r="CX110" s="62">
        <f t="shared" si="68"/>
        <v>293.33333333333729</v>
      </c>
      <c r="CY110" s="62">
        <f ca="1">AVERAGE(OFFSET($CX$3,0,0,'Données projet'!$E$13+1,1))-AVERAGE(OFFSET($H$3,0,0,'Données projet'!$E$13+1,1))</f>
        <v>311.53750850588153</v>
      </c>
      <c r="CZ110" s="62">
        <f t="shared" si="96"/>
        <v>304.84379909635476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-1.1368683772161603E-13</v>
      </c>
      <c r="DP110" s="18">
        <f>DO110*VLOOKUP('Données projet'!$B$14,Paramètres!$A$1:$I$89,3,0)*VLOOKUP('Données projet'!$B$14,Paramètres!$A$1:$I$89,5,0)</f>
        <v>-9.2222762759774927E-14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256.19915261735281</v>
      </c>
      <c r="DU110" s="62">
        <f t="shared" si="98"/>
        <v>297.47246687305056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3.3974358974359005</v>
      </c>
      <c r="EJ110" s="13">
        <f>IF('Données projet'!$A$192&gt;35,EJ109+EI110-ER109,IF(A110&lt;'Données projet'!$A$192,$EG$205^A110,IF(A110='Données projet'!$A$192,'Données projet'!$B$192,EJ109+EI110-ER109)))</f>
        <v>282.1153846153847</v>
      </c>
      <c r="EK110" s="18">
        <f>EJ110*VLOOKUP('Données projet'!$B$15,Paramètres!$A$1:$I$89,3,0)*VLOOKUP('Données projet'!$B$15,Paramètres!$A$1:$I$89,5,0)</f>
        <v>268.46100000000007</v>
      </c>
      <c r="EL110" s="14">
        <f t="shared" si="99"/>
        <v>64.522546064418151</v>
      </c>
      <c r="EM110" s="22">
        <f t="shared" si="73"/>
        <v>579.94634272886162</v>
      </c>
      <c r="EN110" s="62">
        <f t="shared" si="74"/>
        <v>873.27967606219499</v>
      </c>
      <c r="EO110" s="62">
        <f ca="1">AVERAGE(OFFSET($EN$3,0,0,'Données projet'!$E$15+1,1))-AVERAGE(OFFSET($H$3,0,0,'Données projet'!$E$15+1,1))</f>
        <v>406.24139966722936</v>
      </c>
      <c r="EP110" s="62">
        <f t="shared" si="100"/>
        <v>295.95724296920577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1.1368683772161603E-13</v>
      </c>
      <c r="FF110" s="18">
        <f>FE110*VLOOKUP('Données projet'!$B$16,Paramètres!$A$1:$I$89,3,0)*VLOOKUP('Données projet'!$B$16,Paramètres!$A$1:$I$89,5,0)</f>
        <v>8.8675733422860506E-14</v>
      </c>
      <c r="FG110" s="14">
        <f t="shared" si="101"/>
        <v>1.3509285393066301E-12</v>
      </c>
      <c r="FH110" s="22">
        <f t="shared" si="76"/>
        <v>2.5073107750038623E-12</v>
      </c>
      <c r="FI110" s="62">
        <f t="shared" si="77"/>
        <v>293.33333333333582</v>
      </c>
      <c r="FJ110" s="62">
        <f ca="1">AVERAGE(OFFSET($FI$3,0,0,'Données projet'!$E$16+1,1))-AVERAGE(OFFSET($H$3,0,0,'Données projet'!$E$16+1,1))</f>
        <v>292.57482726862594</v>
      </c>
      <c r="FK110" s="62">
        <f t="shared" si="102"/>
        <v>283.48738729114024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5.2</v>
      </c>
      <c r="FZ110" s="13">
        <f>IF('Données projet'!$A$244&gt;35,FZ109+FY110-GH109,IF(A110&lt;'Données projet'!$A$244,$FW$205^A110,IF(A110='Données projet'!$A$244,'Données projet'!$B$244,FZ109+FY110-GH109)))</f>
        <v>397.39999999999992</v>
      </c>
      <c r="GA110" s="18">
        <f>FZ110*VLOOKUP('Données projet'!$B$17,Paramètres!$A$1:$I$89,3,0)*VLOOKUP('Données projet'!$B$17,Paramètres!$A$1:$I$89,5,0)</f>
        <v>384.36527999999993</v>
      </c>
      <c r="GB110" s="14">
        <f t="shared" si="103"/>
        <v>88.599647978223373</v>
      </c>
      <c r="GC110" s="22">
        <f t="shared" si="79"/>
        <v>823.74724956207217</v>
      </c>
      <c r="GD110" s="62">
        <f t="shared" si="80"/>
        <v>1117.0805828954055</v>
      </c>
      <c r="GE110" s="62">
        <f ca="1">AVERAGE(OFFSET($GD$3,0,0,'Données projet'!$E$17+1,1))-AVERAGE(OFFSET($H$3,0,0,'Données projet'!$E$17+1,1))</f>
        <v>562.69380557620775</v>
      </c>
      <c r="GF110" s="62">
        <f t="shared" si="104"/>
        <v>294.45557293177131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5.2</v>
      </c>
      <c r="N111" s="14">
        <f>IF('Données projet'!$A$36&gt;35,N110+M111-V110,IF(A111&lt;'Données projet'!$A$36,$K$205^A111,IF(A111='Données projet'!$A$36,'Données projet'!$B$36,N110+M111-V110)))</f>
        <v>402.59999999999991</v>
      </c>
      <c r="O111" s="14">
        <f>N111*VLOOKUP('Données projet'!$B$9,Paramètres!$A$1:$I$89,3,0)*VLOOKUP('Données projet'!$B$9,Paramètres!$A$1:$I$89,5,0)</f>
        <v>364.27247999999992</v>
      </c>
      <c r="P111" s="14">
        <f t="shared" si="87"/>
        <v>84.494491907753741</v>
      </c>
      <c r="Q111" s="22">
        <f t="shared" si="107"/>
        <v>781.60247607267092</v>
      </c>
      <c r="R111" s="62">
        <f t="shared" si="55"/>
        <v>1074.9358094060042</v>
      </c>
      <c r="S111" s="62">
        <f ca="1">AVERAGE(OFFSET($R$3,0,0,'Données projet'!$E$9+1,1))-AVERAGE(OFFSET($H$3,0,0,'Données projet'!$E$9+1,1))</f>
        <v>529.25712986118265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-9.7543306765146564E-14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446.86777652265448</v>
      </c>
      <c r="AO111" s="62">
        <f t="shared" si="90"/>
        <v>230.82970731138215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-4.5224624045658861E-14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370.59298168107364</v>
      </c>
      <c r="BJ111" s="62">
        <f t="shared" si="92"/>
        <v>404.61777090709171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-5.6843418860808015E-14</v>
      </c>
      <c r="BZ111" s="14">
        <f>BY111*VLOOKUP('Données projet'!$B$12,Paramètres!$A$1:$I$89,3,0)*VLOOKUP('Données projet'!$B$12,Paramètres!$A$1:$I$89,5,0)</f>
        <v>-4.1677594708744434E-14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344.45199703750711</v>
      </c>
      <c r="CE111" s="62">
        <f t="shared" si="94"/>
        <v>376.41441893222185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2.2737367544323206E-13</v>
      </c>
      <c r="CU111" s="18">
        <f>CT111*VLOOKUP('Données projet'!$B$13,Paramètres!$A$1:$I$89,3,0)*VLOOKUP('Données projet'!$B$13,Paramètres!$A$1:$I$89,5,0)</f>
        <v>1.4897523215040565E-13</v>
      </c>
      <c r="CV111" s="14">
        <f t="shared" si="95"/>
        <v>2.136562777003313E-12</v>
      </c>
      <c r="CW111" s="22">
        <f t="shared" si="67"/>
        <v>3.9806453659427267E-12</v>
      </c>
      <c r="CX111" s="62">
        <f t="shared" si="68"/>
        <v>293.33333333333729</v>
      </c>
      <c r="CY111" s="62">
        <f ca="1">AVERAGE(OFFSET($CX$3,0,0,'Données projet'!$E$13+1,1))-AVERAGE(OFFSET($H$3,0,0,'Données projet'!$E$13+1,1))</f>
        <v>311.53750850588153</v>
      </c>
      <c r="CZ111" s="62">
        <f t="shared" si="96"/>
        <v>304.84379909635476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-1.1368683772161603E-13</v>
      </c>
      <c r="DP111" s="18">
        <f>DO111*VLOOKUP('Données projet'!$B$14,Paramètres!$A$1:$I$89,3,0)*VLOOKUP('Données projet'!$B$14,Paramètres!$A$1:$I$89,5,0)</f>
        <v>-9.2222762759774927E-14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256.19915261735281</v>
      </c>
      <c r="DU111" s="62">
        <f t="shared" si="98"/>
        <v>297.47246687305056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3.3974358974359005</v>
      </c>
      <c r="EJ111" s="13">
        <f>IF('Données projet'!$A$192&gt;35,EJ110+EI111-ER110,IF(A111&lt;'Données projet'!$A$192,$EG$205^A111,IF(A111='Données projet'!$A$192,'Données projet'!$B$192,EJ110+EI111-ER110)))</f>
        <v>285.51282051282061</v>
      </c>
      <c r="EK111" s="18">
        <f>EJ111*VLOOKUP('Données projet'!$B$15,Paramètres!$A$1:$I$89,3,0)*VLOOKUP('Données projet'!$B$15,Paramètres!$A$1:$I$89,5,0)</f>
        <v>271.69400000000007</v>
      </c>
      <c r="EL111" s="14">
        <f t="shared" si="99"/>
        <v>65.208647871703889</v>
      </c>
      <c r="EM111" s="22">
        <f t="shared" si="73"/>
        <v>586.77211170988437</v>
      </c>
      <c r="EN111" s="62">
        <f t="shared" si="74"/>
        <v>880.10544504321774</v>
      </c>
      <c r="EO111" s="62">
        <f ca="1">AVERAGE(OFFSET($EN$3,0,0,'Données projet'!$E$15+1,1))-AVERAGE(OFFSET($H$3,0,0,'Données projet'!$E$15+1,1))</f>
        <v>406.24139966722936</v>
      </c>
      <c r="EP111" s="62">
        <f t="shared" si="100"/>
        <v>295.95724296920577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1.1368683772161603E-13</v>
      </c>
      <c r="FF111" s="18">
        <f>FE111*VLOOKUP('Données projet'!$B$16,Paramètres!$A$1:$I$89,3,0)*VLOOKUP('Données projet'!$B$16,Paramètres!$A$1:$I$89,5,0)</f>
        <v>8.8675733422860506E-14</v>
      </c>
      <c r="FG111" s="14">
        <f t="shared" si="101"/>
        <v>1.3509285393066301E-12</v>
      </c>
      <c r="FH111" s="22">
        <f t="shared" si="76"/>
        <v>2.5073107750038623E-12</v>
      </c>
      <c r="FI111" s="62">
        <f t="shared" si="77"/>
        <v>293.33333333333582</v>
      </c>
      <c r="FJ111" s="62">
        <f ca="1">AVERAGE(OFFSET($FI$3,0,0,'Données projet'!$E$16+1,1))-AVERAGE(OFFSET($H$3,0,0,'Données projet'!$E$16+1,1))</f>
        <v>292.57482726862594</v>
      </c>
      <c r="FK111" s="62">
        <f t="shared" si="102"/>
        <v>283.48738729114024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5.2</v>
      </c>
      <c r="FZ111" s="13">
        <f>IF('Données projet'!$A$244&gt;35,FZ110+FY111-GH110,IF(A111&lt;'Données projet'!$A$244,$FW$205^A111,IF(A111='Données projet'!$A$244,'Données projet'!$B$244,FZ110+FY111-GH110)))</f>
        <v>402.59999999999991</v>
      </c>
      <c r="GA111" s="18">
        <f>FZ111*VLOOKUP('Données projet'!$B$17,Paramètres!$A$1:$I$89,3,0)*VLOOKUP('Données projet'!$B$17,Paramètres!$A$1:$I$89,5,0)</f>
        <v>389.39471999999989</v>
      </c>
      <c r="GB111" s="14">
        <f t="shared" si="103"/>
        <v>89.623256568911799</v>
      </c>
      <c r="GC111" s="22">
        <f t="shared" si="79"/>
        <v>834.28964252418791</v>
      </c>
      <c r="GD111" s="62">
        <f t="shared" si="80"/>
        <v>1127.6229758575212</v>
      </c>
      <c r="GE111" s="62">
        <f ca="1">AVERAGE(OFFSET($GD$3,0,0,'Données projet'!$E$17+1,1))-AVERAGE(OFFSET($H$3,0,0,'Données projet'!$E$17+1,1))</f>
        <v>562.69380557620775</v>
      </c>
      <c r="GF111" s="62">
        <f t="shared" si="104"/>
        <v>294.45557293177131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5.2</v>
      </c>
      <c r="N112" s="14">
        <f>IF('Données projet'!$A$36&gt;35,N111+M112-V111,IF(A112&lt;'Données projet'!$A$36,$K$205^A112,IF(A112='Données projet'!$A$36,'Données projet'!$B$36,N111+M112-V111)))</f>
        <v>407.7999999999999</v>
      </c>
      <c r="O112" s="14">
        <f>N112*VLOOKUP('Données projet'!$B$9,Paramètres!$A$1:$I$89,3,0)*VLOOKUP('Données projet'!$B$9,Paramètres!$A$1:$I$89,5,0)</f>
        <v>368.97743999999989</v>
      </c>
      <c r="P112" s="14">
        <f t="shared" si="87"/>
        <v>85.458073845884769</v>
      </c>
      <c r="Q112" s="22">
        <f t="shared" si="107"/>
        <v>791.47518661491574</v>
      </c>
      <c r="R112" s="62">
        <f t="shared" si="55"/>
        <v>1084.8085199482491</v>
      </c>
      <c r="S112" s="62">
        <f ca="1">AVERAGE(OFFSET($R$3,0,0,'Données projet'!$E$9+1,1))-AVERAGE(OFFSET($H$3,0,0,'Données projet'!$E$9+1,1))</f>
        <v>529.25712986118265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-9.7543306765146564E-14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446.86777652265448</v>
      </c>
      <c r="AO112" s="62">
        <f t="shared" si="90"/>
        <v>230.82970731138215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-4.5224624045658861E-14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370.59298168107364</v>
      </c>
      <c r="BJ112" s="62">
        <f t="shared" si="92"/>
        <v>404.61777090709171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-5.6843418860808015E-14</v>
      </c>
      <c r="BZ112" s="14">
        <f>BY112*VLOOKUP('Données projet'!$B$12,Paramètres!$A$1:$I$89,3,0)*VLOOKUP('Données projet'!$B$12,Paramètres!$A$1:$I$89,5,0)</f>
        <v>-4.1677594708744434E-14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344.45199703750711</v>
      </c>
      <c r="CE112" s="62">
        <f t="shared" si="94"/>
        <v>376.41441893222185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2.2737367544323206E-13</v>
      </c>
      <c r="CU112" s="18">
        <f>CT112*VLOOKUP('Données projet'!$B$13,Paramètres!$A$1:$I$89,3,0)*VLOOKUP('Données projet'!$B$13,Paramètres!$A$1:$I$89,5,0)</f>
        <v>1.4897523215040565E-13</v>
      </c>
      <c r="CV112" s="14">
        <f t="shared" si="95"/>
        <v>2.136562777003313E-12</v>
      </c>
      <c r="CW112" s="22">
        <f t="shared" si="67"/>
        <v>3.9806453659427267E-12</v>
      </c>
      <c r="CX112" s="62">
        <f t="shared" si="68"/>
        <v>293.33333333333729</v>
      </c>
      <c r="CY112" s="62">
        <f ca="1">AVERAGE(OFFSET($CX$3,0,0,'Données projet'!$E$13+1,1))-AVERAGE(OFFSET($H$3,0,0,'Données projet'!$E$13+1,1))</f>
        <v>311.53750850588153</v>
      </c>
      <c r="CZ112" s="62">
        <f t="shared" si="96"/>
        <v>304.84379909635476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-1.1368683772161603E-13</v>
      </c>
      <c r="DP112" s="18">
        <f>DO112*VLOOKUP('Données projet'!$B$14,Paramètres!$A$1:$I$89,3,0)*VLOOKUP('Données projet'!$B$14,Paramètres!$A$1:$I$89,5,0)</f>
        <v>-9.2222762759774927E-14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256.19915261735281</v>
      </c>
      <c r="DU112" s="62">
        <f t="shared" si="98"/>
        <v>297.47246687305056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3.3974358974359005</v>
      </c>
      <c r="EJ112" s="13">
        <f>IF('Données projet'!$A$192&gt;35,EJ111+EI112-ER111,IF(A112&lt;'Données projet'!$A$192,$EG$205^A112,IF(A112='Données projet'!$A$192,'Données projet'!$B$192,EJ111+EI112-ER111)))</f>
        <v>288.91025641025652</v>
      </c>
      <c r="EK112" s="18">
        <f>EJ112*VLOOKUP('Données projet'!$B$15,Paramètres!$A$1:$I$89,3,0)*VLOOKUP('Données projet'!$B$15,Paramètres!$A$1:$I$89,5,0)</f>
        <v>274.92700000000013</v>
      </c>
      <c r="EL112" s="14">
        <f t="shared" si="99"/>
        <v>65.893799998961399</v>
      </c>
      <c r="EM112" s="22">
        <f t="shared" si="73"/>
        <v>593.59622666485791</v>
      </c>
      <c r="EN112" s="62">
        <f t="shared" si="74"/>
        <v>886.92955999819128</v>
      </c>
      <c r="EO112" s="62">
        <f ca="1">AVERAGE(OFFSET($EN$3,0,0,'Données projet'!$E$15+1,1))-AVERAGE(OFFSET($H$3,0,0,'Données projet'!$E$15+1,1))</f>
        <v>406.24139966722936</v>
      </c>
      <c r="EP112" s="62">
        <f t="shared" si="100"/>
        <v>295.95724296920577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1.1368683772161603E-13</v>
      </c>
      <c r="FF112" s="18">
        <f>FE112*VLOOKUP('Données projet'!$B$16,Paramètres!$A$1:$I$89,3,0)*VLOOKUP('Données projet'!$B$16,Paramètres!$A$1:$I$89,5,0)</f>
        <v>8.8675733422860506E-14</v>
      </c>
      <c r="FG112" s="14">
        <f t="shared" si="101"/>
        <v>1.3509285393066301E-12</v>
      </c>
      <c r="FH112" s="22">
        <f t="shared" si="76"/>
        <v>2.5073107750038623E-12</v>
      </c>
      <c r="FI112" s="62">
        <f t="shared" si="77"/>
        <v>293.33333333333582</v>
      </c>
      <c r="FJ112" s="62">
        <f ca="1">AVERAGE(OFFSET($FI$3,0,0,'Données projet'!$E$16+1,1))-AVERAGE(OFFSET($H$3,0,0,'Données projet'!$E$16+1,1))</f>
        <v>292.57482726862594</v>
      </c>
      <c r="FK112" s="62">
        <f t="shared" si="102"/>
        <v>283.48738729114024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5.2</v>
      </c>
      <c r="FZ112" s="13">
        <f>IF('Données projet'!$A$244&gt;35,FZ111+FY112-GH111,IF(A112&lt;'Données projet'!$A$244,$FW$205^A112,IF(A112='Données projet'!$A$244,'Données projet'!$B$244,FZ111+FY112-GH111)))</f>
        <v>407.7999999999999</v>
      </c>
      <c r="GA112" s="18">
        <f>FZ112*VLOOKUP('Données projet'!$B$17,Paramètres!$A$1:$I$89,3,0)*VLOOKUP('Données projet'!$B$17,Paramètres!$A$1:$I$89,5,0)</f>
        <v>394.42415999999992</v>
      </c>
      <c r="GB112" s="14">
        <f t="shared" si="103"/>
        <v>90.645327349106196</v>
      </c>
      <c r="GC112" s="22">
        <f t="shared" si="79"/>
        <v>844.82935713302641</v>
      </c>
      <c r="GD112" s="62">
        <f t="shared" si="80"/>
        <v>1138.1626904663597</v>
      </c>
      <c r="GE112" s="62">
        <f ca="1">AVERAGE(OFFSET($GD$3,0,0,'Données projet'!$E$17+1,1))-AVERAGE(OFFSET($H$3,0,0,'Données projet'!$E$17+1,1))</f>
        <v>562.69380557620775</v>
      </c>
      <c r="GF112" s="62">
        <f t="shared" si="104"/>
        <v>294.45557293177131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413</v>
      </c>
      <c r="L113" s="13">
        <f>VLOOKUP(A113,'Données projet'!$A$35:$I$55,9,0)</f>
        <v>5.2</v>
      </c>
      <c r="M113" s="13">
        <f t="array" ref="M113">INDEX(L:L,MIN(IF(ISNUMBER(L113:L309),ROW(L113:L309),"")))</f>
        <v>5.2</v>
      </c>
      <c r="N113" s="14">
        <f>IF('Données projet'!$A$36&gt;35,N112+M113-V112,IF(A113&lt;'Données projet'!$A$36,$K$205^A113,IF(A113='Données projet'!$A$36,'Données projet'!$B$36,N112+M113-V112)))</f>
        <v>412.99999999999989</v>
      </c>
      <c r="O113" s="14">
        <f>N113*VLOOKUP('Données projet'!$B$9,Paramètres!$A$1:$I$89,3,0)*VLOOKUP('Données projet'!$B$9,Paramètres!$A$1:$I$89,5,0)</f>
        <v>373.68239999999986</v>
      </c>
      <c r="P113" s="14">
        <f t="shared" si="87"/>
        <v>86.420226600704183</v>
      </c>
      <c r="Q113" s="22">
        <f t="shared" si="107"/>
        <v>801.34540799622619</v>
      </c>
      <c r="R113" s="62">
        <f t="shared" si="55"/>
        <v>1094.6787413295594</v>
      </c>
      <c r="S113" s="62">
        <f ca="1">AVERAGE(OFFSET($R$3,0,0,'Données projet'!$E$9+1,1))-AVERAGE(OFFSET($H$3,0,0,'Données projet'!$E$9+1,1))</f>
        <v>529.25712986118265</v>
      </c>
      <c r="T113" s="62">
        <f t="shared" si="88"/>
        <v>278.21741231699929</v>
      </c>
      <c r="U113" s="16">
        <f>IF(ISNA(VLOOKUP(A113,'Données projet'!$A$35:$I$55,3,0)),0,VLOOKUP(A113,'Données projet'!$A$35:$I$55,3,0))</f>
        <v>8</v>
      </c>
      <c r="V113" s="16">
        <f>IF(ISNA(VLOOKUP(A113,'Données projet'!$A$35:$I$55,4,0)),0,VLOOKUP(A113,'Données projet'!$A$35:$I$55,4,0))</f>
        <v>106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-9.7543306765146564E-14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446.86777652265448</v>
      </c>
      <c r="AO113" s="62">
        <f t="shared" si="90"/>
        <v>230.82970731138215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-4.5224624045658861E-14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370.59298168107364</v>
      </c>
      <c r="BJ113" s="62">
        <f t="shared" si="92"/>
        <v>404.61777090709171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-5.6843418860808015E-14</v>
      </c>
      <c r="BZ113" s="14">
        <f>BY113*VLOOKUP('Données projet'!$B$12,Paramètres!$A$1:$I$89,3,0)*VLOOKUP('Données projet'!$B$12,Paramètres!$A$1:$I$89,5,0)</f>
        <v>-4.1677594708744434E-14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344.45199703750711</v>
      </c>
      <c r="CE113" s="62">
        <f t="shared" si="94"/>
        <v>376.41441893222185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2.2737367544323206E-13</v>
      </c>
      <c r="CU113" s="18">
        <f>CT113*VLOOKUP('Données projet'!$B$13,Paramètres!$A$1:$I$89,3,0)*VLOOKUP('Données projet'!$B$13,Paramètres!$A$1:$I$89,5,0)</f>
        <v>1.4897523215040565E-13</v>
      </c>
      <c r="CV113" s="14">
        <f t="shared" si="95"/>
        <v>2.136562777003313E-12</v>
      </c>
      <c r="CW113" s="22">
        <f t="shared" si="67"/>
        <v>3.9806453659427267E-12</v>
      </c>
      <c r="CX113" s="62">
        <f t="shared" si="68"/>
        <v>293.33333333333729</v>
      </c>
      <c r="CY113" s="62">
        <f ca="1">AVERAGE(OFFSET($CX$3,0,0,'Données projet'!$E$13+1,1))-AVERAGE(OFFSET($H$3,0,0,'Données projet'!$E$13+1,1))</f>
        <v>311.53750850588153</v>
      </c>
      <c r="CZ113" s="62">
        <f t="shared" si="96"/>
        <v>304.84379909635476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-1.1368683772161603E-13</v>
      </c>
      <c r="DP113" s="18">
        <f>DO113*VLOOKUP('Données projet'!$B$14,Paramètres!$A$1:$I$89,3,0)*VLOOKUP('Données projet'!$B$14,Paramètres!$A$1:$I$89,5,0)</f>
        <v>-9.2222762759774927E-14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256.19915261735281</v>
      </c>
      <c r="DU113" s="62">
        <f t="shared" si="98"/>
        <v>297.47246687305056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292.30769230769232</v>
      </c>
      <c r="EH113" s="13">
        <f>VLOOKUP(A113,'Données projet'!$A$191:$I$211,9,0)</f>
        <v>3.3974358974359005</v>
      </c>
      <c r="EI113" s="13">
        <f t="array" ref="EI113">INDEX(EH:EH,MIN(IF(ISNUMBER(EH113:EH309),ROW(EH113:EH309),"")))</f>
        <v>3.3974358974359005</v>
      </c>
      <c r="EJ113" s="13">
        <f>IF('Données projet'!$A$192&gt;35,EJ112+EI113-ER112,IF(A113&lt;'Données projet'!$A$192,$EG$205^A113,IF(A113='Données projet'!$A$192,'Données projet'!$B$192,EJ112+EI113-ER112)))</f>
        <v>292.30769230769243</v>
      </c>
      <c r="EK113" s="18">
        <f>EJ113*VLOOKUP('Données projet'!$B$15,Paramètres!$A$1:$I$89,3,0)*VLOOKUP('Données projet'!$B$15,Paramètres!$A$1:$I$89,5,0)</f>
        <v>278.16000000000014</v>
      </c>
      <c r="EL113" s="14">
        <f t="shared" si="99"/>
        <v>66.578014905913179</v>
      </c>
      <c r="EM113" s="22">
        <f t="shared" si="73"/>
        <v>600.41870929446566</v>
      </c>
      <c r="EN113" s="62">
        <f t="shared" si="74"/>
        <v>893.75204262779903</v>
      </c>
      <c r="EO113" s="62">
        <f ca="1">AVERAGE(OFFSET($EN$3,0,0,'Données projet'!$E$15+1,1))-AVERAGE(OFFSET($H$3,0,0,'Données projet'!$E$15+1,1))</f>
        <v>406.24139966722936</v>
      </c>
      <c r="EP113" s="62">
        <f t="shared" si="100"/>
        <v>295.95724296920577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37.820512820512818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1.1368683772161603E-13</v>
      </c>
      <c r="FF113" s="18">
        <f>FE113*VLOOKUP('Données projet'!$B$16,Paramètres!$A$1:$I$89,3,0)*VLOOKUP('Données projet'!$B$16,Paramètres!$A$1:$I$89,5,0)</f>
        <v>8.8675733422860506E-14</v>
      </c>
      <c r="FG113" s="14">
        <f t="shared" si="101"/>
        <v>1.3509285393066301E-12</v>
      </c>
      <c r="FH113" s="22">
        <f t="shared" si="76"/>
        <v>2.5073107750038623E-12</v>
      </c>
      <c r="FI113" s="62">
        <f t="shared" si="77"/>
        <v>293.33333333333582</v>
      </c>
      <c r="FJ113" s="62">
        <f ca="1">AVERAGE(OFFSET($FI$3,0,0,'Données projet'!$E$16+1,1))-AVERAGE(OFFSET($H$3,0,0,'Données projet'!$E$16+1,1))</f>
        <v>292.57482726862594</v>
      </c>
      <c r="FK113" s="62">
        <f t="shared" si="102"/>
        <v>283.48738729114024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413</v>
      </c>
      <c r="FX113" s="13">
        <f>VLOOKUP(A113,'Données projet'!$A$243:$I$263,9,0)</f>
        <v>5.2</v>
      </c>
      <c r="FY113" s="13">
        <f t="array" ref="FY113">INDEX(FX:FX,MIN(IF(ISNUMBER(FX113:FX309),ROW(FX113:FX309),"")))</f>
        <v>5.2</v>
      </c>
      <c r="FZ113" s="13">
        <f>IF('Données projet'!$A$244&gt;35,FZ112+FY113-GH112,IF(A113&lt;'Données projet'!$A$244,$FW$205^A113,IF(A113='Données projet'!$A$244,'Données projet'!$B$244,FZ112+FY113-GH112)))</f>
        <v>412.99999999999989</v>
      </c>
      <c r="GA113" s="18">
        <f>FZ113*VLOOKUP('Données projet'!$B$17,Paramètres!$A$1:$I$89,3,0)*VLOOKUP('Données projet'!$B$17,Paramètres!$A$1:$I$89,5,0)</f>
        <v>399.45359999999994</v>
      </c>
      <c r="GB113" s="14">
        <f t="shared" si="103"/>
        <v>91.665882195424544</v>
      </c>
      <c r="GC113" s="22">
        <f t="shared" si="79"/>
        <v>855.36643149036433</v>
      </c>
      <c r="GD113" s="62">
        <f t="shared" si="80"/>
        <v>1148.6997648236977</v>
      </c>
      <c r="GE113" s="62">
        <f ca="1">AVERAGE(OFFSET($GD$3,0,0,'Données projet'!$E$17+1,1))-AVERAGE(OFFSET($H$3,0,0,'Données projet'!$E$17+1,1))</f>
        <v>562.69380557620775</v>
      </c>
      <c r="GF113" s="62">
        <f t="shared" si="104"/>
        <v>294.45557293177131</v>
      </c>
      <c r="GG113" s="16">
        <f>IF(ISNA(VLOOKUP(A113,'Données projet'!$A$243:$I$263,3,0)),0,VLOOKUP(A113,'Données projet'!$A$243:$I$263,3,0))</f>
        <v>8</v>
      </c>
      <c r="GH113" s="16">
        <f>IF(ISNA(VLOOKUP(A113,'Données projet'!$A$243:$I$263,4,0)),0,VLOOKUP(A113,'Données projet'!$A$243:$I$263,4,0))</f>
        <v>106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</v>
      </c>
      <c r="N114" s="14">
        <f>IF('Données projet'!$A$36&gt;35,N113+M114-V113,IF(A114&lt;'Données projet'!$A$36,$K$205^A114,IF(A114='Données projet'!$A$36,'Données projet'!$B$36,N113+M114-V113)))</f>
        <v>311.49999999999989</v>
      </c>
      <c r="O114" s="14">
        <f>N114*VLOOKUP('Données projet'!$B$9,Paramètres!$A$1:$I$89,3,0)*VLOOKUP('Données projet'!$B$9,Paramètres!$A$1:$I$89,5,0)</f>
        <v>281.84519999999992</v>
      </c>
      <c r="P114" s="14">
        <f t="shared" si="87"/>
        <v>67.356803491560484</v>
      </c>
      <c r="Q114" s="22">
        <f t="shared" si="107"/>
        <v>608.19348941446765</v>
      </c>
      <c r="R114" s="62">
        <f t="shared" si="55"/>
        <v>901.52682274780091</v>
      </c>
      <c r="S114" s="62">
        <f ca="1">AVERAGE(OFFSET($R$3,0,0,'Données projet'!$E$9+1,1))-AVERAGE(OFFSET($H$3,0,0,'Données projet'!$E$9+1,1))</f>
        <v>529.25712986118265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-9.7543306765146564E-14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446.86777652265448</v>
      </c>
      <c r="AO114" s="62">
        <f t="shared" si="90"/>
        <v>230.82970731138215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-4.5224624045658861E-14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370.59298168107364</v>
      </c>
      <c r="BJ114" s="62">
        <f t="shared" si="92"/>
        <v>404.61777090709171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-5.6843418860808015E-14</v>
      </c>
      <c r="BZ114" s="14">
        <f>BY114*VLOOKUP('Données projet'!$B$12,Paramètres!$A$1:$I$89,3,0)*VLOOKUP('Données projet'!$B$12,Paramètres!$A$1:$I$89,5,0)</f>
        <v>-4.1677594708744434E-14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344.45199703750711</v>
      </c>
      <c r="CE114" s="62">
        <f t="shared" si="94"/>
        <v>376.41441893222185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2.2737367544323206E-13</v>
      </c>
      <c r="CU114" s="18">
        <f>CT114*VLOOKUP('Données projet'!$B$13,Paramètres!$A$1:$I$89,3,0)*VLOOKUP('Données projet'!$B$13,Paramètres!$A$1:$I$89,5,0)</f>
        <v>1.4897523215040565E-13</v>
      </c>
      <c r="CV114" s="14">
        <f t="shared" si="95"/>
        <v>2.136562777003313E-12</v>
      </c>
      <c r="CW114" s="22">
        <f t="shared" si="67"/>
        <v>3.9806453659427267E-12</v>
      </c>
      <c r="CX114" s="62">
        <f t="shared" si="68"/>
        <v>293.33333333333729</v>
      </c>
      <c r="CY114" s="62">
        <f ca="1">AVERAGE(OFFSET($CX$3,0,0,'Données projet'!$E$13+1,1))-AVERAGE(OFFSET($H$3,0,0,'Données projet'!$E$13+1,1))</f>
        <v>311.53750850588153</v>
      </c>
      <c r="CZ114" s="62">
        <f t="shared" si="96"/>
        <v>304.84379909635476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-1.1368683772161603E-13</v>
      </c>
      <c r="DP114" s="18">
        <f>DO114*VLOOKUP('Données projet'!$B$14,Paramètres!$A$1:$I$89,3,0)*VLOOKUP('Données projet'!$B$14,Paramètres!$A$1:$I$89,5,0)</f>
        <v>-9.2222762759774927E-14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256.19915261735281</v>
      </c>
      <c r="DU114" s="62">
        <f t="shared" si="98"/>
        <v>297.47246687305056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3.141025641025641</v>
      </c>
      <c r="EJ114" s="13">
        <f>IF('Données projet'!$A$192&gt;35,EJ113+EI114-ER113,IF(A114&lt;'Données projet'!$A$192,$EG$205^A114,IF(A114='Données projet'!$A$192,'Données projet'!$B$192,EJ113+EI114-ER113)))</f>
        <v>257.62820512820525</v>
      </c>
      <c r="EK114" s="18">
        <f>EJ114*VLOOKUP('Données projet'!$B$15,Paramètres!$A$1:$I$89,3,0)*VLOOKUP('Données projet'!$B$15,Paramètres!$A$1:$I$89,5,0)</f>
        <v>245.15900000000013</v>
      </c>
      <c r="EL114" s="14">
        <f t="shared" si="99"/>
        <v>59.548136793550292</v>
      </c>
      <c r="EM114" s="22">
        <f t="shared" si="73"/>
        <v>530.69826324876692</v>
      </c>
      <c r="EN114" s="62">
        <f t="shared" si="74"/>
        <v>824.03159658210029</v>
      </c>
      <c r="EO114" s="62">
        <f ca="1">AVERAGE(OFFSET($EN$3,0,0,'Données projet'!$E$15+1,1))-AVERAGE(OFFSET($H$3,0,0,'Données projet'!$E$15+1,1))</f>
        <v>406.24139966722936</v>
      </c>
      <c r="EP114" s="62">
        <f t="shared" si="100"/>
        <v>295.95724296920577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1.1368683772161603E-13</v>
      </c>
      <c r="FF114" s="18">
        <f>FE114*VLOOKUP('Données projet'!$B$16,Paramètres!$A$1:$I$89,3,0)*VLOOKUP('Données projet'!$B$16,Paramètres!$A$1:$I$89,5,0)</f>
        <v>8.8675733422860506E-14</v>
      </c>
      <c r="FG114" s="14">
        <f t="shared" si="101"/>
        <v>1.3509285393066301E-12</v>
      </c>
      <c r="FH114" s="22">
        <f t="shared" si="76"/>
        <v>2.5073107750038623E-12</v>
      </c>
      <c r="FI114" s="62">
        <f t="shared" si="77"/>
        <v>293.33333333333582</v>
      </c>
      <c r="FJ114" s="62">
        <f ca="1">AVERAGE(OFFSET($FI$3,0,0,'Données projet'!$E$16+1,1))-AVERAGE(OFFSET($H$3,0,0,'Données projet'!$E$16+1,1))</f>
        <v>292.57482726862594</v>
      </c>
      <c r="FK114" s="62">
        <f t="shared" si="102"/>
        <v>283.48738729114024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4.5</v>
      </c>
      <c r="FZ114" s="13">
        <f>IF('Données projet'!$A$244&gt;35,FZ113+FY114-GH113,IF(A114&lt;'Données projet'!$A$244,$FW$205^A114,IF(A114='Données projet'!$A$244,'Données projet'!$B$244,FZ113+FY114-GH113)))</f>
        <v>311.49999999999989</v>
      </c>
      <c r="GA114" s="18">
        <f>FZ114*VLOOKUP('Données projet'!$B$17,Paramètres!$A$1:$I$89,3,0)*VLOOKUP('Données projet'!$B$17,Paramètres!$A$1:$I$89,5,0)</f>
        <v>301.2827999999999</v>
      </c>
      <c r="GB114" s="14">
        <f t="shared" si="103"/>
        <v>71.445320809508729</v>
      </c>
      <c r="GC114" s="22">
        <f t="shared" si="79"/>
        <v>649.16814374322746</v>
      </c>
      <c r="GD114" s="62">
        <f t="shared" si="80"/>
        <v>942.50147707656083</v>
      </c>
      <c r="GE114" s="62">
        <f ca="1">AVERAGE(OFFSET($GD$3,0,0,'Données projet'!$E$17+1,1))-AVERAGE(OFFSET($H$3,0,0,'Données projet'!$E$17+1,1))</f>
        <v>562.69380557620775</v>
      </c>
      <c r="GF114" s="62">
        <f t="shared" si="104"/>
        <v>294.45557293177131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</v>
      </c>
      <c r="N115" s="14">
        <f>IF('Données projet'!$A$36&gt;35,N114+M115-V114,IF(A115&lt;'Données projet'!$A$36,$K$205^A115,IF(A115='Données projet'!$A$36,'Données projet'!$B$36,N114+M115-V114)))</f>
        <v>315.99999999999989</v>
      </c>
      <c r="O115" s="14">
        <f>N115*VLOOKUP('Données projet'!$B$9,Paramètres!$A$1:$I$89,3,0)*VLOOKUP('Données projet'!$B$9,Paramètres!$A$1:$I$89,5,0)</f>
        <v>285.91679999999985</v>
      </c>
      <c r="P115" s="14">
        <f t="shared" si="87"/>
        <v>68.215872977287475</v>
      </c>
      <c r="Q115" s="22">
        <f t="shared" si="107"/>
        <v>616.78107210210862</v>
      </c>
      <c r="R115" s="62">
        <f t="shared" si="55"/>
        <v>910.11440543544199</v>
      </c>
      <c r="S115" s="62">
        <f ca="1">AVERAGE(OFFSET($R$3,0,0,'Données projet'!$E$9+1,1))-AVERAGE(OFFSET($H$3,0,0,'Données projet'!$E$9+1,1))</f>
        <v>529.25712986118265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-9.7543306765146564E-14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446.86777652265448</v>
      </c>
      <c r="AO115" s="62">
        <f t="shared" si="90"/>
        <v>230.82970731138215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-4.5224624045658861E-14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370.59298168107364</v>
      </c>
      <c r="BJ115" s="62">
        <f t="shared" si="92"/>
        <v>404.61777090709171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-5.6843418860808015E-14</v>
      </c>
      <c r="BZ115" s="14">
        <f>BY115*VLOOKUP('Données projet'!$B$12,Paramètres!$A$1:$I$89,3,0)*VLOOKUP('Données projet'!$B$12,Paramètres!$A$1:$I$89,5,0)</f>
        <v>-4.1677594708744434E-14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344.45199703750711</v>
      </c>
      <c r="CE115" s="62">
        <f t="shared" si="94"/>
        <v>376.41441893222185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2.2737367544323206E-13</v>
      </c>
      <c r="CU115" s="18">
        <f>CT115*VLOOKUP('Données projet'!$B$13,Paramètres!$A$1:$I$89,3,0)*VLOOKUP('Données projet'!$B$13,Paramètres!$A$1:$I$89,5,0)</f>
        <v>1.4897523215040565E-13</v>
      </c>
      <c r="CV115" s="14">
        <f t="shared" si="95"/>
        <v>2.136562777003313E-12</v>
      </c>
      <c r="CW115" s="22">
        <f t="shared" si="67"/>
        <v>3.9806453659427267E-12</v>
      </c>
      <c r="CX115" s="62">
        <f t="shared" si="68"/>
        <v>293.33333333333729</v>
      </c>
      <c r="CY115" s="62">
        <f ca="1">AVERAGE(OFFSET($CX$3,0,0,'Données projet'!$E$13+1,1))-AVERAGE(OFFSET($H$3,0,0,'Données projet'!$E$13+1,1))</f>
        <v>311.53750850588153</v>
      </c>
      <c r="CZ115" s="62">
        <f t="shared" si="96"/>
        <v>304.84379909635476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-1.1368683772161603E-13</v>
      </c>
      <c r="DP115" s="18">
        <f>DO115*VLOOKUP('Données projet'!$B$14,Paramètres!$A$1:$I$89,3,0)*VLOOKUP('Données projet'!$B$14,Paramètres!$A$1:$I$89,5,0)</f>
        <v>-9.2222762759774927E-14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256.19915261735281</v>
      </c>
      <c r="DU115" s="62">
        <f t="shared" si="98"/>
        <v>297.47246687305056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3.141025641025641</v>
      </c>
      <c r="EJ115" s="13">
        <f>IF('Données projet'!$A$192&gt;35,EJ114+EI115-ER114,IF(A115&lt;'Données projet'!$A$192,$EG$205^A115,IF(A115='Données projet'!$A$192,'Données projet'!$B$192,EJ114+EI115-ER114)))</f>
        <v>260.76923076923089</v>
      </c>
      <c r="EK115" s="18">
        <f>EJ115*VLOOKUP('Données projet'!$B$15,Paramètres!$A$1:$I$89,3,0)*VLOOKUP('Données projet'!$B$15,Paramètres!$A$1:$I$89,5,0)</f>
        <v>248.14800000000011</v>
      </c>
      <c r="EL115" s="14">
        <f t="shared" si="99"/>
        <v>60.189191470108021</v>
      </c>
      <c r="EM115" s="22">
        <f t="shared" si="73"/>
        <v>537.02060847710493</v>
      </c>
      <c r="EN115" s="62">
        <f t="shared" si="74"/>
        <v>830.3539418104383</v>
      </c>
      <c r="EO115" s="62">
        <f ca="1">AVERAGE(OFFSET($EN$3,0,0,'Données projet'!$E$15+1,1))-AVERAGE(OFFSET($H$3,0,0,'Données projet'!$E$15+1,1))</f>
        <v>406.24139966722936</v>
      </c>
      <c r="EP115" s="62">
        <f t="shared" si="100"/>
        <v>295.95724296920577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1.1368683772161603E-13</v>
      </c>
      <c r="FF115" s="18">
        <f>FE115*VLOOKUP('Données projet'!$B$16,Paramètres!$A$1:$I$89,3,0)*VLOOKUP('Données projet'!$B$16,Paramètres!$A$1:$I$89,5,0)</f>
        <v>8.8675733422860506E-14</v>
      </c>
      <c r="FG115" s="14">
        <f t="shared" si="101"/>
        <v>1.3509285393066301E-12</v>
      </c>
      <c r="FH115" s="22">
        <f t="shared" si="76"/>
        <v>2.5073107750038623E-12</v>
      </c>
      <c r="FI115" s="62">
        <f t="shared" si="77"/>
        <v>293.33333333333582</v>
      </c>
      <c r="FJ115" s="62">
        <f ca="1">AVERAGE(OFFSET($FI$3,0,0,'Données projet'!$E$16+1,1))-AVERAGE(OFFSET($H$3,0,0,'Données projet'!$E$16+1,1))</f>
        <v>292.57482726862594</v>
      </c>
      <c r="FK115" s="62">
        <f t="shared" si="102"/>
        <v>283.48738729114024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4.5</v>
      </c>
      <c r="FZ115" s="13">
        <f>IF('Données projet'!$A$244&gt;35,FZ114+FY115-GH114,IF(A115&lt;'Données projet'!$A$244,$FW$205^A115,IF(A115='Données projet'!$A$244,'Données projet'!$B$244,FZ114+FY115-GH114)))</f>
        <v>315.99999999999989</v>
      </c>
      <c r="GA115" s="18">
        <f>FZ115*VLOOKUP('Données projet'!$B$17,Paramètres!$A$1:$I$89,3,0)*VLOOKUP('Données projet'!$B$17,Paramètres!$A$1:$I$89,5,0)</f>
        <v>305.63519999999988</v>
      </c>
      <c r="GB115" s="14">
        <f t="shared" si="103"/>
        <v>72.356535294517812</v>
      </c>
      <c r="GC115" s="22">
        <f t="shared" si="79"/>
        <v>658.33560563795163</v>
      </c>
      <c r="GD115" s="62">
        <f t="shared" si="80"/>
        <v>951.66893897128489</v>
      </c>
      <c r="GE115" s="62">
        <f ca="1">AVERAGE(OFFSET($GD$3,0,0,'Données projet'!$E$17+1,1))-AVERAGE(OFFSET($H$3,0,0,'Données projet'!$E$17+1,1))</f>
        <v>562.69380557620775</v>
      </c>
      <c r="GF115" s="62">
        <f t="shared" si="104"/>
        <v>294.45557293177131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</v>
      </c>
      <c r="N116" s="14">
        <f>IF('Données projet'!$A$36&gt;35,N115+M116-V115,IF(A116&lt;'Données projet'!$A$36,$K$205^A116,IF(A116='Données projet'!$A$36,'Données projet'!$B$36,N115+M116-V115)))</f>
        <v>320.49999999999989</v>
      </c>
      <c r="O116" s="14">
        <f>N116*VLOOKUP('Données projet'!$B$9,Paramètres!$A$1:$I$89,3,0)*VLOOKUP('Données projet'!$B$9,Paramètres!$A$1:$I$89,5,0)</f>
        <v>289.9883999999999</v>
      </c>
      <c r="P116" s="14">
        <f t="shared" si="87"/>
        <v>69.073519602481525</v>
      </c>
      <c r="Q116" s="22">
        <f t="shared" si="107"/>
        <v>625.36617664098856</v>
      </c>
      <c r="R116" s="62">
        <f t="shared" si="55"/>
        <v>918.69950997432193</v>
      </c>
      <c r="S116" s="62">
        <f ca="1">AVERAGE(OFFSET($R$3,0,0,'Données projet'!$E$9+1,1))-AVERAGE(OFFSET($H$3,0,0,'Données projet'!$E$9+1,1))</f>
        <v>529.25712986118265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-9.7543306765146564E-14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446.86777652265448</v>
      </c>
      <c r="AO116" s="62">
        <f t="shared" si="90"/>
        <v>230.82970731138215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-4.5224624045658861E-14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370.59298168107364</v>
      </c>
      <c r="BJ116" s="62">
        <f t="shared" si="92"/>
        <v>404.61777090709171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-5.6843418860808015E-14</v>
      </c>
      <c r="BZ116" s="14">
        <f>BY116*VLOOKUP('Données projet'!$B$12,Paramètres!$A$1:$I$89,3,0)*VLOOKUP('Données projet'!$B$12,Paramètres!$A$1:$I$89,5,0)</f>
        <v>-4.1677594708744434E-14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344.45199703750711</v>
      </c>
      <c r="CE116" s="62">
        <f t="shared" si="94"/>
        <v>376.41441893222185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2.2737367544323206E-13</v>
      </c>
      <c r="CU116" s="18">
        <f>CT116*VLOOKUP('Données projet'!$B$13,Paramètres!$A$1:$I$89,3,0)*VLOOKUP('Données projet'!$B$13,Paramètres!$A$1:$I$89,5,0)</f>
        <v>1.4897523215040565E-13</v>
      </c>
      <c r="CV116" s="14">
        <f t="shared" si="95"/>
        <v>2.136562777003313E-12</v>
      </c>
      <c r="CW116" s="22">
        <f t="shared" si="67"/>
        <v>3.9806453659427267E-12</v>
      </c>
      <c r="CX116" s="62">
        <f t="shared" si="68"/>
        <v>293.33333333333729</v>
      </c>
      <c r="CY116" s="62">
        <f ca="1">AVERAGE(OFFSET($CX$3,0,0,'Données projet'!$E$13+1,1))-AVERAGE(OFFSET($H$3,0,0,'Données projet'!$E$13+1,1))</f>
        <v>311.53750850588153</v>
      </c>
      <c r="CZ116" s="62">
        <f t="shared" si="96"/>
        <v>304.84379909635476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-1.1368683772161603E-13</v>
      </c>
      <c r="DP116" s="18">
        <f>DO116*VLOOKUP('Données projet'!$B$14,Paramètres!$A$1:$I$89,3,0)*VLOOKUP('Données projet'!$B$14,Paramètres!$A$1:$I$89,5,0)</f>
        <v>-9.2222762759774927E-14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256.19915261735281</v>
      </c>
      <c r="DU116" s="62">
        <f t="shared" si="98"/>
        <v>297.47246687305056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3.141025641025641</v>
      </c>
      <c r="EJ116" s="13">
        <f>IF('Données projet'!$A$192&gt;35,EJ115+EI116-ER115,IF(A116&lt;'Données projet'!$A$192,$EG$205^A116,IF(A116='Données projet'!$A$192,'Données projet'!$B$192,EJ115+EI116-ER115)))</f>
        <v>263.91025641025652</v>
      </c>
      <c r="EK116" s="18">
        <f>EJ116*VLOOKUP('Données projet'!$B$15,Paramètres!$A$1:$I$89,3,0)*VLOOKUP('Données projet'!$B$15,Paramètres!$A$1:$I$89,5,0)</f>
        <v>251.13700000000011</v>
      </c>
      <c r="EL116" s="14">
        <f t="shared" si="99"/>
        <v>60.82934795323235</v>
      </c>
      <c r="EM116" s="22">
        <f t="shared" si="73"/>
        <v>543.34138935187991</v>
      </c>
      <c r="EN116" s="62">
        <f t="shared" si="74"/>
        <v>836.67472268521328</v>
      </c>
      <c r="EO116" s="62">
        <f ca="1">AVERAGE(OFFSET($EN$3,0,0,'Données projet'!$E$15+1,1))-AVERAGE(OFFSET($H$3,0,0,'Données projet'!$E$15+1,1))</f>
        <v>406.24139966722936</v>
      </c>
      <c r="EP116" s="62">
        <f t="shared" si="100"/>
        <v>295.95724296920577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1.1368683772161603E-13</v>
      </c>
      <c r="FF116" s="18">
        <f>FE116*VLOOKUP('Données projet'!$B$16,Paramètres!$A$1:$I$89,3,0)*VLOOKUP('Données projet'!$B$16,Paramètres!$A$1:$I$89,5,0)</f>
        <v>8.8675733422860506E-14</v>
      </c>
      <c r="FG116" s="14">
        <f t="shared" si="101"/>
        <v>1.3509285393066301E-12</v>
      </c>
      <c r="FH116" s="22">
        <f t="shared" si="76"/>
        <v>2.5073107750038623E-12</v>
      </c>
      <c r="FI116" s="62">
        <f t="shared" si="77"/>
        <v>293.33333333333582</v>
      </c>
      <c r="FJ116" s="62">
        <f ca="1">AVERAGE(OFFSET($FI$3,0,0,'Données projet'!$E$16+1,1))-AVERAGE(OFFSET($H$3,0,0,'Données projet'!$E$16+1,1))</f>
        <v>292.57482726862594</v>
      </c>
      <c r="FK116" s="62">
        <f t="shared" si="102"/>
        <v>283.48738729114024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4.5</v>
      </c>
      <c r="FZ116" s="13">
        <f>IF('Données projet'!$A$244&gt;35,FZ115+FY116-GH115,IF(A116&lt;'Données projet'!$A$244,$FW$205^A116,IF(A116='Données projet'!$A$244,'Données projet'!$B$244,FZ115+FY116-GH115)))</f>
        <v>320.49999999999989</v>
      </c>
      <c r="GA116" s="18">
        <f>FZ116*VLOOKUP('Données projet'!$B$17,Paramètres!$A$1:$I$89,3,0)*VLOOKUP('Données projet'!$B$17,Paramètres!$A$1:$I$89,5,0)</f>
        <v>309.98759999999987</v>
      </c>
      <c r="GB116" s="14">
        <f t="shared" si="103"/>
        <v>73.266240552218449</v>
      </c>
      <c r="GC116" s="22">
        <f t="shared" si="79"/>
        <v>667.50043896178022</v>
      </c>
      <c r="GD116" s="62">
        <f t="shared" si="80"/>
        <v>960.83377229511348</v>
      </c>
      <c r="GE116" s="62">
        <f ca="1">AVERAGE(OFFSET($GD$3,0,0,'Données projet'!$E$17+1,1))-AVERAGE(OFFSET($H$3,0,0,'Données projet'!$E$17+1,1))</f>
        <v>562.69380557620775</v>
      </c>
      <c r="GF116" s="62">
        <f t="shared" si="104"/>
        <v>294.45557293177131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</v>
      </c>
      <c r="N117" s="14">
        <f>IF('Données projet'!$A$36&gt;35,N116+M117-V116,IF(A117&lt;'Données projet'!$A$36,$K$205^A117,IF(A117='Données projet'!$A$36,'Données projet'!$B$36,N116+M117-V116)))</f>
        <v>324.99999999999989</v>
      </c>
      <c r="O117" s="14">
        <f>N117*VLOOKUP('Données projet'!$B$9,Paramètres!$A$1:$I$89,3,0)*VLOOKUP('Données projet'!$B$9,Paramètres!$A$1:$I$89,5,0)</f>
        <v>294.05999999999989</v>
      </c>
      <c r="P117" s="14">
        <f t="shared" si="87"/>
        <v>69.929765653573313</v>
      </c>
      <c r="Q117" s="22">
        <f t="shared" si="107"/>
        <v>633.94884184663999</v>
      </c>
      <c r="R117" s="62">
        <f t="shared" si="55"/>
        <v>927.28217517997336</v>
      </c>
      <c r="S117" s="62">
        <f ca="1">AVERAGE(OFFSET($R$3,0,0,'Données projet'!$E$9+1,1))-AVERAGE(OFFSET($H$3,0,0,'Données projet'!$E$9+1,1))</f>
        <v>529.25712986118265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-9.7543306765146564E-14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446.86777652265448</v>
      </c>
      <c r="AO117" s="62">
        <f t="shared" si="90"/>
        <v>230.82970731138215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-4.5224624045658861E-14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370.59298168107364</v>
      </c>
      <c r="BJ117" s="62">
        <f t="shared" si="92"/>
        <v>404.61777090709171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-5.6843418860808015E-14</v>
      </c>
      <c r="BZ117" s="14">
        <f>BY117*VLOOKUP('Données projet'!$B$12,Paramètres!$A$1:$I$89,3,0)*VLOOKUP('Données projet'!$B$12,Paramètres!$A$1:$I$89,5,0)</f>
        <v>-4.1677594708744434E-14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344.45199703750711</v>
      </c>
      <c r="CE117" s="62">
        <f t="shared" si="94"/>
        <v>376.41441893222185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2.2737367544323206E-13</v>
      </c>
      <c r="CU117" s="18">
        <f>CT117*VLOOKUP('Données projet'!$B$13,Paramètres!$A$1:$I$89,3,0)*VLOOKUP('Données projet'!$B$13,Paramètres!$A$1:$I$89,5,0)</f>
        <v>1.4897523215040565E-13</v>
      </c>
      <c r="CV117" s="14">
        <f t="shared" si="95"/>
        <v>2.136562777003313E-12</v>
      </c>
      <c r="CW117" s="22">
        <f t="shared" si="67"/>
        <v>3.9806453659427267E-12</v>
      </c>
      <c r="CX117" s="62">
        <f t="shared" si="68"/>
        <v>293.33333333333729</v>
      </c>
      <c r="CY117" s="62">
        <f ca="1">AVERAGE(OFFSET($CX$3,0,0,'Données projet'!$E$13+1,1))-AVERAGE(OFFSET($H$3,0,0,'Données projet'!$E$13+1,1))</f>
        <v>311.53750850588153</v>
      </c>
      <c r="CZ117" s="62">
        <f t="shared" si="96"/>
        <v>304.84379909635476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-1.1368683772161603E-13</v>
      </c>
      <c r="DP117" s="18">
        <f>DO117*VLOOKUP('Données projet'!$B$14,Paramètres!$A$1:$I$89,3,0)*VLOOKUP('Données projet'!$B$14,Paramètres!$A$1:$I$89,5,0)</f>
        <v>-9.2222762759774927E-14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256.19915261735281</v>
      </c>
      <c r="DU117" s="62">
        <f t="shared" si="98"/>
        <v>297.47246687305056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3.141025641025641</v>
      </c>
      <c r="EJ117" s="13">
        <f>IF('Données projet'!$A$192&gt;35,EJ116+EI117-ER116,IF(A117&lt;'Données projet'!$A$192,$EG$205^A117,IF(A117='Données projet'!$A$192,'Données projet'!$B$192,EJ116+EI117-ER116)))</f>
        <v>267.05128205128216</v>
      </c>
      <c r="EK117" s="18">
        <f>EJ117*VLOOKUP('Données projet'!$B$15,Paramètres!$A$1:$I$89,3,0)*VLOOKUP('Données projet'!$B$15,Paramètres!$A$1:$I$89,5,0)</f>
        <v>254.12600000000012</v>
      </c>
      <c r="EL117" s="14">
        <f t="shared" si="99"/>
        <v>61.46861816974539</v>
      </c>
      <c r="EM117" s="22">
        <f t="shared" si="73"/>
        <v>549.66062664564004</v>
      </c>
      <c r="EN117" s="62">
        <f t="shared" si="74"/>
        <v>842.99395997897341</v>
      </c>
      <c r="EO117" s="62">
        <f ca="1">AVERAGE(OFFSET($EN$3,0,0,'Données projet'!$E$15+1,1))-AVERAGE(OFFSET($H$3,0,0,'Données projet'!$E$15+1,1))</f>
        <v>406.24139966722936</v>
      </c>
      <c r="EP117" s="62">
        <f t="shared" si="100"/>
        <v>295.95724296920577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1.1368683772161603E-13</v>
      </c>
      <c r="FF117" s="18">
        <f>FE117*VLOOKUP('Données projet'!$B$16,Paramètres!$A$1:$I$89,3,0)*VLOOKUP('Données projet'!$B$16,Paramètres!$A$1:$I$89,5,0)</f>
        <v>8.8675733422860506E-14</v>
      </c>
      <c r="FG117" s="14">
        <f t="shared" si="101"/>
        <v>1.3509285393066301E-12</v>
      </c>
      <c r="FH117" s="22">
        <f t="shared" si="76"/>
        <v>2.5073107750038623E-12</v>
      </c>
      <c r="FI117" s="62">
        <f t="shared" si="77"/>
        <v>293.33333333333582</v>
      </c>
      <c r="FJ117" s="62">
        <f ca="1">AVERAGE(OFFSET($FI$3,0,0,'Données projet'!$E$16+1,1))-AVERAGE(OFFSET($H$3,0,0,'Données projet'!$E$16+1,1))</f>
        <v>292.57482726862594</v>
      </c>
      <c r="FK117" s="62">
        <f t="shared" si="102"/>
        <v>283.48738729114024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4.5</v>
      </c>
      <c r="FZ117" s="13">
        <f>IF('Données projet'!$A$244&gt;35,FZ116+FY117-GH116,IF(A117&lt;'Données projet'!$A$244,$FW$205^A117,IF(A117='Données projet'!$A$244,'Données projet'!$B$244,FZ116+FY117-GH116)))</f>
        <v>324.99999999999989</v>
      </c>
      <c r="GA117" s="18">
        <f>FZ117*VLOOKUP('Données projet'!$B$17,Paramètres!$A$1:$I$89,3,0)*VLOOKUP('Données projet'!$B$17,Paramètres!$A$1:$I$89,5,0)</f>
        <v>314.33999999999986</v>
      </c>
      <c r="GB117" s="14">
        <f t="shared" si="103"/>
        <v>74.174460221814215</v>
      </c>
      <c r="GC117" s="22">
        <f t="shared" si="79"/>
        <v>676.66268488632613</v>
      </c>
      <c r="GD117" s="62">
        <f t="shared" si="80"/>
        <v>969.99601821965939</v>
      </c>
      <c r="GE117" s="62">
        <f ca="1">AVERAGE(OFFSET($GD$3,0,0,'Données projet'!$E$17+1,1))-AVERAGE(OFFSET($H$3,0,0,'Données projet'!$E$17+1,1))</f>
        <v>562.69380557620775</v>
      </c>
      <c r="GF117" s="62">
        <f t="shared" si="104"/>
        <v>294.45557293177131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4.5</v>
      </c>
      <c r="N118" s="14">
        <f>IF('Données projet'!$A$36&gt;35,N117+M118-V117,IF(A118&lt;'Données projet'!$A$36,$K$205^A118,IF(A118='Données projet'!$A$36,'Données projet'!$B$36,N117+M118-V117)))</f>
        <v>329.49999999999989</v>
      </c>
      <c r="O118" s="14">
        <f>N118*VLOOKUP('Données projet'!$B$9,Paramètres!$A$1:$I$89,3,0)*VLOOKUP('Données projet'!$B$9,Paramètres!$A$1:$I$89,5,0)</f>
        <v>298.13159999999988</v>
      </c>
      <c r="P118" s="14">
        <f t="shared" si="87"/>
        <v>70.784632764376028</v>
      </c>
      <c r="Q118" s="22">
        <f t="shared" si="107"/>
        <v>642.52910539795459</v>
      </c>
      <c r="R118" s="62">
        <f t="shared" si="55"/>
        <v>935.86243873128797</v>
      </c>
      <c r="S118" s="62">
        <f ca="1">AVERAGE(OFFSET($R$3,0,0,'Données projet'!$E$9+1,1))-AVERAGE(OFFSET($H$3,0,0,'Données projet'!$E$9+1,1))</f>
        <v>529.25712986118265</v>
      </c>
      <c r="T118" s="62">
        <f t="shared" si="88"/>
        <v>278.21741231699929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-9.7543306765146564E-14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446.86777652265448</v>
      </c>
      <c r="AO118" s="62">
        <f t="shared" si="90"/>
        <v>230.82970731138215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-4.5224624045658861E-14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370.59298168107364</v>
      </c>
      <c r="BJ118" s="62">
        <f t="shared" si="92"/>
        <v>404.61777090709171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-5.6843418860808015E-14</v>
      </c>
      <c r="BZ118" s="14">
        <f>BY118*VLOOKUP('Données projet'!$B$12,Paramètres!$A$1:$I$89,3,0)*VLOOKUP('Données projet'!$B$12,Paramètres!$A$1:$I$89,5,0)</f>
        <v>-4.1677594708744434E-14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344.45199703750711</v>
      </c>
      <c r="CE118" s="62">
        <f t="shared" si="94"/>
        <v>376.41441893222185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2.2737367544323206E-13</v>
      </c>
      <c r="CU118" s="18">
        <f>CT118*VLOOKUP('Données projet'!$B$13,Paramètres!$A$1:$I$89,3,0)*VLOOKUP('Données projet'!$B$13,Paramètres!$A$1:$I$89,5,0)</f>
        <v>1.4897523215040565E-13</v>
      </c>
      <c r="CV118" s="14">
        <f t="shared" si="95"/>
        <v>2.136562777003313E-12</v>
      </c>
      <c r="CW118" s="22">
        <f t="shared" si="67"/>
        <v>3.9806453659427267E-12</v>
      </c>
      <c r="CX118" s="62">
        <f t="shared" si="68"/>
        <v>293.33333333333729</v>
      </c>
      <c r="CY118" s="62">
        <f ca="1">AVERAGE(OFFSET($CX$3,0,0,'Données projet'!$E$13+1,1))-AVERAGE(OFFSET($H$3,0,0,'Données projet'!$E$13+1,1))</f>
        <v>311.53750850588153</v>
      </c>
      <c r="CZ118" s="62">
        <f t="shared" si="96"/>
        <v>304.84379909635476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-1.1368683772161603E-13</v>
      </c>
      <c r="DP118" s="18">
        <f>DO118*VLOOKUP('Données projet'!$B$14,Paramètres!$A$1:$I$89,3,0)*VLOOKUP('Données projet'!$B$14,Paramètres!$A$1:$I$89,5,0)</f>
        <v>-9.2222762759774927E-14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256.19915261735281</v>
      </c>
      <c r="DU118" s="62">
        <f t="shared" si="98"/>
        <v>297.47246687305056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3.141025641025641</v>
      </c>
      <c r="EJ118" s="13">
        <f>IF('Données projet'!$A$192&gt;35,EJ117+EI118-ER117,IF(A118&lt;'Données projet'!$A$192,$EG$205^A118,IF(A118='Données projet'!$A$192,'Données projet'!$B$192,EJ117+EI118-ER117)))</f>
        <v>270.19230769230779</v>
      </c>
      <c r="EK118" s="18">
        <f>EJ118*VLOOKUP('Données projet'!$B$15,Paramètres!$A$1:$I$89,3,0)*VLOOKUP('Données projet'!$B$15,Paramètres!$A$1:$I$89,5,0)</f>
        <v>257.11500000000007</v>
      </c>
      <c r="EL118" s="14">
        <f t="shared" si="99"/>
        <v>62.107013749759211</v>
      </c>
      <c r="EM118" s="22">
        <f t="shared" si="73"/>
        <v>555.97834061416404</v>
      </c>
      <c r="EN118" s="62">
        <f t="shared" si="74"/>
        <v>849.31167394749741</v>
      </c>
      <c r="EO118" s="62">
        <f ca="1">AVERAGE(OFFSET($EN$3,0,0,'Données projet'!$E$15+1,1))-AVERAGE(OFFSET($H$3,0,0,'Données projet'!$E$15+1,1))</f>
        <v>406.24139966722936</v>
      </c>
      <c r="EP118" s="62">
        <f t="shared" si="100"/>
        <v>295.95724296920577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1.1368683772161603E-13</v>
      </c>
      <c r="FF118" s="18">
        <f>FE118*VLOOKUP('Données projet'!$B$16,Paramètres!$A$1:$I$89,3,0)*VLOOKUP('Données projet'!$B$16,Paramètres!$A$1:$I$89,5,0)</f>
        <v>8.8675733422860506E-14</v>
      </c>
      <c r="FG118" s="14">
        <f t="shared" si="101"/>
        <v>1.3509285393066301E-12</v>
      </c>
      <c r="FH118" s="22">
        <f t="shared" si="76"/>
        <v>2.5073107750038623E-12</v>
      </c>
      <c r="FI118" s="62">
        <f t="shared" si="77"/>
        <v>293.33333333333582</v>
      </c>
      <c r="FJ118" s="62">
        <f ca="1">AVERAGE(OFFSET($FI$3,0,0,'Données projet'!$E$16+1,1))-AVERAGE(OFFSET($H$3,0,0,'Données projet'!$E$16+1,1))</f>
        <v>292.57482726862594</v>
      </c>
      <c r="FK118" s="62">
        <f t="shared" si="102"/>
        <v>283.48738729114024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4.5</v>
      </c>
      <c r="FZ118" s="13">
        <f>IF('Données projet'!$A$244&gt;35,FZ117+FY118-GH117,IF(A118&lt;'Données projet'!$A$244,$FW$205^A118,IF(A118='Données projet'!$A$244,'Données projet'!$B$244,FZ117+FY118-GH117)))</f>
        <v>329.49999999999989</v>
      </c>
      <c r="GA118" s="18">
        <f>FZ118*VLOOKUP('Données projet'!$B$17,Paramètres!$A$1:$I$89,3,0)*VLOOKUP('Données projet'!$B$17,Paramètres!$A$1:$I$89,5,0)</f>
        <v>318.69239999999991</v>
      </c>
      <c r="GB118" s="14">
        <f t="shared" si="103"/>
        <v>75.081217250277518</v>
      </c>
      <c r="GC118" s="22">
        <f t="shared" si="79"/>
        <v>685.82238337756644</v>
      </c>
      <c r="GD118" s="62">
        <f t="shared" si="80"/>
        <v>979.1557167108997</v>
      </c>
      <c r="GE118" s="62">
        <f ca="1">AVERAGE(OFFSET($GD$3,0,0,'Données projet'!$E$17+1,1))-AVERAGE(OFFSET($H$3,0,0,'Données projet'!$E$17+1,1))</f>
        <v>562.69380557620775</v>
      </c>
      <c r="GF118" s="62">
        <f t="shared" si="104"/>
        <v>294.45557293177131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4.5</v>
      </c>
      <c r="N119" s="14">
        <f>IF('Données projet'!$A$36&gt;35,N118+M119-V118,IF(A119&lt;'Données projet'!$A$36,$K$205^A119,IF(A119='Données projet'!$A$36,'Données projet'!$B$36,N118+M119-V118)))</f>
        <v>333.99999999999989</v>
      </c>
      <c r="O119" s="14">
        <f>N119*VLOOKUP('Données projet'!$B$9,Paramètres!$A$1:$I$89,3,0)*VLOOKUP('Données projet'!$B$9,Paramètres!$A$1:$I$89,5,0)</f>
        <v>302.20319999999987</v>
      </c>
      <c r="P119" s="14">
        <f t="shared" si="87"/>
        <v>71.638141943842228</v>
      </c>
      <c r="Q119" s="22">
        <f t="shared" si="107"/>
        <v>651.10700388552493</v>
      </c>
      <c r="R119" s="62">
        <f t="shared" si="55"/>
        <v>944.4403372188583</v>
      </c>
      <c r="S119" s="62">
        <f ca="1">AVERAGE(OFFSET($R$3,0,0,'Données projet'!$E$9+1,1))-AVERAGE(OFFSET($H$3,0,0,'Données projet'!$E$9+1,1))</f>
        <v>529.25712986118265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-9.7543306765146564E-14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446.86777652265448</v>
      </c>
      <c r="AO119" s="62">
        <f t="shared" si="90"/>
        <v>230.82970731138215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-4.5224624045658861E-14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370.59298168107364</v>
      </c>
      <c r="BJ119" s="62">
        <f t="shared" si="92"/>
        <v>404.61777090709171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-5.6843418860808015E-14</v>
      </c>
      <c r="BZ119" s="14">
        <f>BY119*VLOOKUP('Données projet'!$B$12,Paramètres!$A$1:$I$89,3,0)*VLOOKUP('Données projet'!$B$12,Paramètres!$A$1:$I$89,5,0)</f>
        <v>-4.1677594708744434E-14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344.45199703750711</v>
      </c>
      <c r="CE119" s="62">
        <f t="shared" si="94"/>
        <v>376.41441893222185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2.2737367544323206E-13</v>
      </c>
      <c r="CU119" s="18">
        <f>CT119*VLOOKUP('Données projet'!$B$13,Paramètres!$A$1:$I$89,3,0)*VLOOKUP('Données projet'!$B$13,Paramètres!$A$1:$I$89,5,0)</f>
        <v>1.4897523215040565E-13</v>
      </c>
      <c r="CV119" s="14">
        <f t="shared" si="95"/>
        <v>2.136562777003313E-12</v>
      </c>
      <c r="CW119" s="22">
        <f t="shared" si="67"/>
        <v>3.9806453659427267E-12</v>
      </c>
      <c r="CX119" s="62">
        <f t="shared" si="68"/>
        <v>293.33333333333729</v>
      </c>
      <c r="CY119" s="62">
        <f ca="1">AVERAGE(OFFSET($CX$3,0,0,'Données projet'!$E$13+1,1))-AVERAGE(OFFSET($H$3,0,0,'Données projet'!$E$13+1,1))</f>
        <v>311.53750850588153</v>
      </c>
      <c r="CZ119" s="62">
        <f t="shared" si="96"/>
        <v>304.84379909635476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-1.1368683772161603E-13</v>
      </c>
      <c r="DP119" s="18">
        <f>DO119*VLOOKUP('Données projet'!$B$14,Paramètres!$A$1:$I$89,3,0)*VLOOKUP('Données projet'!$B$14,Paramètres!$A$1:$I$89,5,0)</f>
        <v>-9.2222762759774927E-14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256.19915261735281</v>
      </c>
      <c r="DU119" s="62">
        <f t="shared" si="98"/>
        <v>297.47246687305056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3.141025641025641</v>
      </c>
      <c r="EJ119" s="13">
        <f>IF('Données projet'!$A$192&gt;35,EJ118+EI119-ER118,IF(A119&lt;'Données projet'!$A$192,$EG$205^A119,IF(A119='Données projet'!$A$192,'Données projet'!$B$192,EJ118+EI119-ER118)))</f>
        <v>273.33333333333343</v>
      </c>
      <c r="EK119" s="18">
        <f>EJ119*VLOOKUP('Données projet'!$B$15,Paramètres!$A$1:$I$89,3,0)*VLOOKUP('Données projet'!$B$15,Paramètres!$A$1:$I$89,5,0)</f>
        <v>260.1040000000001</v>
      </c>
      <c r="EL119" s="14">
        <f t="shared" si="99"/>
        <v>62.744546037419411</v>
      </c>
      <c r="EM119" s="22">
        <f t="shared" si="73"/>
        <v>562.29455101517226</v>
      </c>
      <c r="EN119" s="62">
        <f t="shared" si="74"/>
        <v>855.62788434850563</v>
      </c>
      <c r="EO119" s="62">
        <f ca="1">AVERAGE(OFFSET($EN$3,0,0,'Données projet'!$E$15+1,1))-AVERAGE(OFFSET($H$3,0,0,'Données projet'!$E$15+1,1))</f>
        <v>406.24139966722936</v>
      </c>
      <c r="EP119" s="62">
        <f t="shared" si="100"/>
        <v>295.95724296920577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1.1368683772161603E-13</v>
      </c>
      <c r="FF119" s="18">
        <f>FE119*VLOOKUP('Données projet'!$B$16,Paramètres!$A$1:$I$89,3,0)*VLOOKUP('Données projet'!$B$16,Paramètres!$A$1:$I$89,5,0)</f>
        <v>8.8675733422860506E-14</v>
      </c>
      <c r="FG119" s="14">
        <f t="shared" si="101"/>
        <v>1.3509285393066301E-12</v>
      </c>
      <c r="FH119" s="22">
        <f t="shared" si="76"/>
        <v>2.5073107750038623E-12</v>
      </c>
      <c r="FI119" s="62">
        <f t="shared" si="77"/>
        <v>293.33333333333582</v>
      </c>
      <c r="FJ119" s="62">
        <f ca="1">AVERAGE(OFFSET($FI$3,0,0,'Données projet'!$E$16+1,1))-AVERAGE(OFFSET($H$3,0,0,'Données projet'!$E$16+1,1))</f>
        <v>292.57482726862594</v>
      </c>
      <c r="FK119" s="62">
        <f t="shared" si="102"/>
        <v>283.48738729114024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4.5</v>
      </c>
      <c r="FZ119" s="13">
        <f>IF('Données projet'!$A$244&gt;35,FZ118+FY119-GH118,IF(A119&lt;'Données projet'!$A$244,$FW$205^A119,IF(A119='Données projet'!$A$244,'Données projet'!$B$244,FZ118+FY119-GH118)))</f>
        <v>333.99999999999989</v>
      </c>
      <c r="GA119" s="18">
        <f>FZ119*VLOOKUP('Données projet'!$B$17,Paramètres!$A$1:$I$89,3,0)*VLOOKUP('Données projet'!$B$17,Paramètres!$A$1:$I$89,5,0)</f>
        <v>323.0447999999999</v>
      </c>
      <c r="GB119" s="14">
        <f t="shared" si="103"/>
        <v>75.986533921791832</v>
      </c>
      <c r="GC119" s="22">
        <f t="shared" si="79"/>
        <v>694.97957324712058</v>
      </c>
      <c r="GD119" s="62">
        <f t="shared" si="80"/>
        <v>988.31290658045396</v>
      </c>
      <c r="GE119" s="62">
        <f ca="1">AVERAGE(OFFSET($GD$3,0,0,'Données projet'!$E$17+1,1))-AVERAGE(OFFSET($H$3,0,0,'Données projet'!$E$17+1,1))</f>
        <v>562.69380557620775</v>
      </c>
      <c r="GF119" s="62">
        <f t="shared" si="104"/>
        <v>294.45557293177131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4.5</v>
      </c>
      <c r="N120" s="14">
        <f>IF('Données projet'!$A$36&gt;35,N119+M120-V119,IF(A120&lt;'Données projet'!$A$36,$K$205^A120,IF(A120='Données projet'!$A$36,'Données projet'!$B$36,N119+M120-V119)))</f>
        <v>338.49999999999989</v>
      </c>
      <c r="O120" s="14">
        <f>N120*VLOOKUP('Données projet'!$B$9,Paramètres!$A$1:$I$89,3,0)*VLOOKUP('Données projet'!$B$9,Paramètres!$A$1:$I$89,5,0)</f>
        <v>306.27479999999991</v>
      </c>
      <c r="P120" s="14">
        <f t="shared" si="87"/>
        <v>72.490313602283052</v>
      </c>
      <c r="Q120" s="22">
        <f t="shared" si="107"/>
        <v>659.68257285730954</v>
      </c>
      <c r="R120" s="62">
        <f t="shared" si="55"/>
        <v>953.01590619064291</v>
      </c>
      <c r="S120" s="62">
        <f ca="1">AVERAGE(OFFSET($R$3,0,0,'Données projet'!$E$9+1,1))-AVERAGE(OFFSET($H$3,0,0,'Données projet'!$E$9+1,1))</f>
        <v>529.25712986118265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-9.7543306765146564E-14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446.86777652265448</v>
      </c>
      <c r="AO120" s="62">
        <f t="shared" si="90"/>
        <v>230.82970731138215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-4.5224624045658861E-14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370.59298168107364</v>
      </c>
      <c r="BJ120" s="62">
        <f t="shared" si="92"/>
        <v>404.61777090709171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-5.6843418860808015E-14</v>
      </c>
      <c r="BZ120" s="14">
        <f>BY120*VLOOKUP('Données projet'!$B$12,Paramètres!$A$1:$I$89,3,0)*VLOOKUP('Données projet'!$B$12,Paramètres!$A$1:$I$89,5,0)</f>
        <v>-4.1677594708744434E-14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344.45199703750711</v>
      </c>
      <c r="CE120" s="62">
        <f t="shared" si="94"/>
        <v>376.41441893222185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2.2737367544323206E-13</v>
      </c>
      <c r="CU120" s="18">
        <f>CT120*VLOOKUP('Données projet'!$B$13,Paramètres!$A$1:$I$89,3,0)*VLOOKUP('Données projet'!$B$13,Paramètres!$A$1:$I$89,5,0)</f>
        <v>1.4897523215040565E-13</v>
      </c>
      <c r="CV120" s="14">
        <f t="shared" si="95"/>
        <v>2.136562777003313E-12</v>
      </c>
      <c r="CW120" s="22">
        <f t="shared" si="67"/>
        <v>3.9806453659427267E-12</v>
      </c>
      <c r="CX120" s="62">
        <f t="shared" si="68"/>
        <v>293.33333333333729</v>
      </c>
      <c r="CY120" s="62">
        <f ca="1">AVERAGE(OFFSET($CX$3,0,0,'Données projet'!$E$13+1,1))-AVERAGE(OFFSET($H$3,0,0,'Données projet'!$E$13+1,1))</f>
        <v>311.53750850588153</v>
      </c>
      <c r="CZ120" s="62">
        <f t="shared" si="96"/>
        <v>304.84379909635476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-1.1368683772161603E-13</v>
      </c>
      <c r="DP120" s="18">
        <f>DO120*VLOOKUP('Données projet'!$B$14,Paramètres!$A$1:$I$89,3,0)*VLOOKUP('Données projet'!$B$14,Paramètres!$A$1:$I$89,5,0)</f>
        <v>-9.2222762759774927E-14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256.19915261735281</v>
      </c>
      <c r="DU120" s="62">
        <f t="shared" si="98"/>
        <v>297.47246687305056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3.141025641025641</v>
      </c>
      <c r="EJ120" s="13">
        <f>IF('Données projet'!$A$192&gt;35,EJ119+EI120-ER119,IF(A120&lt;'Données projet'!$A$192,$EG$205^A120,IF(A120='Données projet'!$A$192,'Données projet'!$B$192,EJ119+EI120-ER119)))</f>
        <v>276.47435897435906</v>
      </c>
      <c r="EK120" s="18">
        <f>EJ120*VLOOKUP('Données projet'!$B$15,Paramètres!$A$1:$I$89,3,0)*VLOOKUP('Données projet'!$B$15,Paramètres!$A$1:$I$89,5,0)</f>
        <v>263.09300000000007</v>
      </c>
      <c r="EL120" s="14">
        <f t="shared" si="99"/>
        <v>63.381226101139966</v>
      </c>
      <c r="EM120" s="22">
        <f t="shared" si="73"/>
        <v>568.60927712615228</v>
      </c>
      <c r="EN120" s="62">
        <f t="shared" si="74"/>
        <v>861.94261045948565</v>
      </c>
      <c r="EO120" s="62">
        <f ca="1">AVERAGE(OFFSET($EN$3,0,0,'Données projet'!$E$15+1,1))-AVERAGE(OFFSET($H$3,0,0,'Données projet'!$E$15+1,1))</f>
        <v>406.24139966722936</v>
      </c>
      <c r="EP120" s="62">
        <f t="shared" si="100"/>
        <v>295.95724296920577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1.1368683772161603E-13</v>
      </c>
      <c r="FF120" s="18">
        <f>FE120*VLOOKUP('Données projet'!$B$16,Paramètres!$A$1:$I$89,3,0)*VLOOKUP('Données projet'!$B$16,Paramètres!$A$1:$I$89,5,0)</f>
        <v>8.8675733422860506E-14</v>
      </c>
      <c r="FG120" s="14">
        <f t="shared" si="101"/>
        <v>1.3509285393066301E-12</v>
      </c>
      <c r="FH120" s="22">
        <f t="shared" si="76"/>
        <v>2.5073107750038623E-12</v>
      </c>
      <c r="FI120" s="62">
        <f t="shared" si="77"/>
        <v>293.33333333333582</v>
      </c>
      <c r="FJ120" s="62">
        <f ca="1">AVERAGE(OFFSET($FI$3,0,0,'Données projet'!$E$16+1,1))-AVERAGE(OFFSET($H$3,0,0,'Données projet'!$E$16+1,1))</f>
        <v>292.57482726862594</v>
      </c>
      <c r="FK120" s="62">
        <f t="shared" si="102"/>
        <v>283.48738729114024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4.5</v>
      </c>
      <c r="FZ120" s="13">
        <f>IF('Données projet'!$A$244&gt;35,FZ119+FY120-GH119,IF(A120&lt;'Données projet'!$A$244,$FW$205^A120,IF(A120='Données projet'!$A$244,'Données projet'!$B$244,FZ119+FY120-GH119)))</f>
        <v>338.49999999999989</v>
      </c>
      <c r="GA120" s="18">
        <f>FZ120*VLOOKUP('Données projet'!$B$17,Paramètres!$A$1:$I$89,3,0)*VLOOKUP('Données projet'!$B$17,Paramètres!$A$1:$I$89,5,0)</f>
        <v>327.39719999999988</v>
      </c>
      <c r="GB120" s="14">
        <f t="shared" si="103"/>
        <v>76.890431885561796</v>
      </c>
      <c r="GC120" s="22">
        <f t="shared" si="79"/>
        <v>704.13429220068656</v>
      </c>
      <c r="GD120" s="62">
        <f t="shared" si="80"/>
        <v>997.46762553401982</v>
      </c>
      <c r="GE120" s="62">
        <f ca="1">AVERAGE(OFFSET($GD$3,0,0,'Données projet'!$E$17+1,1))-AVERAGE(OFFSET($H$3,0,0,'Données projet'!$E$17+1,1))</f>
        <v>562.69380557620775</v>
      </c>
      <c r="GF120" s="62">
        <f t="shared" si="104"/>
        <v>294.45557293177131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4.5</v>
      </c>
      <c r="N121" s="14">
        <f>IF('Données projet'!$A$36&gt;35,N120+M121-V120,IF(A121&lt;'Données projet'!$A$36,$K$205^A121,IF(A121='Données projet'!$A$36,'Données projet'!$B$36,N120+M121-V120)))</f>
        <v>342.99999999999989</v>
      </c>
      <c r="O121" s="14">
        <f>N121*VLOOKUP('Données projet'!$B$9,Paramètres!$A$1:$I$89,3,0)*VLOOKUP('Données projet'!$B$9,Paramètres!$A$1:$I$89,5,0)</f>
        <v>310.34639999999985</v>
      </c>
      <c r="P121" s="14">
        <f t="shared" si="87"/>
        <v>73.341167576152998</v>
      </c>
      <c r="Q121" s="22">
        <f t="shared" si="107"/>
        <v>668.25584686179957</v>
      </c>
      <c r="R121" s="62">
        <f t="shared" si="55"/>
        <v>961.58918019513294</v>
      </c>
      <c r="S121" s="62">
        <f ca="1">AVERAGE(OFFSET($R$3,0,0,'Données projet'!$E$9+1,1))-AVERAGE(OFFSET($H$3,0,0,'Données projet'!$E$9+1,1))</f>
        <v>529.25712986118265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-9.7543306765146564E-14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446.86777652265448</v>
      </c>
      <c r="AO121" s="62">
        <f t="shared" si="90"/>
        <v>230.82970731138215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-4.5224624045658861E-14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370.59298168107364</v>
      </c>
      <c r="BJ121" s="62">
        <f t="shared" si="92"/>
        <v>404.61777090709171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-5.6843418860808015E-14</v>
      </c>
      <c r="BZ121" s="14">
        <f>BY121*VLOOKUP('Données projet'!$B$12,Paramètres!$A$1:$I$89,3,0)*VLOOKUP('Données projet'!$B$12,Paramètres!$A$1:$I$89,5,0)</f>
        <v>-4.1677594708744434E-14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344.45199703750711</v>
      </c>
      <c r="CE121" s="62">
        <f t="shared" si="94"/>
        <v>376.41441893222185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2.2737367544323206E-13</v>
      </c>
      <c r="CU121" s="18">
        <f>CT121*VLOOKUP('Données projet'!$B$13,Paramètres!$A$1:$I$89,3,0)*VLOOKUP('Données projet'!$B$13,Paramètres!$A$1:$I$89,5,0)</f>
        <v>1.4897523215040565E-13</v>
      </c>
      <c r="CV121" s="14">
        <f t="shared" si="95"/>
        <v>2.136562777003313E-12</v>
      </c>
      <c r="CW121" s="22">
        <f t="shared" si="67"/>
        <v>3.9806453659427267E-12</v>
      </c>
      <c r="CX121" s="62">
        <f t="shared" si="68"/>
        <v>293.33333333333729</v>
      </c>
      <c r="CY121" s="62">
        <f ca="1">AVERAGE(OFFSET($CX$3,0,0,'Données projet'!$E$13+1,1))-AVERAGE(OFFSET($H$3,0,0,'Données projet'!$E$13+1,1))</f>
        <v>311.53750850588153</v>
      </c>
      <c r="CZ121" s="62">
        <f t="shared" si="96"/>
        <v>304.84379909635476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-1.1368683772161603E-13</v>
      </c>
      <c r="DP121" s="18">
        <f>DO121*VLOOKUP('Données projet'!$B$14,Paramètres!$A$1:$I$89,3,0)*VLOOKUP('Données projet'!$B$14,Paramètres!$A$1:$I$89,5,0)</f>
        <v>-9.2222762759774927E-14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256.19915261735281</v>
      </c>
      <c r="DU121" s="62">
        <f t="shared" si="98"/>
        <v>297.47246687305056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3.141025641025641</v>
      </c>
      <c r="EJ121" s="13">
        <f>IF('Données projet'!$A$192&gt;35,EJ120+EI121-ER120,IF(A121&lt;'Données projet'!$A$192,$EG$205^A121,IF(A121='Données projet'!$A$192,'Données projet'!$B$192,EJ120+EI121-ER120)))</f>
        <v>279.6153846153847</v>
      </c>
      <c r="EK121" s="18">
        <f>EJ121*VLOOKUP('Données projet'!$B$15,Paramètres!$A$1:$I$89,3,0)*VLOOKUP('Données projet'!$B$15,Paramètres!$A$1:$I$89,5,0)</f>
        <v>266.08200000000005</v>
      </c>
      <c r="EL121" s="14">
        <f t="shared" si="99"/>
        <v>64.017064743360152</v>
      </c>
      <c r="EM121" s="22">
        <f t="shared" si="73"/>
        <v>574.92253776135237</v>
      </c>
      <c r="EN121" s="62">
        <f t="shared" si="74"/>
        <v>868.25587109468574</v>
      </c>
      <c r="EO121" s="62">
        <f ca="1">AVERAGE(OFFSET($EN$3,0,0,'Données projet'!$E$15+1,1))-AVERAGE(OFFSET($H$3,0,0,'Données projet'!$E$15+1,1))</f>
        <v>406.24139966722936</v>
      </c>
      <c r="EP121" s="62">
        <f t="shared" si="100"/>
        <v>295.95724296920577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1.1368683772161603E-13</v>
      </c>
      <c r="FF121" s="18">
        <f>FE121*VLOOKUP('Données projet'!$B$16,Paramètres!$A$1:$I$89,3,0)*VLOOKUP('Données projet'!$B$16,Paramètres!$A$1:$I$89,5,0)</f>
        <v>8.8675733422860506E-14</v>
      </c>
      <c r="FG121" s="14">
        <f t="shared" si="101"/>
        <v>1.3509285393066301E-12</v>
      </c>
      <c r="FH121" s="22">
        <f t="shared" si="76"/>
        <v>2.5073107750038623E-12</v>
      </c>
      <c r="FI121" s="62">
        <f t="shared" si="77"/>
        <v>293.33333333333582</v>
      </c>
      <c r="FJ121" s="62">
        <f ca="1">AVERAGE(OFFSET($FI$3,0,0,'Données projet'!$E$16+1,1))-AVERAGE(OFFSET($H$3,0,0,'Données projet'!$E$16+1,1))</f>
        <v>292.57482726862594</v>
      </c>
      <c r="FK121" s="62">
        <f t="shared" si="102"/>
        <v>283.48738729114024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4.5</v>
      </c>
      <c r="FZ121" s="13">
        <f>IF('Données projet'!$A$244&gt;35,FZ120+FY121-GH120,IF(A121&lt;'Données projet'!$A$244,$FW$205^A121,IF(A121='Données projet'!$A$244,'Données projet'!$B$244,FZ120+FY121-GH120)))</f>
        <v>342.99999999999989</v>
      </c>
      <c r="GA121" s="18">
        <f>FZ121*VLOOKUP('Données projet'!$B$17,Paramètres!$A$1:$I$89,3,0)*VLOOKUP('Données projet'!$B$17,Paramètres!$A$1:$I$89,5,0)</f>
        <v>331.74959999999993</v>
      </c>
      <c r="GB121" s="14">
        <f t="shared" si="103"/>
        <v>77.792932182102803</v>
      </c>
      <c r="GC121" s="22">
        <f t="shared" si="79"/>
        <v>713.28657688382884</v>
      </c>
      <c r="GD121" s="62">
        <f t="shared" si="80"/>
        <v>1006.6199102171622</v>
      </c>
      <c r="GE121" s="62">
        <f ca="1">AVERAGE(OFFSET($GD$3,0,0,'Données projet'!$E$17+1,1))-AVERAGE(OFFSET($H$3,0,0,'Données projet'!$E$17+1,1))</f>
        <v>562.69380557620775</v>
      </c>
      <c r="GF121" s="62">
        <f t="shared" si="104"/>
        <v>294.45557293177131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4.5</v>
      </c>
      <c r="N122" s="14">
        <f>IF('Données projet'!$A$36&gt;35,N121+M122-V121,IF(A122&lt;'Données projet'!$A$36,$K$205^A122,IF(A122='Données projet'!$A$36,'Données projet'!$B$36,N121+M122-V121)))</f>
        <v>347.49999999999989</v>
      </c>
      <c r="O122" s="14">
        <f>N122*VLOOKUP('Données projet'!$B$9,Paramètres!$A$1:$I$89,3,0)*VLOOKUP('Données projet'!$B$9,Paramètres!$A$1:$I$89,5,0)</f>
        <v>314.41799999999989</v>
      </c>
      <c r="P122" s="14">
        <f t="shared" si="87"/>
        <v>74.190723151497338</v>
      </c>
      <c r="Q122" s="22">
        <f t="shared" si="107"/>
        <v>676.82685948885762</v>
      </c>
      <c r="R122" s="62">
        <f t="shared" si="55"/>
        <v>970.16019282219099</v>
      </c>
      <c r="S122" s="62">
        <f ca="1">AVERAGE(OFFSET($R$3,0,0,'Données projet'!$E$9+1,1))-AVERAGE(OFFSET($H$3,0,0,'Données projet'!$E$9+1,1))</f>
        <v>529.25712986118265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-9.7543306765146564E-14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446.86777652265448</v>
      </c>
      <c r="AO122" s="62">
        <f t="shared" si="90"/>
        <v>230.82970731138215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-4.5224624045658861E-14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370.59298168107364</v>
      </c>
      <c r="BJ122" s="62">
        <f t="shared" si="92"/>
        <v>404.61777090709171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-5.6843418860808015E-14</v>
      </c>
      <c r="BZ122" s="14">
        <f>BY122*VLOOKUP('Données projet'!$B$12,Paramètres!$A$1:$I$89,3,0)*VLOOKUP('Données projet'!$B$12,Paramètres!$A$1:$I$89,5,0)</f>
        <v>-4.1677594708744434E-14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344.45199703750711</v>
      </c>
      <c r="CE122" s="62">
        <f t="shared" si="94"/>
        <v>376.41441893222185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2.2737367544323206E-13</v>
      </c>
      <c r="CU122" s="18">
        <f>CT122*VLOOKUP('Données projet'!$B$13,Paramètres!$A$1:$I$89,3,0)*VLOOKUP('Données projet'!$B$13,Paramètres!$A$1:$I$89,5,0)</f>
        <v>1.4897523215040565E-13</v>
      </c>
      <c r="CV122" s="14">
        <f t="shared" si="95"/>
        <v>2.136562777003313E-12</v>
      </c>
      <c r="CW122" s="22">
        <f t="shared" si="67"/>
        <v>3.9806453659427267E-12</v>
      </c>
      <c r="CX122" s="62">
        <f t="shared" si="68"/>
        <v>293.33333333333729</v>
      </c>
      <c r="CY122" s="62">
        <f ca="1">AVERAGE(OFFSET($CX$3,0,0,'Données projet'!$E$13+1,1))-AVERAGE(OFFSET($H$3,0,0,'Données projet'!$E$13+1,1))</f>
        <v>311.53750850588153</v>
      </c>
      <c r="CZ122" s="62">
        <f t="shared" si="96"/>
        <v>304.84379909635476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-1.1368683772161603E-13</v>
      </c>
      <c r="DP122" s="18">
        <f>DO122*VLOOKUP('Données projet'!$B$14,Paramètres!$A$1:$I$89,3,0)*VLOOKUP('Données projet'!$B$14,Paramètres!$A$1:$I$89,5,0)</f>
        <v>-9.2222762759774927E-14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256.19915261735281</v>
      </c>
      <c r="DU122" s="62">
        <f t="shared" si="98"/>
        <v>297.47246687305056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3.141025641025641</v>
      </c>
      <c r="EJ122" s="13">
        <f>IF('Données projet'!$A$192&gt;35,EJ121+EI122-ER121,IF(A122&lt;'Données projet'!$A$192,$EG$205^A122,IF(A122='Données projet'!$A$192,'Données projet'!$B$192,EJ121+EI122-ER121)))</f>
        <v>282.75641025641033</v>
      </c>
      <c r="EK122" s="18">
        <f>EJ122*VLOOKUP('Données projet'!$B$15,Paramètres!$A$1:$I$89,3,0)*VLOOKUP('Données projet'!$B$15,Paramètres!$A$1:$I$89,5,0)</f>
        <v>269.07100000000008</v>
      </c>
      <c r="EL122" s="14">
        <f t="shared" si="99"/>
        <v>64.652072509850228</v>
      </c>
      <c r="EM122" s="22">
        <f t="shared" si="73"/>
        <v>581.2343512879894</v>
      </c>
      <c r="EN122" s="62">
        <f t="shared" si="74"/>
        <v>874.56768462132277</v>
      </c>
      <c r="EO122" s="62">
        <f ca="1">AVERAGE(OFFSET($EN$3,0,0,'Données projet'!$E$15+1,1))-AVERAGE(OFFSET($H$3,0,0,'Données projet'!$E$15+1,1))</f>
        <v>406.24139966722936</v>
      </c>
      <c r="EP122" s="62">
        <f t="shared" si="100"/>
        <v>295.95724296920577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1.1368683772161603E-13</v>
      </c>
      <c r="FF122" s="18">
        <f>FE122*VLOOKUP('Données projet'!$B$16,Paramètres!$A$1:$I$89,3,0)*VLOOKUP('Données projet'!$B$16,Paramètres!$A$1:$I$89,5,0)</f>
        <v>8.8675733422860506E-14</v>
      </c>
      <c r="FG122" s="14">
        <f t="shared" si="101"/>
        <v>1.3509285393066301E-12</v>
      </c>
      <c r="FH122" s="22">
        <f t="shared" si="76"/>
        <v>2.5073107750038623E-12</v>
      </c>
      <c r="FI122" s="62">
        <f t="shared" si="77"/>
        <v>293.33333333333582</v>
      </c>
      <c r="FJ122" s="62">
        <f ca="1">AVERAGE(OFFSET($FI$3,0,0,'Données projet'!$E$16+1,1))-AVERAGE(OFFSET($H$3,0,0,'Données projet'!$E$16+1,1))</f>
        <v>292.57482726862594</v>
      </c>
      <c r="FK122" s="62">
        <f t="shared" si="102"/>
        <v>283.48738729114024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4.5</v>
      </c>
      <c r="FZ122" s="13">
        <f>IF('Données projet'!$A$244&gt;35,FZ121+FY122-GH121,IF(A122&lt;'Données projet'!$A$244,$FW$205^A122,IF(A122='Données projet'!$A$244,'Données projet'!$B$244,FZ121+FY122-GH121)))</f>
        <v>347.49999999999989</v>
      </c>
      <c r="GA122" s="18">
        <f>FZ122*VLOOKUP('Données projet'!$B$17,Paramètres!$A$1:$I$89,3,0)*VLOOKUP('Données projet'!$B$17,Paramètres!$A$1:$I$89,5,0)</f>
        <v>336.10199999999992</v>
      </c>
      <c r="GB122" s="14">
        <f t="shared" si="103"/>
        <v>78.694055268111313</v>
      </c>
      <c r="GC122" s="22">
        <f t="shared" si="79"/>
        <v>722.43646292529365</v>
      </c>
      <c r="GD122" s="62">
        <f t="shared" si="80"/>
        <v>1015.7697962586269</v>
      </c>
      <c r="GE122" s="62">
        <f ca="1">AVERAGE(OFFSET($GD$3,0,0,'Données projet'!$E$17+1,1))-AVERAGE(OFFSET($H$3,0,0,'Données projet'!$E$17+1,1))</f>
        <v>562.69380557620775</v>
      </c>
      <c r="GF122" s="62">
        <f t="shared" si="104"/>
        <v>294.45557293177131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352</v>
      </c>
      <c r="L123" s="13">
        <f>VLOOKUP(A123,'Données projet'!$A$35:$I$55,9,0)</f>
        <v>4.5</v>
      </c>
      <c r="M123" s="13">
        <f t="array" ref="M123">INDEX(L:L,MIN(IF(ISNUMBER(L123:L319),ROW(L123:L319),"")))</f>
        <v>4.5</v>
      </c>
      <c r="N123" s="14">
        <f>IF('Données projet'!$A$36&gt;35,N122+M123-V122,IF(A123&lt;'Données projet'!$A$36,$K$205^A123,IF(A123='Données projet'!$A$36,'Données projet'!$B$36,N122+M123-V122)))</f>
        <v>351.99999999999989</v>
      </c>
      <c r="O123" s="14">
        <f>N123*VLOOKUP('Données projet'!$B$9,Paramètres!$A$1:$I$89,3,0)*VLOOKUP('Données projet'!$B$9,Paramètres!$A$1:$I$89,5,0)</f>
        <v>318.48959999999988</v>
      </c>
      <c r="P123" s="14">
        <f t="shared" si="87"/>
        <v>75.038999086150227</v>
      </c>
      <c r="Q123" s="22">
        <f t="shared" si="107"/>
        <v>685.39564340837808</v>
      </c>
      <c r="R123" s="62">
        <f t="shared" si="55"/>
        <v>978.72897674171145</v>
      </c>
      <c r="S123" s="62">
        <f ca="1">AVERAGE(OFFSET($R$3,0,0,'Données projet'!$E$9+1,1))-AVERAGE(OFFSET($H$3,0,0,'Données projet'!$E$9+1,1))</f>
        <v>529.25712986118265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-9.7543306765146564E-14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446.86777652265448</v>
      </c>
      <c r="AO123" s="62">
        <f t="shared" si="90"/>
        <v>230.82970731138215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-4.5224624045658861E-14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370.59298168107364</v>
      </c>
      <c r="BJ123" s="62">
        <f t="shared" si="92"/>
        <v>404.61777090709171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-5.6843418860808015E-14</v>
      </c>
      <c r="BZ123" s="14">
        <f>BY123*VLOOKUP('Données projet'!$B$12,Paramètres!$A$1:$I$89,3,0)*VLOOKUP('Données projet'!$B$12,Paramètres!$A$1:$I$89,5,0)</f>
        <v>-4.1677594708744434E-14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344.45199703750711</v>
      </c>
      <c r="CE123" s="62">
        <f t="shared" si="94"/>
        <v>376.41441893222185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2.2737367544323206E-13</v>
      </c>
      <c r="CU123" s="18">
        <f>CT123*VLOOKUP('Données projet'!$B$13,Paramètres!$A$1:$I$89,3,0)*VLOOKUP('Données projet'!$B$13,Paramètres!$A$1:$I$89,5,0)</f>
        <v>1.4897523215040565E-13</v>
      </c>
      <c r="CV123" s="14">
        <f t="shared" si="95"/>
        <v>2.136562777003313E-12</v>
      </c>
      <c r="CW123" s="22">
        <f t="shared" si="67"/>
        <v>3.9806453659427267E-12</v>
      </c>
      <c r="CX123" s="62">
        <f t="shared" si="68"/>
        <v>293.33333333333729</v>
      </c>
      <c r="CY123" s="62">
        <f ca="1">AVERAGE(OFFSET($CX$3,0,0,'Données projet'!$E$13+1,1))-AVERAGE(OFFSET($H$3,0,0,'Données projet'!$E$13+1,1))</f>
        <v>311.53750850588153</v>
      </c>
      <c r="CZ123" s="62">
        <f t="shared" si="96"/>
        <v>304.84379909635476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-1.1368683772161603E-13</v>
      </c>
      <c r="DP123" s="18">
        <f>DO123*VLOOKUP('Données projet'!$B$14,Paramètres!$A$1:$I$89,3,0)*VLOOKUP('Données projet'!$B$14,Paramètres!$A$1:$I$89,5,0)</f>
        <v>-9.2222762759774927E-14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256.19915261735281</v>
      </c>
      <c r="DU123" s="62">
        <f t="shared" si="98"/>
        <v>297.47246687305056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285.89743589743591</v>
      </c>
      <c r="EH123" s="13">
        <f>VLOOKUP(A123,'Données projet'!$A$191:$I$211,9,0)</f>
        <v>3.141025641025641</v>
      </c>
      <c r="EI123" s="13">
        <f t="array" ref="EI123">INDEX(EH:EH,MIN(IF(ISNUMBER(EH123:EH319),ROW(EH123:EH319),"")))</f>
        <v>3.141025641025641</v>
      </c>
      <c r="EJ123" s="13">
        <f>IF('Données projet'!$A$192&gt;35,EJ122+EI123-ER122,IF(A123&lt;'Données projet'!$A$192,$EG$205^A123,IF(A123='Données projet'!$A$192,'Données projet'!$B$192,EJ122+EI123-ER122)))</f>
        <v>285.89743589743597</v>
      </c>
      <c r="EK123" s="18">
        <f>EJ123*VLOOKUP('Données projet'!$B$15,Paramètres!$A$1:$I$89,3,0)*VLOOKUP('Données projet'!$B$15,Paramètres!$A$1:$I$89,5,0)</f>
        <v>272.06000000000006</v>
      </c>
      <c r="EL123" s="14">
        <f t="shared" si="99"/>
        <v>65.286259698592175</v>
      </c>
      <c r="EM123" s="22">
        <f t="shared" si="73"/>
        <v>587.54473564171474</v>
      </c>
      <c r="EN123" s="62">
        <f t="shared" si="74"/>
        <v>880.87806897504811</v>
      </c>
      <c r="EO123" s="62">
        <f ca="1">AVERAGE(OFFSET($EN$3,0,0,'Données projet'!$E$15+1,1))-AVERAGE(OFFSET($H$3,0,0,'Données projet'!$E$15+1,1))</f>
        <v>406.24139966722936</v>
      </c>
      <c r="EP123" s="62">
        <f t="shared" si="100"/>
        <v>295.95724296920577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285.89743589743591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1.1368683772161603E-13</v>
      </c>
      <c r="FF123" s="18">
        <f>FE123*VLOOKUP('Données projet'!$B$16,Paramètres!$A$1:$I$89,3,0)*VLOOKUP('Données projet'!$B$16,Paramètres!$A$1:$I$89,5,0)</f>
        <v>8.8675733422860506E-14</v>
      </c>
      <c r="FG123" s="14">
        <f t="shared" si="101"/>
        <v>1.3509285393066301E-12</v>
      </c>
      <c r="FH123" s="22">
        <f t="shared" si="76"/>
        <v>2.5073107750038623E-12</v>
      </c>
      <c r="FI123" s="62">
        <f t="shared" si="77"/>
        <v>293.33333333333582</v>
      </c>
      <c r="FJ123" s="62">
        <f ca="1">AVERAGE(OFFSET($FI$3,0,0,'Données projet'!$E$16+1,1))-AVERAGE(OFFSET($H$3,0,0,'Données projet'!$E$16+1,1))</f>
        <v>292.57482726862594</v>
      </c>
      <c r="FK123" s="62">
        <f t="shared" si="102"/>
        <v>283.48738729114024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352</v>
      </c>
      <c r="FX123" s="13">
        <f>VLOOKUP(A123,'Données projet'!$A$243:$I$263,9,0)</f>
        <v>4.5</v>
      </c>
      <c r="FY123" s="13">
        <f t="array" ref="FY123">INDEX(FX:FX,MIN(IF(ISNUMBER(FX123:FX319),ROW(FX123:FX319),"")))</f>
        <v>4.5</v>
      </c>
      <c r="FZ123" s="13">
        <f>IF('Données projet'!$A$244&gt;35,FZ122+FY123-GH122,IF(A123&lt;'Données projet'!$A$244,$FW$205^A123,IF(A123='Données projet'!$A$244,'Données projet'!$B$244,FZ122+FY123-GH122)))</f>
        <v>351.99999999999989</v>
      </c>
      <c r="GA123" s="18">
        <f>FZ123*VLOOKUP('Données projet'!$B$17,Paramètres!$A$1:$I$89,3,0)*VLOOKUP('Données projet'!$B$17,Paramètres!$A$1:$I$89,5,0)</f>
        <v>340.45439999999991</v>
      </c>
      <c r="GB123" s="14">
        <f t="shared" si="103"/>
        <v>79.593821040010667</v>
      </c>
      <c r="GC123" s="22">
        <f t="shared" si="79"/>
        <v>731.58398497801829</v>
      </c>
      <c r="GD123" s="62">
        <f t="shared" si="80"/>
        <v>1024.9173183113517</v>
      </c>
      <c r="GE123" s="62">
        <f ca="1">AVERAGE(OFFSET($GD$3,0,0,'Données projet'!$E$17+1,1))-AVERAGE(OFFSET($H$3,0,0,'Données projet'!$E$17+1,1))</f>
        <v>562.69380557620775</v>
      </c>
      <c r="GF123" s="62">
        <f t="shared" si="104"/>
        <v>294.45557293177131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4.2</v>
      </c>
      <c r="N124" s="14">
        <f>IF('Données projet'!$A$36&gt;35,N123+M124-V123,IF(A124&lt;'Données projet'!$A$36,$K$205^A124,IF(A124='Données projet'!$A$36,'Données projet'!$B$36,N123+M124-V123)))</f>
        <v>356.19999999999987</v>
      </c>
      <c r="O124" s="14">
        <f>N124*VLOOKUP('Données projet'!$B$9,Paramètres!$A$1:$I$89,3,0)*VLOOKUP('Données projet'!$B$9,Paramètres!$A$1:$I$89,5,0)</f>
        <v>322.28975999999989</v>
      </c>
      <c r="P124" s="14">
        <f t="shared" si="87"/>
        <v>75.829584879013211</v>
      </c>
      <c r="Q124" s="22">
        <f t="shared" si="107"/>
        <v>693.39119233094789</v>
      </c>
      <c r="R124" s="62">
        <f t="shared" si="55"/>
        <v>986.72452566428115</v>
      </c>
      <c r="S124" s="62">
        <f ca="1">AVERAGE(OFFSET($R$3,0,0,'Données projet'!$E$9+1,1))-AVERAGE(OFFSET($H$3,0,0,'Données projet'!$E$9+1,1))</f>
        <v>529.25712986118265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-9.7543306765146564E-14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446.86777652265448</v>
      </c>
      <c r="AO124" s="62">
        <f t="shared" si="90"/>
        <v>230.82970731138215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-4.5224624045658861E-14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370.59298168107364</v>
      </c>
      <c r="BJ124" s="62">
        <f t="shared" si="92"/>
        <v>404.61777090709171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-4.1677594708744434E-14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344.45199703750711</v>
      </c>
      <c r="CE124" s="62">
        <f t="shared" si="94"/>
        <v>376.41441893222185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2.2737367544323206E-13</v>
      </c>
      <c r="CU124" s="18">
        <f>CT124*VLOOKUP('Données projet'!$B$13,Paramètres!$A$1:$I$89,3,0)*VLOOKUP('Données projet'!$B$13,Paramètres!$A$1:$I$89,5,0)</f>
        <v>1.4897523215040565E-13</v>
      </c>
      <c r="CV124" s="14">
        <f t="shared" si="95"/>
        <v>2.136562777003313E-12</v>
      </c>
      <c r="CW124" s="22">
        <f t="shared" si="67"/>
        <v>3.9806453659427267E-12</v>
      </c>
      <c r="CX124" s="62">
        <f t="shared" si="68"/>
        <v>293.33333333333729</v>
      </c>
      <c r="CY124" s="62">
        <f ca="1">AVERAGE(OFFSET($CX$3,0,0,'Données projet'!$E$13+1,1))-AVERAGE(OFFSET($H$3,0,0,'Données projet'!$E$13+1,1))</f>
        <v>311.53750850588153</v>
      </c>
      <c r="CZ124" s="62">
        <f t="shared" si="96"/>
        <v>304.84379909635476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-9.2222762759774927E-14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256.19915261735281</v>
      </c>
      <c r="DU124" s="62">
        <f t="shared" si="98"/>
        <v>297.47246687305056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5.4092197387944907E-14</v>
      </c>
      <c r="EL124" s="14">
        <f t="shared" si="99"/>
        <v>8.7287050538073676E-13</v>
      </c>
      <c r="EM124" s="22">
        <f t="shared" si="73"/>
        <v>1.6144600406554537E-12</v>
      </c>
      <c r="EN124" s="62">
        <f t="shared" si="74"/>
        <v>293.33333333333491</v>
      </c>
      <c r="EO124" s="62">
        <f ca="1">AVERAGE(OFFSET($EN$3,0,0,'Données projet'!$E$15+1,1))-AVERAGE(OFFSET($H$3,0,0,'Données projet'!$E$15+1,1))</f>
        <v>406.24139966722936</v>
      </c>
      <c r="EP124" s="62">
        <f t="shared" si="100"/>
        <v>295.95724296920577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1.1368683772161603E-13</v>
      </c>
      <c r="FF124" s="18">
        <f>FE124*VLOOKUP('Données projet'!$B$16,Paramètres!$A$1:$I$89,3,0)*VLOOKUP('Données projet'!$B$16,Paramètres!$A$1:$I$89,5,0)</f>
        <v>8.8675733422860506E-14</v>
      </c>
      <c r="FG124" s="14">
        <f t="shared" si="101"/>
        <v>1.3509285393066301E-12</v>
      </c>
      <c r="FH124" s="22">
        <f t="shared" si="76"/>
        <v>2.5073107750038623E-12</v>
      </c>
      <c r="FI124" s="62">
        <f t="shared" si="77"/>
        <v>293.33333333333582</v>
      </c>
      <c r="FJ124" s="62">
        <f ca="1">AVERAGE(OFFSET($FI$3,0,0,'Données projet'!$E$16+1,1))-AVERAGE(OFFSET($H$3,0,0,'Données projet'!$E$16+1,1))</f>
        <v>292.57482726862594</v>
      </c>
      <c r="FK124" s="62">
        <f t="shared" si="102"/>
        <v>283.48738729114024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4.2</v>
      </c>
      <c r="FZ124" s="13">
        <f>IF('Données projet'!$A$244&gt;35,FZ123+FY124-GH123,IF(A124&lt;'Données projet'!$A$244,$FW$205^A124,IF(A124='Données projet'!$A$244,'Données projet'!$B$244,FZ123+FY124-GH123)))</f>
        <v>356.19999999999987</v>
      </c>
      <c r="GA124" s="18">
        <f>FZ124*VLOOKUP('Données projet'!$B$17,Paramètres!$A$1:$I$89,3,0)*VLOOKUP('Données projet'!$B$17,Paramètres!$A$1:$I$89,5,0)</f>
        <v>344.51663999999988</v>
      </c>
      <c r="GB124" s="14">
        <f t="shared" si="103"/>
        <v>80.432394913333098</v>
      </c>
      <c r="GC124" s="22">
        <f t="shared" si="79"/>
        <v>740.11956914072152</v>
      </c>
      <c r="GD124" s="62">
        <f t="shared" si="80"/>
        <v>1033.4529024740548</v>
      </c>
      <c r="GE124" s="62">
        <f ca="1">AVERAGE(OFFSET($GD$3,0,0,'Données projet'!$E$17+1,1))-AVERAGE(OFFSET($H$3,0,0,'Données projet'!$E$17+1,1))</f>
        <v>562.69380557620775</v>
      </c>
      <c r="GF124" s="62">
        <f t="shared" si="104"/>
        <v>294.45557293177131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4.2</v>
      </c>
      <c r="N125" s="14">
        <f>IF('Données projet'!$A$36&gt;35,N124+M125-V124,IF(A125&lt;'Données projet'!$A$36,$K$205^A125,IF(A125='Données projet'!$A$36,'Données projet'!$B$36,N124+M125-V124)))</f>
        <v>360.39999999999986</v>
      </c>
      <c r="O125" s="14">
        <f>N125*VLOOKUP('Données projet'!$B$9,Paramètres!$A$1:$I$89,3,0)*VLOOKUP('Données projet'!$B$9,Paramètres!$A$1:$I$89,5,0)</f>
        <v>326.08991999999984</v>
      </c>
      <c r="P125" s="14">
        <f t="shared" si="87"/>
        <v>76.619086320573132</v>
      </c>
      <c r="Q125" s="22">
        <f t="shared" si="107"/>
        <v>701.38485267499789</v>
      </c>
      <c r="R125" s="62">
        <f t="shared" si="55"/>
        <v>994.71818600833126</v>
      </c>
      <c r="S125" s="62">
        <f ca="1">AVERAGE(OFFSET($R$3,0,0,'Données projet'!$E$9+1,1))-AVERAGE(OFFSET($H$3,0,0,'Données projet'!$E$9+1,1))</f>
        <v>529.25712986118265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-9.7543306765146564E-14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446.86777652265448</v>
      </c>
      <c r="AO125" s="62">
        <f t="shared" si="90"/>
        <v>230.82970731138215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-4.5224624045658861E-14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370.59298168107364</v>
      </c>
      <c r="BJ125" s="62">
        <f t="shared" si="92"/>
        <v>404.61777090709171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-4.1677594708744434E-14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344.45199703750711</v>
      </c>
      <c r="CE125" s="62">
        <f t="shared" si="94"/>
        <v>376.41441893222185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2.2737367544323206E-13</v>
      </c>
      <c r="CU125" s="18">
        <f>CT125*VLOOKUP('Données projet'!$B$13,Paramètres!$A$1:$I$89,3,0)*VLOOKUP('Données projet'!$B$13,Paramètres!$A$1:$I$89,5,0)</f>
        <v>1.4897523215040565E-13</v>
      </c>
      <c r="CV125" s="14">
        <f t="shared" si="95"/>
        <v>2.136562777003313E-12</v>
      </c>
      <c r="CW125" s="22">
        <f t="shared" si="67"/>
        <v>3.9806453659427267E-12</v>
      </c>
      <c r="CX125" s="62">
        <f t="shared" si="68"/>
        <v>293.33333333333729</v>
      </c>
      <c r="CY125" s="62">
        <f ca="1">AVERAGE(OFFSET($CX$3,0,0,'Données projet'!$E$13+1,1))-AVERAGE(OFFSET($H$3,0,0,'Données projet'!$E$13+1,1))</f>
        <v>311.53750850588153</v>
      </c>
      <c r="CZ125" s="62">
        <f t="shared" si="96"/>
        <v>304.84379909635476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-9.2222762759774927E-14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256.19915261735281</v>
      </c>
      <c r="DU125" s="62">
        <f t="shared" si="98"/>
        <v>297.47246687305056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5.4092197387944907E-14</v>
      </c>
      <c r="EL125" s="14">
        <f t="shared" si="99"/>
        <v>8.7287050538073676E-13</v>
      </c>
      <c r="EM125" s="22">
        <f t="shared" si="73"/>
        <v>1.6144600406554537E-12</v>
      </c>
      <c r="EN125" s="62">
        <f t="shared" si="74"/>
        <v>293.33333333333491</v>
      </c>
      <c r="EO125" s="62">
        <f ca="1">AVERAGE(OFFSET($EN$3,0,0,'Données projet'!$E$15+1,1))-AVERAGE(OFFSET($H$3,0,0,'Données projet'!$E$15+1,1))</f>
        <v>406.24139966722936</v>
      </c>
      <c r="EP125" s="62">
        <f t="shared" si="100"/>
        <v>295.95724296920577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1.1368683772161603E-13</v>
      </c>
      <c r="FF125" s="18">
        <f>FE125*VLOOKUP('Données projet'!$B$16,Paramètres!$A$1:$I$89,3,0)*VLOOKUP('Données projet'!$B$16,Paramètres!$A$1:$I$89,5,0)</f>
        <v>8.8675733422860506E-14</v>
      </c>
      <c r="FG125" s="14">
        <f t="shared" si="101"/>
        <v>1.3509285393066301E-12</v>
      </c>
      <c r="FH125" s="22">
        <f t="shared" si="76"/>
        <v>2.5073107750038623E-12</v>
      </c>
      <c r="FI125" s="62">
        <f t="shared" si="77"/>
        <v>293.33333333333582</v>
      </c>
      <c r="FJ125" s="62">
        <f ca="1">AVERAGE(OFFSET($FI$3,0,0,'Données projet'!$E$16+1,1))-AVERAGE(OFFSET($H$3,0,0,'Données projet'!$E$16+1,1))</f>
        <v>292.57482726862594</v>
      </c>
      <c r="FK125" s="62">
        <f t="shared" si="102"/>
        <v>283.48738729114024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4.2</v>
      </c>
      <c r="FZ125" s="13">
        <f>IF('Données projet'!$A$244&gt;35,FZ124+FY125-GH124,IF(A125&lt;'Données projet'!$A$244,$FW$205^A125,IF(A125='Données projet'!$A$244,'Données projet'!$B$244,FZ124+FY125-GH124)))</f>
        <v>360.39999999999986</v>
      </c>
      <c r="GA125" s="18">
        <f>FZ125*VLOOKUP('Données projet'!$B$17,Paramètres!$A$1:$I$89,3,0)*VLOOKUP('Données projet'!$B$17,Paramètres!$A$1:$I$89,5,0)</f>
        <v>348.57887999999991</v>
      </c>
      <c r="GB125" s="14">
        <f t="shared" si="103"/>
        <v>81.269818615882841</v>
      </c>
      <c r="GC125" s="22">
        <f t="shared" si="79"/>
        <v>748.65315008932919</v>
      </c>
      <c r="GD125" s="62">
        <f t="shared" si="80"/>
        <v>1041.9864834226626</v>
      </c>
      <c r="GE125" s="62">
        <f ca="1">AVERAGE(OFFSET($GD$3,0,0,'Données projet'!$E$17+1,1))-AVERAGE(OFFSET($H$3,0,0,'Données projet'!$E$17+1,1))</f>
        <v>562.69380557620775</v>
      </c>
      <c r="GF125" s="62">
        <f t="shared" si="104"/>
        <v>294.45557293177131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4.2</v>
      </c>
      <c r="N126" s="14">
        <f>IF('Données projet'!$A$36&gt;35,N125+M126-V125,IF(A126&lt;'Données projet'!$A$36,$K$205^A126,IF(A126='Données projet'!$A$36,'Données projet'!$B$36,N125+M126-V125)))</f>
        <v>364.59999999999985</v>
      </c>
      <c r="O126" s="14">
        <f>N126*VLOOKUP('Données projet'!$B$9,Paramètres!$A$1:$I$89,3,0)*VLOOKUP('Données projet'!$B$9,Paramètres!$A$1:$I$89,5,0)</f>
        <v>329.89007999999984</v>
      </c>
      <c r="P126" s="14">
        <f t="shared" si="87"/>
        <v>77.407517509546452</v>
      </c>
      <c r="Q126" s="22">
        <f t="shared" si="107"/>
        <v>709.37664899579306</v>
      </c>
      <c r="R126" s="62">
        <f t="shared" si="55"/>
        <v>1002.7099823291264</v>
      </c>
      <c r="S126" s="62">
        <f ca="1">AVERAGE(OFFSET($R$3,0,0,'Données projet'!$E$9+1,1))-AVERAGE(OFFSET($H$3,0,0,'Données projet'!$E$9+1,1))</f>
        <v>529.25712986118265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-9.7543306765146564E-14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446.86777652265448</v>
      </c>
      <c r="AO126" s="62">
        <f t="shared" si="90"/>
        <v>230.82970731138215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-4.5224624045658861E-14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370.59298168107364</v>
      </c>
      <c r="BJ126" s="62">
        <f t="shared" si="92"/>
        <v>404.61777090709171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-4.1677594708744434E-14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344.45199703750711</v>
      </c>
      <c r="CE126" s="62">
        <f t="shared" si="94"/>
        <v>376.41441893222185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2.2737367544323206E-13</v>
      </c>
      <c r="CU126" s="18">
        <f>CT126*VLOOKUP('Données projet'!$B$13,Paramètres!$A$1:$I$89,3,0)*VLOOKUP('Données projet'!$B$13,Paramètres!$A$1:$I$89,5,0)</f>
        <v>1.4897523215040565E-13</v>
      </c>
      <c r="CV126" s="14">
        <f t="shared" si="95"/>
        <v>2.136562777003313E-12</v>
      </c>
      <c r="CW126" s="22">
        <f t="shared" si="67"/>
        <v>3.9806453659427267E-12</v>
      </c>
      <c r="CX126" s="62">
        <f t="shared" si="68"/>
        <v>293.33333333333729</v>
      </c>
      <c r="CY126" s="62">
        <f ca="1">AVERAGE(OFFSET($CX$3,0,0,'Données projet'!$E$13+1,1))-AVERAGE(OFFSET($H$3,0,0,'Données projet'!$E$13+1,1))</f>
        <v>311.53750850588153</v>
      </c>
      <c r="CZ126" s="62">
        <f t="shared" si="96"/>
        <v>304.84379909635476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-9.2222762759774927E-14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256.19915261735281</v>
      </c>
      <c r="DU126" s="62">
        <f t="shared" si="98"/>
        <v>297.47246687305056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5.4092197387944907E-14</v>
      </c>
      <c r="EL126" s="14">
        <f t="shared" si="99"/>
        <v>8.7287050538073676E-13</v>
      </c>
      <c r="EM126" s="22">
        <f t="shared" si="73"/>
        <v>1.6144600406554537E-12</v>
      </c>
      <c r="EN126" s="62">
        <f t="shared" si="74"/>
        <v>293.33333333333491</v>
      </c>
      <c r="EO126" s="62">
        <f ca="1">AVERAGE(OFFSET($EN$3,0,0,'Données projet'!$E$15+1,1))-AVERAGE(OFFSET($H$3,0,0,'Données projet'!$E$15+1,1))</f>
        <v>406.24139966722936</v>
      </c>
      <c r="EP126" s="62">
        <f t="shared" si="100"/>
        <v>295.95724296920577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1.1368683772161603E-13</v>
      </c>
      <c r="FF126" s="18">
        <f>FE126*VLOOKUP('Données projet'!$B$16,Paramètres!$A$1:$I$89,3,0)*VLOOKUP('Données projet'!$B$16,Paramètres!$A$1:$I$89,5,0)</f>
        <v>8.8675733422860506E-14</v>
      </c>
      <c r="FG126" s="14">
        <f t="shared" si="101"/>
        <v>1.3509285393066301E-12</v>
      </c>
      <c r="FH126" s="22">
        <f t="shared" si="76"/>
        <v>2.5073107750038623E-12</v>
      </c>
      <c r="FI126" s="62">
        <f t="shared" si="77"/>
        <v>293.33333333333582</v>
      </c>
      <c r="FJ126" s="62">
        <f ca="1">AVERAGE(OFFSET($FI$3,0,0,'Données projet'!$E$16+1,1))-AVERAGE(OFFSET($H$3,0,0,'Données projet'!$E$16+1,1))</f>
        <v>292.57482726862594</v>
      </c>
      <c r="FK126" s="62">
        <f t="shared" si="102"/>
        <v>283.48738729114024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4.2</v>
      </c>
      <c r="FZ126" s="13">
        <f>IF('Données projet'!$A$244&gt;35,FZ125+FY126-GH125,IF(A126&lt;'Données projet'!$A$244,$FW$205^A126,IF(A126='Données projet'!$A$244,'Données projet'!$B$244,FZ125+FY126-GH125)))</f>
        <v>364.59999999999985</v>
      </c>
      <c r="GA126" s="18">
        <f>FZ126*VLOOKUP('Données projet'!$B$17,Paramètres!$A$1:$I$89,3,0)*VLOOKUP('Données projet'!$B$17,Paramètres!$A$1:$I$89,5,0)</f>
        <v>352.64111999999989</v>
      </c>
      <c r="GB126" s="14">
        <f t="shared" si="103"/>
        <v>82.10610710216001</v>
      </c>
      <c r="GC126" s="22">
        <f t="shared" si="79"/>
        <v>757.18475386959517</v>
      </c>
      <c r="GD126" s="62">
        <f t="shared" si="80"/>
        <v>1050.5180872029284</v>
      </c>
      <c r="GE126" s="62">
        <f ca="1">AVERAGE(OFFSET($GD$3,0,0,'Données projet'!$E$17+1,1))-AVERAGE(OFFSET($H$3,0,0,'Données projet'!$E$17+1,1))</f>
        <v>562.69380557620775</v>
      </c>
      <c r="GF126" s="62">
        <f t="shared" si="104"/>
        <v>294.45557293177131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4.2</v>
      </c>
      <c r="N127" s="14">
        <f>IF('Données projet'!$A$36&gt;35,N126+M127-V126,IF(A127&lt;'Données projet'!$A$36,$K$205^A127,IF(A127='Données projet'!$A$36,'Données projet'!$B$36,N126+M127-V126)))</f>
        <v>368.79999999999984</v>
      </c>
      <c r="O127" s="14">
        <f>N127*VLOOKUP('Données projet'!$B$9,Paramètres!$A$1:$I$89,3,0)*VLOOKUP('Données projet'!$B$9,Paramètres!$A$1:$I$89,5,0)</f>
        <v>333.69023999999985</v>
      </c>
      <c r="P127" s="14">
        <f t="shared" si="87"/>
        <v>78.194892201133555</v>
      </c>
      <c r="Q127" s="22">
        <f t="shared" si="107"/>
        <v>717.36660525030732</v>
      </c>
      <c r="R127" s="62">
        <f t="shared" si="55"/>
        <v>1010.6999385836407</v>
      </c>
      <c r="S127" s="62">
        <f ca="1">AVERAGE(OFFSET($R$3,0,0,'Données projet'!$E$9+1,1))-AVERAGE(OFFSET($H$3,0,0,'Données projet'!$E$9+1,1))</f>
        <v>529.25712986118265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-9.7543306765146564E-14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446.86777652265448</v>
      </c>
      <c r="AO127" s="62">
        <f t="shared" si="90"/>
        <v>230.82970731138215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-4.5224624045658861E-14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370.59298168107364</v>
      </c>
      <c r="BJ127" s="62">
        <f t="shared" si="92"/>
        <v>404.61777090709171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-4.1677594708744434E-14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344.45199703750711</v>
      </c>
      <c r="CE127" s="62">
        <f t="shared" si="94"/>
        <v>376.41441893222185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2.2737367544323206E-13</v>
      </c>
      <c r="CU127" s="18">
        <f>CT127*VLOOKUP('Données projet'!$B$13,Paramètres!$A$1:$I$89,3,0)*VLOOKUP('Données projet'!$B$13,Paramètres!$A$1:$I$89,5,0)</f>
        <v>1.4897523215040565E-13</v>
      </c>
      <c r="CV127" s="14">
        <f t="shared" si="95"/>
        <v>2.136562777003313E-12</v>
      </c>
      <c r="CW127" s="22">
        <f t="shared" si="67"/>
        <v>3.9806453659427267E-12</v>
      </c>
      <c r="CX127" s="62">
        <f t="shared" si="68"/>
        <v>293.33333333333729</v>
      </c>
      <c r="CY127" s="62">
        <f ca="1">AVERAGE(OFFSET($CX$3,0,0,'Données projet'!$E$13+1,1))-AVERAGE(OFFSET($H$3,0,0,'Données projet'!$E$13+1,1))</f>
        <v>311.53750850588153</v>
      </c>
      <c r="CZ127" s="62">
        <f t="shared" si="96"/>
        <v>304.84379909635476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-9.2222762759774927E-14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256.19915261735281</v>
      </c>
      <c r="DU127" s="62">
        <f t="shared" si="98"/>
        <v>297.47246687305056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5.4092197387944907E-14</v>
      </c>
      <c r="EL127" s="14">
        <f t="shared" si="99"/>
        <v>8.7287050538073676E-13</v>
      </c>
      <c r="EM127" s="22">
        <f t="shared" si="73"/>
        <v>1.6144600406554537E-12</v>
      </c>
      <c r="EN127" s="62">
        <f t="shared" si="74"/>
        <v>293.33333333333491</v>
      </c>
      <c r="EO127" s="62">
        <f ca="1">AVERAGE(OFFSET($EN$3,0,0,'Données projet'!$E$15+1,1))-AVERAGE(OFFSET($H$3,0,0,'Données projet'!$E$15+1,1))</f>
        <v>406.24139966722936</v>
      </c>
      <c r="EP127" s="62">
        <f t="shared" si="100"/>
        <v>295.95724296920577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1.1368683772161603E-13</v>
      </c>
      <c r="FF127" s="18">
        <f>FE127*VLOOKUP('Données projet'!$B$16,Paramètres!$A$1:$I$89,3,0)*VLOOKUP('Données projet'!$B$16,Paramètres!$A$1:$I$89,5,0)</f>
        <v>8.8675733422860506E-14</v>
      </c>
      <c r="FG127" s="14">
        <f t="shared" si="101"/>
        <v>1.3509285393066301E-12</v>
      </c>
      <c r="FH127" s="22">
        <f t="shared" si="76"/>
        <v>2.5073107750038623E-12</v>
      </c>
      <c r="FI127" s="62">
        <f t="shared" si="77"/>
        <v>293.33333333333582</v>
      </c>
      <c r="FJ127" s="62">
        <f ca="1">AVERAGE(OFFSET($FI$3,0,0,'Données projet'!$E$16+1,1))-AVERAGE(OFFSET($H$3,0,0,'Données projet'!$E$16+1,1))</f>
        <v>292.57482726862594</v>
      </c>
      <c r="FK127" s="62">
        <f t="shared" si="102"/>
        <v>283.48738729114024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4.2</v>
      </c>
      <c r="FZ127" s="13">
        <f>IF('Données projet'!$A$244&gt;35,FZ126+FY127-GH126,IF(A127&lt;'Données projet'!$A$244,$FW$205^A127,IF(A127='Données projet'!$A$244,'Données projet'!$B$244,FZ126+FY127-GH126)))</f>
        <v>368.79999999999984</v>
      </c>
      <c r="GA127" s="18">
        <f>FZ127*VLOOKUP('Données projet'!$B$17,Paramètres!$A$1:$I$89,3,0)*VLOOKUP('Données projet'!$B$17,Paramètres!$A$1:$I$89,5,0)</f>
        <v>356.70335999999986</v>
      </c>
      <c r="GB127" s="14">
        <f t="shared" si="103"/>
        <v>82.941274962297129</v>
      </c>
      <c r="GC127" s="22">
        <f t="shared" si="79"/>
        <v>765.71440589266729</v>
      </c>
      <c r="GD127" s="62">
        <f t="shared" si="80"/>
        <v>1059.0477392260007</v>
      </c>
      <c r="GE127" s="62">
        <f ca="1">AVERAGE(OFFSET($GD$3,0,0,'Données projet'!$E$17+1,1))-AVERAGE(OFFSET($H$3,0,0,'Données projet'!$E$17+1,1))</f>
        <v>562.69380557620775</v>
      </c>
      <c r="GF127" s="62">
        <f t="shared" si="104"/>
        <v>294.45557293177131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4.2</v>
      </c>
      <c r="N128" s="14">
        <f>IF('Données projet'!$A$36&gt;35,N127+M128-V127,IF(A128&lt;'Données projet'!$A$36,$K$205^A128,IF(A128='Données projet'!$A$36,'Données projet'!$B$36,N127+M128-V127)))</f>
        <v>372.99999999999983</v>
      </c>
      <c r="O128" s="14">
        <f>N128*VLOOKUP('Données projet'!$B$9,Paramètres!$A$1:$I$89,3,0)*VLOOKUP('Données projet'!$B$9,Paramètres!$A$1:$I$89,5,0)</f>
        <v>337.49039999999985</v>
      </c>
      <c r="P128" s="14">
        <f t="shared" si="87"/>
        <v>78.981223819202711</v>
      </c>
      <c r="Q128" s="22">
        <f t="shared" si="107"/>
        <v>725.35474481844449</v>
      </c>
      <c r="R128" s="62">
        <f t="shared" si="55"/>
        <v>1018.6880781517777</v>
      </c>
      <c r="S128" s="62">
        <f ca="1">AVERAGE(OFFSET($R$3,0,0,'Données projet'!$E$9+1,1))-AVERAGE(OFFSET($H$3,0,0,'Données projet'!$E$9+1,1))</f>
        <v>529.25712986118265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-9.7543306765146564E-14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446.86777652265448</v>
      </c>
      <c r="AO128" s="62">
        <f t="shared" si="90"/>
        <v>230.82970731138215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-4.5224624045658861E-14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370.59298168107364</v>
      </c>
      <c r="BJ128" s="62">
        <f t="shared" si="92"/>
        <v>404.61777090709171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-4.1677594708744434E-14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344.45199703750711</v>
      </c>
      <c r="CE128" s="62">
        <f t="shared" si="94"/>
        <v>376.41441893222185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2.2737367544323206E-13</v>
      </c>
      <c r="CU128" s="18">
        <f>CT128*VLOOKUP('Données projet'!$B$13,Paramètres!$A$1:$I$89,3,0)*VLOOKUP('Données projet'!$B$13,Paramètres!$A$1:$I$89,5,0)</f>
        <v>1.4897523215040565E-13</v>
      </c>
      <c r="CV128" s="14">
        <f t="shared" si="95"/>
        <v>2.136562777003313E-12</v>
      </c>
      <c r="CW128" s="22">
        <f t="shared" si="67"/>
        <v>3.9806453659427267E-12</v>
      </c>
      <c r="CX128" s="62">
        <f t="shared" si="68"/>
        <v>293.33333333333729</v>
      </c>
      <c r="CY128" s="62">
        <f ca="1">AVERAGE(OFFSET($CX$3,0,0,'Données projet'!$E$13+1,1))-AVERAGE(OFFSET($H$3,0,0,'Données projet'!$E$13+1,1))</f>
        <v>311.53750850588153</v>
      </c>
      <c r="CZ128" s="62">
        <f t="shared" si="96"/>
        <v>304.84379909635476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-9.2222762759774927E-14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256.19915261735281</v>
      </c>
      <c r="DU128" s="62">
        <f t="shared" si="98"/>
        <v>297.47246687305056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5.4092197387944907E-14</v>
      </c>
      <c r="EL128" s="14">
        <f t="shared" si="99"/>
        <v>8.7287050538073676E-13</v>
      </c>
      <c r="EM128" s="22">
        <f t="shared" si="73"/>
        <v>1.6144600406554537E-12</v>
      </c>
      <c r="EN128" s="62">
        <f t="shared" si="74"/>
        <v>293.33333333333491</v>
      </c>
      <c r="EO128" s="62">
        <f ca="1">AVERAGE(OFFSET($EN$3,0,0,'Données projet'!$E$15+1,1))-AVERAGE(OFFSET($H$3,0,0,'Données projet'!$E$15+1,1))</f>
        <v>406.24139966722936</v>
      </c>
      <c r="EP128" s="62">
        <f t="shared" si="100"/>
        <v>295.95724296920577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1.1368683772161603E-13</v>
      </c>
      <c r="FF128" s="18">
        <f>FE128*VLOOKUP('Données projet'!$B$16,Paramètres!$A$1:$I$89,3,0)*VLOOKUP('Données projet'!$B$16,Paramètres!$A$1:$I$89,5,0)</f>
        <v>8.8675733422860506E-14</v>
      </c>
      <c r="FG128" s="14">
        <f t="shared" si="101"/>
        <v>1.3509285393066301E-12</v>
      </c>
      <c r="FH128" s="22">
        <f t="shared" si="76"/>
        <v>2.5073107750038623E-12</v>
      </c>
      <c r="FI128" s="62">
        <f t="shared" si="77"/>
        <v>293.33333333333582</v>
      </c>
      <c r="FJ128" s="62">
        <f ca="1">AVERAGE(OFFSET($FI$3,0,0,'Données projet'!$E$16+1,1))-AVERAGE(OFFSET($H$3,0,0,'Données projet'!$E$16+1,1))</f>
        <v>292.57482726862594</v>
      </c>
      <c r="FK128" s="62">
        <f t="shared" si="102"/>
        <v>283.48738729114024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4.2</v>
      </c>
      <c r="FZ128" s="13">
        <f>IF('Données projet'!$A$244&gt;35,FZ127+FY128-GH127,IF(A128&lt;'Données projet'!$A$244,$FW$205^A128,IF(A128='Données projet'!$A$244,'Données projet'!$B$244,FZ127+FY128-GH127)))</f>
        <v>372.99999999999983</v>
      </c>
      <c r="GA128" s="18">
        <f>FZ128*VLOOKUP('Données projet'!$B$17,Paramètres!$A$1:$I$89,3,0)*VLOOKUP('Données projet'!$B$17,Paramètres!$A$1:$I$89,5,0)</f>
        <v>360.76559999999989</v>
      </c>
      <c r="GB128" s="14">
        <f t="shared" si="103"/>
        <v>83.775336434983416</v>
      </c>
      <c r="GC128" s="22">
        <f t="shared" si="79"/>
        <v>774.24213095759603</v>
      </c>
      <c r="GD128" s="62">
        <f t="shared" si="80"/>
        <v>1067.5754642909294</v>
      </c>
      <c r="GE128" s="62">
        <f ca="1">AVERAGE(OFFSET($GD$3,0,0,'Données projet'!$E$17+1,1))-AVERAGE(OFFSET($H$3,0,0,'Données projet'!$E$17+1,1))</f>
        <v>562.69380557620775</v>
      </c>
      <c r="GF128" s="62">
        <f t="shared" si="104"/>
        <v>294.45557293177131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4.2</v>
      </c>
      <c r="N129" s="14">
        <f>IF('Données projet'!$A$36&gt;35,N128+M129-V128,IF(A129&lt;'Données projet'!$A$36,$K$205^A129,IF(A129='Données projet'!$A$36,'Données projet'!$B$36,N128+M129-V128)))</f>
        <v>377.19999999999982</v>
      </c>
      <c r="O129" s="14">
        <f>N129*VLOOKUP('Données projet'!$B$9,Paramètres!$A$1:$I$89,3,0)*VLOOKUP('Données projet'!$B$9,Paramètres!$A$1:$I$89,5,0)</f>
        <v>341.2905599999998</v>
      </c>
      <c r="P129" s="14">
        <f t="shared" si="87"/>
        <v>79.766525467910597</v>
      </c>
      <c r="Q129" s="22">
        <f t="shared" si="107"/>
        <v>733.34109052327722</v>
      </c>
      <c r="R129" s="62">
        <f t="shared" si="55"/>
        <v>1026.6744238566105</v>
      </c>
      <c r="S129" s="62">
        <f ca="1">AVERAGE(OFFSET($R$3,0,0,'Données projet'!$E$9+1,1))-AVERAGE(OFFSET($H$3,0,0,'Données projet'!$E$9+1,1))</f>
        <v>529.25712986118265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-9.7543306765146564E-14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446.86777652265448</v>
      </c>
      <c r="AO129" s="62">
        <f t="shared" si="90"/>
        <v>230.82970731138215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-4.5224624045658861E-14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370.59298168107364</v>
      </c>
      <c r="BJ129" s="62">
        <f t="shared" si="92"/>
        <v>404.61777090709171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-4.1677594708744434E-14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344.45199703750711</v>
      </c>
      <c r="CE129" s="62">
        <f t="shared" si="94"/>
        <v>376.41441893222185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2.2737367544323206E-13</v>
      </c>
      <c r="CU129" s="18">
        <f>CT129*VLOOKUP('Données projet'!$B$13,Paramètres!$A$1:$I$89,3,0)*VLOOKUP('Données projet'!$B$13,Paramètres!$A$1:$I$89,5,0)</f>
        <v>1.4897523215040565E-13</v>
      </c>
      <c r="CV129" s="14">
        <f t="shared" si="95"/>
        <v>2.136562777003313E-12</v>
      </c>
      <c r="CW129" s="22">
        <f t="shared" si="67"/>
        <v>3.9806453659427267E-12</v>
      </c>
      <c r="CX129" s="62">
        <f t="shared" si="68"/>
        <v>293.33333333333729</v>
      </c>
      <c r="CY129" s="62">
        <f ca="1">AVERAGE(OFFSET($CX$3,0,0,'Données projet'!$E$13+1,1))-AVERAGE(OFFSET($H$3,0,0,'Données projet'!$E$13+1,1))</f>
        <v>311.53750850588153</v>
      </c>
      <c r="CZ129" s="62">
        <f t="shared" si="96"/>
        <v>304.84379909635476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-9.2222762759774927E-14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256.19915261735281</v>
      </c>
      <c r="DU129" s="62">
        <f t="shared" si="98"/>
        <v>297.47246687305056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5.4092197387944907E-14</v>
      </c>
      <c r="EL129" s="14">
        <f t="shared" si="99"/>
        <v>8.7287050538073676E-13</v>
      </c>
      <c r="EM129" s="22">
        <f t="shared" si="73"/>
        <v>1.6144600406554537E-12</v>
      </c>
      <c r="EN129" s="62">
        <f t="shared" si="74"/>
        <v>293.33333333333491</v>
      </c>
      <c r="EO129" s="62">
        <f ca="1">AVERAGE(OFFSET($EN$3,0,0,'Données projet'!$E$15+1,1))-AVERAGE(OFFSET($H$3,0,0,'Données projet'!$E$15+1,1))</f>
        <v>406.24139966722936</v>
      </c>
      <c r="EP129" s="62">
        <f t="shared" si="100"/>
        <v>295.95724296920577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1.1368683772161603E-13</v>
      </c>
      <c r="FF129" s="18">
        <f>FE129*VLOOKUP('Données projet'!$B$16,Paramètres!$A$1:$I$89,3,0)*VLOOKUP('Données projet'!$B$16,Paramètres!$A$1:$I$89,5,0)</f>
        <v>8.8675733422860506E-14</v>
      </c>
      <c r="FG129" s="14">
        <f t="shared" si="101"/>
        <v>1.3509285393066301E-12</v>
      </c>
      <c r="FH129" s="22">
        <f t="shared" si="76"/>
        <v>2.5073107750038623E-12</v>
      </c>
      <c r="FI129" s="62">
        <f t="shared" si="77"/>
        <v>293.33333333333582</v>
      </c>
      <c r="FJ129" s="62">
        <f ca="1">AVERAGE(OFFSET($FI$3,0,0,'Données projet'!$E$16+1,1))-AVERAGE(OFFSET($H$3,0,0,'Données projet'!$E$16+1,1))</f>
        <v>292.57482726862594</v>
      </c>
      <c r="FK129" s="62">
        <f t="shared" si="102"/>
        <v>283.48738729114024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4.2</v>
      </c>
      <c r="FZ129" s="13">
        <f>IF('Données projet'!$A$244&gt;35,FZ128+FY129-GH128,IF(A129&lt;'Données projet'!$A$244,$FW$205^A129,IF(A129='Données projet'!$A$244,'Données projet'!$B$244,FZ128+FY129-GH128)))</f>
        <v>377.19999999999982</v>
      </c>
      <c r="GA129" s="18">
        <f>FZ129*VLOOKUP('Données projet'!$B$17,Paramètres!$A$1:$I$89,3,0)*VLOOKUP('Données projet'!$B$17,Paramètres!$A$1:$I$89,5,0)</f>
        <v>364.82783999999987</v>
      </c>
      <c r="GB129" s="14">
        <f t="shared" si="103"/>
        <v>84.608305419789914</v>
      </c>
      <c r="GC129" s="22">
        <f t="shared" si="79"/>
        <v>782.76795327280058</v>
      </c>
      <c r="GD129" s="62">
        <f t="shared" si="80"/>
        <v>1076.101286606134</v>
      </c>
      <c r="GE129" s="62">
        <f ca="1">AVERAGE(OFFSET($GD$3,0,0,'Données projet'!$E$17+1,1))-AVERAGE(OFFSET($H$3,0,0,'Données projet'!$E$17+1,1))</f>
        <v>562.69380557620775</v>
      </c>
      <c r="GF129" s="62">
        <f t="shared" si="104"/>
        <v>294.45557293177131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4.2</v>
      </c>
      <c r="N130" s="14">
        <f>IF('Données projet'!$A$36&gt;35,N129+M130-V129,IF(A130&lt;'Données projet'!$A$36,$K$205^A130,IF(A130='Données projet'!$A$36,'Données projet'!$B$36,N129+M130-V129)))</f>
        <v>381.39999999999981</v>
      </c>
      <c r="O130" s="14">
        <f>N130*VLOOKUP('Données projet'!$B$9,Paramètres!$A$1:$I$89,3,0)*VLOOKUP('Données projet'!$B$9,Paramètres!$A$1:$I$89,5,0)</f>
        <v>345.09071999999981</v>
      </c>
      <c r="P130" s="14">
        <f t="shared" si="87"/>
        <v>80.550809942790039</v>
      </c>
      <c r="Q130" s="22">
        <f t="shared" si="107"/>
        <v>741.32566465035904</v>
      </c>
      <c r="R130" s="62">
        <f t="shared" si="55"/>
        <v>1034.6589979836924</v>
      </c>
      <c r="S130" s="62">
        <f ca="1">AVERAGE(OFFSET($R$3,0,0,'Données projet'!$E$9+1,1))-AVERAGE(OFFSET($H$3,0,0,'Données projet'!$E$9+1,1))</f>
        <v>529.25712986118265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-9.7543306765146564E-14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446.86777652265448</v>
      </c>
      <c r="AO130" s="62">
        <f t="shared" si="90"/>
        <v>230.82970731138215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-4.5224624045658861E-14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370.59298168107364</v>
      </c>
      <c r="BJ130" s="62">
        <f t="shared" si="92"/>
        <v>404.61777090709171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-4.1677594708744434E-14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344.45199703750711</v>
      </c>
      <c r="CE130" s="62">
        <f t="shared" si="94"/>
        <v>376.41441893222185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2.2737367544323206E-13</v>
      </c>
      <c r="CU130" s="18">
        <f>CT130*VLOOKUP('Données projet'!$B$13,Paramètres!$A$1:$I$89,3,0)*VLOOKUP('Données projet'!$B$13,Paramètres!$A$1:$I$89,5,0)</f>
        <v>1.4897523215040565E-13</v>
      </c>
      <c r="CV130" s="14">
        <f t="shared" si="95"/>
        <v>2.136562777003313E-12</v>
      </c>
      <c r="CW130" s="22">
        <f t="shared" si="67"/>
        <v>3.9806453659427267E-12</v>
      </c>
      <c r="CX130" s="62">
        <f t="shared" si="68"/>
        <v>293.33333333333729</v>
      </c>
      <c r="CY130" s="62">
        <f ca="1">AVERAGE(OFFSET($CX$3,0,0,'Données projet'!$E$13+1,1))-AVERAGE(OFFSET($H$3,0,0,'Données projet'!$E$13+1,1))</f>
        <v>311.53750850588153</v>
      </c>
      <c r="CZ130" s="62">
        <f t="shared" si="96"/>
        <v>304.84379909635476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-9.2222762759774927E-14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256.19915261735281</v>
      </c>
      <c r="DU130" s="62">
        <f t="shared" si="98"/>
        <v>297.47246687305056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5.4092197387944907E-14</v>
      </c>
      <c r="EL130" s="14">
        <f t="shared" si="99"/>
        <v>8.7287050538073676E-13</v>
      </c>
      <c r="EM130" s="22">
        <f t="shared" si="73"/>
        <v>1.6144600406554537E-12</v>
      </c>
      <c r="EN130" s="62">
        <f t="shared" si="74"/>
        <v>293.33333333333491</v>
      </c>
      <c r="EO130" s="62">
        <f ca="1">AVERAGE(OFFSET($EN$3,0,0,'Données projet'!$E$15+1,1))-AVERAGE(OFFSET($H$3,0,0,'Données projet'!$E$15+1,1))</f>
        <v>406.24139966722936</v>
      </c>
      <c r="EP130" s="62">
        <f t="shared" si="100"/>
        <v>295.95724296920577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1.1368683772161603E-13</v>
      </c>
      <c r="FF130" s="18">
        <f>FE130*VLOOKUP('Données projet'!$B$16,Paramètres!$A$1:$I$89,3,0)*VLOOKUP('Données projet'!$B$16,Paramètres!$A$1:$I$89,5,0)</f>
        <v>8.8675733422860506E-14</v>
      </c>
      <c r="FG130" s="14">
        <f t="shared" si="101"/>
        <v>1.3509285393066301E-12</v>
      </c>
      <c r="FH130" s="22">
        <f t="shared" si="76"/>
        <v>2.5073107750038623E-12</v>
      </c>
      <c r="FI130" s="62">
        <f t="shared" si="77"/>
        <v>293.33333333333582</v>
      </c>
      <c r="FJ130" s="62">
        <f ca="1">AVERAGE(OFFSET($FI$3,0,0,'Données projet'!$E$16+1,1))-AVERAGE(OFFSET($H$3,0,0,'Données projet'!$E$16+1,1))</f>
        <v>292.57482726862594</v>
      </c>
      <c r="FK130" s="62">
        <f t="shared" si="102"/>
        <v>283.48738729114024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4.2</v>
      </c>
      <c r="FZ130" s="13">
        <f>IF('Données projet'!$A$244&gt;35,FZ129+FY130-GH129,IF(A130&lt;'Données projet'!$A$244,$FW$205^A130,IF(A130='Données projet'!$A$244,'Données projet'!$B$244,FZ129+FY130-GH129)))</f>
        <v>381.39999999999981</v>
      </c>
      <c r="GA130" s="18">
        <f>FZ130*VLOOKUP('Données projet'!$B$17,Paramètres!$A$1:$I$89,3,0)*VLOOKUP('Données projet'!$B$17,Paramètres!$A$1:$I$89,5,0)</f>
        <v>368.89007999999984</v>
      </c>
      <c r="GB130" s="14">
        <f t="shared" si="103"/>
        <v>85.440195488930357</v>
      </c>
      <c r="GC130" s="22">
        <f t="shared" si="79"/>
        <v>791.29189647655346</v>
      </c>
      <c r="GD130" s="62">
        <f t="shared" si="80"/>
        <v>1084.6252298098868</v>
      </c>
      <c r="GE130" s="62">
        <f ca="1">AVERAGE(OFFSET($GD$3,0,0,'Données projet'!$E$17+1,1))-AVERAGE(OFFSET($H$3,0,0,'Données projet'!$E$17+1,1))</f>
        <v>562.69380557620775</v>
      </c>
      <c r="GF130" s="62">
        <f t="shared" si="104"/>
        <v>294.45557293177131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4.2</v>
      </c>
      <c r="N131" s="14">
        <f>IF('Données projet'!$A$36&gt;35,N130+M131-V130,IF(A131&lt;'Données projet'!$A$36,$K$205^A131,IF(A131='Données projet'!$A$36,'Données projet'!$B$36,N130+M131-V130)))</f>
        <v>385.5999999999998</v>
      </c>
      <c r="O131" s="14">
        <f>N131*VLOOKUP('Données projet'!$B$9,Paramètres!$A$1:$I$89,3,0)*VLOOKUP('Données projet'!$B$9,Paramètres!$A$1:$I$89,5,0)</f>
        <v>348.89087999999981</v>
      </c>
      <c r="P131" s="14">
        <f t="shared" si="87"/>
        <v>81.33408974133495</v>
      </c>
      <c r="Q131" s="22">
        <f t="shared" ref="Q131:Q153" si="108">(O131+P131)*0.475*44/12</f>
        <v>749.30848896615805</v>
      </c>
      <c r="R131" s="62">
        <f t="shared" ref="R131:R194" si="109">Q131+(I131+J131)*44/12</f>
        <v>1042.6418222994914</v>
      </c>
      <c r="S131" s="62">
        <f ca="1">AVERAGE(OFFSET($R$3,0,0,'Données projet'!$E$9+1,1))-AVERAGE(OFFSET($H$3,0,0,'Données projet'!$E$9+1,1))</f>
        <v>529.25712986118265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-9.7543306765146564E-14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446.86777652265448</v>
      </c>
      <c r="AO131" s="62">
        <f t="shared" si="90"/>
        <v>230.82970731138215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-4.5224624045658861E-14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370.59298168107364</v>
      </c>
      <c r="BJ131" s="62">
        <f t="shared" si="92"/>
        <v>404.61777090709171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-4.1677594708744434E-14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344.45199703750711</v>
      </c>
      <c r="CE131" s="62">
        <f t="shared" si="94"/>
        <v>376.41441893222185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2.2737367544323206E-13</v>
      </c>
      <c r="CU131" s="18">
        <f>CT131*VLOOKUP('Données projet'!$B$13,Paramètres!$A$1:$I$89,3,0)*VLOOKUP('Données projet'!$B$13,Paramètres!$A$1:$I$89,5,0)</f>
        <v>1.4897523215040565E-13</v>
      </c>
      <c r="CV131" s="14">
        <f t="shared" si="95"/>
        <v>2.136562777003313E-12</v>
      </c>
      <c r="CW131" s="22">
        <f t="shared" si="67"/>
        <v>3.9806453659427267E-12</v>
      </c>
      <c r="CX131" s="62">
        <f t="shared" si="68"/>
        <v>293.33333333333729</v>
      </c>
      <c r="CY131" s="62">
        <f ca="1">AVERAGE(OFFSET($CX$3,0,0,'Données projet'!$E$13+1,1))-AVERAGE(OFFSET($H$3,0,0,'Données projet'!$E$13+1,1))</f>
        <v>311.53750850588153</v>
      </c>
      <c r="CZ131" s="62">
        <f t="shared" si="96"/>
        <v>304.84379909635476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-9.2222762759774927E-14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256.19915261735281</v>
      </c>
      <c r="DU131" s="62">
        <f t="shared" si="98"/>
        <v>297.47246687305056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5.4092197387944907E-14</v>
      </c>
      <c r="EL131" s="14">
        <f t="shared" si="99"/>
        <v>8.7287050538073676E-13</v>
      </c>
      <c r="EM131" s="22">
        <f t="shared" si="73"/>
        <v>1.6144600406554537E-12</v>
      </c>
      <c r="EN131" s="62">
        <f t="shared" si="74"/>
        <v>293.33333333333491</v>
      </c>
      <c r="EO131" s="62">
        <f ca="1">AVERAGE(OFFSET($EN$3,0,0,'Données projet'!$E$15+1,1))-AVERAGE(OFFSET($H$3,0,0,'Données projet'!$E$15+1,1))</f>
        <v>406.24139966722936</v>
      </c>
      <c r="EP131" s="62">
        <f t="shared" si="100"/>
        <v>295.95724296920577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1.1368683772161603E-13</v>
      </c>
      <c r="FF131" s="18">
        <f>FE131*VLOOKUP('Données projet'!$B$16,Paramètres!$A$1:$I$89,3,0)*VLOOKUP('Données projet'!$B$16,Paramètres!$A$1:$I$89,5,0)</f>
        <v>8.8675733422860506E-14</v>
      </c>
      <c r="FG131" s="14">
        <f t="shared" si="101"/>
        <v>1.3509285393066301E-12</v>
      </c>
      <c r="FH131" s="22">
        <f t="shared" si="76"/>
        <v>2.5073107750038623E-12</v>
      </c>
      <c r="FI131" s="62">
        <f t="shared" si="77"/>
        <v>293.33333333333582</v>
      </c>
      <c r="FJ131" s="62">
        <f ca="1">AVERAGE(OFFSET($FI$3,0,0,'Données projet'!$E$16+1,1))-AVERAGE(OFFSET($H$3,0,0,'Données projet'!$E$16+1,1))</f>
        <v>292.57482726862594</v>
      </c>
      <c r="FK131" s="62">
        <f t="shared" si="102"/>
        <v>283.48738729114024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4.2</v>
      </c>
      <c r="FZ131" s="13">
        <f>IF('Données projet'!$A$244&gt;35,FZ130+FY131-GH130,IF(A131&lt;'Données projet'!$A$244,$FW$205^A131,IF(A131='Données projet'!$A$244,'Données projet'!$B$244,FZ130+FY131-GH130)))</f>
        <v>385.5999999999998</v>
      </c>
      <c r="GA131" s="18">
        <f>FZ131*VLOOKUP('Données projet'!$B$17,Paramètres!$A$1:$I$89,3,0)*VLOOKUP('Données projet'!$B$17,Paramètres!$A$1:$I$89,5,0)</f>
        <v>372.95231999999982</v>
      </c>
      <c r="GB131" s="14">
        <f t="shared" si="103"/>
        <v>86.271019898489143</v>
      </c>
      <c r="GC131" s="22">
        <f t="shared" si="79"/>
        <v>799.81398365653479</v>
      </c>
      <c r="GD131" s="62">
        <f t="shared" si="80"/>
        <v>1093.1473169898682</v>
      </c>
      <c r="GE131" s="62">
        <f ca="1">AVERAGE(OFFSET($GD$3,0,0,'Données projet'!$E$17+1,1))-AVERAGE(OFFSET($H$3,0,0,'Données projet'!$E$17+1,1))</f>
        <v>562.69380557620775</v>
      </c>
      <c r="GF131" s="62">
        <f t="shared" si="104"/>
        <v>294.45557293177131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4.2</v>
      </c>
      <c r="N132" s="14">
        <f>IF('Données projet'!$A$36&gt;35,N131+M132-V131,IF(A132&lt;'Données projet'!$A$36,$K$205^A132,IF(A132='Données projet'!$A$36,'Données projet'!$B$36,N131+M132-V131)))</f>
        <v>389.79999999999978</v>
      </c>
      <c r="O132" s="14">
        <f>N132*VLOOKUP('Données projet'!$B$9,Paramètres!$A$1:$I$89,3,0)*VLOOKUP('Données projet'!$B$9,Paramètres!$A$1:$I$89,5,0)</f>
        <v>352.69103999999982</v>
      </c>
      <c r="P132" s="14">
        <f t="shared" si="87"/>
        <v>82.116377073111735</v>
      </c>
      <c r="Q132" s="22">
        <f t="shared" si="108"/>
        <v>757.28958473566934</v>
      </c>
      <c r="R132" s="62">
        <f t="shared" si="109"/>
        <v>1050.6229180690027</v>
      </c>
      <c r="S132" s="62">
        <f ca="1">AVERAGE(OFFSET($R$3,0,0,'Données projet'!$E$9+1,1))-AVERAGE(OFFSET($H$3,0,0,'Données projet'!$E$9+1,1))</f>
        <v>529.25712986118265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-9.7543306765146564E-14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446.86777652265448</v>
      </c>
      <c r="AO132" s="62">
        <f t="shared" si="90"/>
        <v>230.82970731138215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-4.5224624045658861E-14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370.59298168107364</v>
      </c>
      <c r="BJ132" s="62">
        <f t="shared" si="92"/>
        <v>404.61777090709171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-4.1677594708744434E-14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344.45199703750711</v>
      </c>
      <c r="CE132" s="62">
        <f t="shared" si="94"/>
        <v>376.41441893222185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2.2737367544323206E-13</v>
      </c>
      <c r="CU132" s="18">
        <f>CT132*VLOOKUP('Données projet'!$B$13,Paramètres!$A$1:$I$89,3,0)*VLOOKUP('Données projet'!$B$13,Paramètres!$A$1:$I$89,5,0)</f>
        <v>1.4897523215040565E-13</v>
      </c>
      <c r="CV132" s="14">
        <f t="shared" si="95"/>
        <v>2.136562777003313E-12</v>
      </c>
      <c r="CW132" s="22">
        <f t="shared" ref="CW132:CW153" si="121">(CU132+CV132)*0.475*44/12</f>
        <v>3.9806453659427267E-12</v>
      </c>
      <c r="CX132" s="62">
        <f t="shared" ref="CX132:CX195" si="122">CW132+(CO132+CP132)*44/12</f>
        <v>293.33333333333729</v>
      </c>
      <c r="CY132" s="62">
        <f ca="1">AVERAGE(OFFSET($CX$3,0,0,'Données projet'!$E$13+1,1))-AVERAGE(OFFSET($H$3,0,0,'Données projet'!$E$13+1,1))</f>
        <v>311.53750850588153</v>
      </c>
      <c r="CZ132" s="62">
        <f t="shared" si="96"/>
        <v>304.84379909635476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-9.2222762759774927E-14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256.19915261735281</v>
      </c>
      <c r="DU132" s="62">
        <f t="shared" si="98"/>
        <v>297.47246687305056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5.4092197387944907E-14</v>
      </c>
      <c r="EL132" s="14">
        <f t="shared" si="99"/>
        <v>8.7287050538073676E-13</v>
      </c>
      <c r="EM132" s="22">
        <f t="shared" ref="EM132:EM153" si="127">(EK132+EL132)*0.475*44/12</f>
        <v>1.6144600406554537E-12</v>
      </c>
      <c r="EN132" s="62">
        <f t="shared" ref="EN132:EN195" si="128">EM132+(EE132+EF132)*44/12</f>
        <v>293.33333333333491</v>
      </c>
      <c r="EO132" s="62">
        <f ca="1">AVERAGE(OFFSET($EN$3,0,0,'Données projet'!$E$15+1,1))-AVERAGE(OFFSET($H$3,0,0,'Données projet'!$E$15+1,1))</f>
        <v>406.24139966722936</v>
      </c>
      <c r="EP132" s="62">
        <f t="shared" si="100"/>
        <v>295.95724296920577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1.1368683772161603E-13</v>
      </c>
      <c r="FF132" s="18">
        <f>FE132*VLOOKUP('Données projet'!$B$16,Paramètres!$A$1:$I$89,3,0)*VLOOKUP('Données projet'!$B$16,Paramètres!$A$1:$I$89,5,0)</f>
        <v>8.8675733422860506E-14</v>
      </c>
      <c r="FG132" s="14">
        <f t="shared" si="101"/>
        <v>1.3509285393066301E-12</v>
      </c>
      <c r="FH132" s="22">
        <f t="shared" ref="FH132:FH153" si="130">(FF132+FG132)*0.475*44/12</f>
        <v>2.5073107750038623E-12</v>
      </c>
      <c r="FI132" s="62">
        <f t="shared" ref="FI132:FI195" si="131">FH132+(EZ132+FA132)*44/12</f>
        <v>293.33333333333582</v>
      </c>
      <c r="FJ132" s="62">
        <f ca="1">AVERAGE(OFFSET($FI$3,0,0,'Données projet'!$E$16+1,1))-AVERAGE(OFFSET($H$3,0,0,'Données projet'!$E$16+1,1))</f>
        <v>292.57482726862594</v>
      </c>
      <c r="FK132" s="62">
        <f t="shared" si="102"/>
        <v>283.48738729114024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4.2</v>
      </c>
      <c r="FZ132" s="13">
        <f>IF('Données projet'!$A$244&gt;35,FZ131+FY132-GH131,IF(A132&lt;'Données projet'!$A$244,$FW$205^A132,IF(A132='Données projet'!$A$244,'Données projet'!$B$244,FZ131+FY132-GH131)))</f>
        <v>389.79999999999978</v>
      </c>
      <c r="GA132" s="18">
        <f>FZ132*VLOOKUP('Données projet'!$B$17,Paramètres!$A$1:$I$89,3,0)*VLOOKUP('Données projet'!$B$17,Paramètres!$A$1:$I$89,5,0)</f>
        <v>377.01455999999979</v>
      </c>
      <c r="GB132" s="14">
        <f t="shared" si="103"/>
        <v>87.100791599146149</v>
      </c>
      <c r="GC132" s="22">
        <f t="shared" ref="GC132:GC153" si="133">(GA132+GB132)*0.475*44/12</f>
        <v>808.33423736851239</v>
      </c>
      <c r="GD132" s="62">
        <f t="shared" ref="GD132:GD195" si="134">GC132+(FU132+FV132)*44/12</f>
        <v>1101.6675707018458</v>
      </c>
      <c r="GE132" s="62">
        <f ca="1">AVERAGE(OFFSET($GD$3,0,0,'Données projet'!$E$17+1,1))-AVERAGE(OFFSET($H$3,0,0,'Données projet'!$E$17+1,1))</f>
        <v>562.69380557620775</v>
      </c>
      <c r="GF132" s="62">
        <f t="shared" si="104"/>
        <v>294.45557293177131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394</v>
      </c>
      <c r="L133" s="13">
        <f>VLOOKUP(A133,'Données projet'!$A$35:$I$55,9,0)</f>
        <v>4.2</v>
      </c>
      <c r="M133" s="13">
        <f t="array" ref="M133">INDEX(L:L,MIN(IF(ISNUMBER(L133:L329),ROW(L133:L329),"")))</f>
        <v>4.2</v>
      </c>
      <c r="N133" s="14">
        <f>IF('Données projet'!$A$36&gt;35,N132+M133-V132,IF(A133&lt;'Données projet'!$A$36,$K$205^A133,IF(A133='Données projet'!$A$36,'Données projet'!$B$36,N132+M133-V132)))</f>
        <v>393.99999999999977</v>
      </c>
      <c r="O133" s="14">
        <f>N133*VLOOKUP('Données projet'!$B$9,Paramètres!$A$1:$I$89,3,0)*VLOOKUP('Données projet'!$B$9,Paramètres!$A$1:$I$89,5,0)</f>
        <v>356.49119999999976</v>
      </c>
      <c r="P133" s="14">
        <f t="shared" ref="P133:P196" si="141">EXP(-1.0587+0.8836*LN(O133)+0.284)</f>
        <v>82.897683869422281</v>
      </c>
      <c r="Q133" s="22">
        <f t="shared" si="108"/>
        <v>765.2689727392434</v>
      </c>
      <c r="R133" s="62">
        <f t="shared" si="109"/>
        <v>1058.6023060725768</v>
      </c>
      <c r="S133" s="62">
        <f ca="1">AVERAGE(OFFSET($R$3,0,0,'Données projet'!$E$9+1,1))-AVERAGE(OFFSET($H$3,0,0,'Données projet'!$E$9+1,1))</f>
        <v>529.25712986118265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9</v>
      </c>
      <c r="V133" s="16">
        <f>IF(ISNA(VLOOKUP(A133,'Données projet'!$A$35:$I$55,4,0)),0,VLOOKUP(A133,'Données projet'!$A$35:$I$55,4,0))</f>
        <v>91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-9.7543306765146564E-14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446.86777652265448</v>
      </c>
      <c r="AO133" s="62">
        <f t="shared" ref="AO133:AO196" si="144">$AO$3</f>
        <v>230.82970731138215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-4.5224624045658861E-14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370.59298168107364</v>
      </c>
      <c r="BJ133" s="62">
        <f t="shared" ref="BJ133:BJ196" si="146">$BJ$3</f>
        <v>404.61777090709171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-4.1677594708744434E-14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344.45199703750711</v>
      </c>
      <c r="CE133" s="62">
        <f t="shared" ref="CE133:CE196" si="148">$CE$3</f>
        <v>376.41441893222185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2.2737367544323206E-13</v>
      </c>
      <c r="CU133" s="18">
        <f>CT133*VLOOKUP('Données projet'!$B$13,Paramètres!$A$1:$I$89,3,0)*VLOOKUP('Données projet'!$B$13,Paramètres!$A$1:$I$89,5,0)</f>
        <v>1.4897523215040565E-13</v>
      </c>
      <c r="CV133" s="14">
        <f t="shared" ref="CV133:CV153" si="149">EXP(-1.0587+0.8836*LN(CU133)+0.284)</f>
        <v>2.136562777003313E-12</v>
      </c>
      <c r="CW133" s="22">
        <f t="shared" si="121"/>
        <v>3.9806453659427267E-12</v>
      </c>
      <c r="CX133" s="62">
        <f t="shared" si="122"/>
        <v>293.33333333333729</v>
      </c>
      <c r="CY133" s="62">
        <f ca="1">AVERAGE(OFFSET($CX$3,0,0,'Données projet'!$E$13+1,1))-AVERAGE(OFFSET($H$3,0,0,'Données projet'!$E$13+1,1))</f>
        <v>311.53750850588153</v>
      </c>
      <c r="CZ133" s="62">
        <f t="shared" ref="CZ133:CZ196" si="150">$CZ$3</f>
        <v>304.84379909635476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-9.2222762759774927E-14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256.19915261735281</v>
      </c>
      <c r="DU133" s="62">
        <f t="shared" ref="DU133:DU196" si="152">$DU$3</f>
        <v>297.47246687305056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5.4092197387944907E-14</v>
      </c>
      <c r="EL133" s="14">
        <f t="shared" ref="EL133:EL153" si="153">EXP(-1.0587+0.8836*LN(EK133)+0.284)</f>
        <v>8.7287050538073676E-13</v>
      </c>
      <c r="EM133" s="22">
        <f t="shared" si="127"/>
        <v>1.6144600406554537E-12</v>
      </c>
      <c r="EN133" s="62">
        <f t="shared" si="128"/>
        <v>293.33333333333491</v>
      </c>
      <c r="EO133" s="62">
        <f ca="1">AVERAGE(OFFSET($EN$3,0,0,'Données projet'!$E$15+1,1))-AVERAGE(OFFSET($H$3,0,0,'Données projet'!$E$15+1,1))</f>
        <v>406.24139966722936</v>
      </c>
      <c r="EP133" s="62">
        <f t="shared" ref="EP133:EP196" si="154">$EP$3</f>
        <v>295.95724296920577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1.1368683772161603E-13</v>
      </c>
      <c r="FF133" s="18">
        <f>FE133*VLOOKUP('Données projet'!$B$16,Paramètres!$A$1:$I$89,3,0)*VLOOKUP('Données projet'!$B$16,Paramètres!$A$1:$I$89,5,0)</f>
        <v>8.8675733422860506E-14</v>
      </c>
      <c r="FG133" s="14">
        <f t="shared" ref="FG133:FG153" si="155">EXP(-1.0587+0.8836*LN(FF133)+0.284)</f>
        <v>1.3509285393066301E-12</v>
      </c>
      <c r="FH133" s="22">
        <f t="shared" si="130"/>
        <v>2.5073107750038623E-12</v>
      </c>
      <c r="FI133" s="62">
        <f t="shared" si="131"/>
        <v>293.33333333333582</v>
      </c>
      <c r="FJ133" s="62">
        <f ca="1">AVERAGE(OFFSET($FI$3,0,0,'Données projet'!$E$16+1,1))-AVERAGE(OFFSET($H$3,0,0,'Données projet'!$E$16+1,1))</f>
        <v>292.57482726862594</v>
      </c>
      <c r="FK133" s="62">
        <f t="shared" ref="FK133:FK196" si="156">$FK$3</f>
        <v>283.48738729114024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>
        <f>VLOOKUP(A133,'Données projet'!$A$243:$I$263,2,0)</f>
        <v>394</v>
      </c>
      <c r="FX133" s="13">
        <f>VLOOKUP(A133,'Données projet'!$A$243:$I$263,9,0)</f>
        <v>4.2</v>
      </c>
      <c r="FY133" s="13">
        <f t="array" ref="FY133">INDEX(FX:FX,MIN(IF(ISNUMBER(FX133:FX329),ROW(FX133:FX329),"")))</f>
        <v>4.2</v>
      </c>
      <c r="FZ133" s="13">
        <f>IF('Données projet'!$A$244&gt;35,FZ132+FY133-GH132,IF(A133&lt;'Données projet'!$A$244,$FW$205^A133,IF(A133='Données projet'!$A$244,'Données projet'!$B$244,FZ132+FY133-GH132)))</f>
        <v>393.99999999999977</v>
      </c>
      <c r="GA133" s="18">
        <f>FZ133*VLOOKUP('Données projet'!$B$17,Paramètres!$A$1:$I$89,3,0)*VLOOKUP('Données projet'!$B$17,Paramètres!$A$1:$I$89,5,0)</f>
        <v>381.07679999999982</v>
      </c>
      <c r="GB133" s="14">
        <f t="shared" ref="GB133:GB153" si="157">EXP(-1.0587+0.8836*LN(GA133)+0.284)</f>
        <v>87.929523246425944</v>
      </c>
      <c r="GC133" s="22">
        <f t="shared" si="133"/>
        <v>816.85267965419155</v>
      </c>
      <c r="GD133" s="62">
        <f t="shared" si="134"/>
        <v>1110.1860129875249</v>
      </c>
      <c r="GE133" s="62">
        <f ca="1">AVERAGE(OFFSET($GD$3,0,0,'Données projet'!$E$17+1,1))-AVERAGE(OFFSET($H$3,0,0,'Données projet'!$E$17+1,1))</f>
        <v>562.69380557620775</v>
      </c>
      <c r="GF133" s="62">
        <f t="shared" ref="GF133:GF196" si="158">$GF$3</f>
        <v>294.45557293177131</v>
      </c>
      <c r="GG133" s="16">
        <f>IF(ISNA(VLOOKUP(A133,'Données projet'!$A$243:$I$263,3,0)),0,VLOOKUP(A133,'Données projet'!$A$243:$I$263,3,0))</f>
        <v>9</v>
      </c>
      <c r="GH133" s="16">
        <f>IF(ISNA(VLOOKUP(A133,'Données projet'!$A$243:$I$263,4,0)),0,VLOOKUP(A133,'Données projet'!$A$243:$I$263,4,0))</f>
        <v>91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3.8</v>
      </c>
      <c r="N134" s="14">
        <f>IF('Données projet'!$A$36&gt;35,N133+M134-V133,IF(A134&lt;'Données projet'!$A$36,$K$205^A134,IF(A134='Données projet'!$A$36,'Données projet'!$B$36,N133+M134-V133)))</f>
        <v>306.79999999999978</v>
      </c>
      <c r="O134" s="14">
        <f>N134*VLOOKUP('Données projet'!$B$9,Paramètres!$A$1:$I$89,3,0)*VLOOKUP('Données projet'!$B$9,Paramètres!$A$1:$I$89,5,0)</f>
        <v>277.59263999999979</v>
      </c>
      <c r="P134" s="14">
        <f t="shared" si="141"/>
        <v>66.458009122425523</v>
      </c>
      <c r="Q134" s="22">
        <f t="shared" si="108"/>
        <v>599.22154722155733</v>
      </c>
      <c r="R134" s="62">
        <f t="shared" si="109"/>
        <v>892.55488055489059</v>
      </c>
      <c r="S134" s="62">
        <f ca="1">AVERAGE(OFFSET($R$3,0,0,'Données projet'!$E$9+1,1))-AVERAGE(OFFSET($H$3,0,0,'Données projet'!$E$9+1,1))</f>
        <v>529.25712986118265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-9.7543306765146564E-14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446.86777652265448</v>
      </c>
      <c r="AO134" s="62">
        <f t="shared" si="144"/>
        <v>230.82970731138215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-4.5224624045658861E-14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370.59298168107364</v>
      </c>
      <c r="BJ134" s="62">
        <f t="shared" si="146"/>
        <v>404.61777090709171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-4.1677594708744434E-14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344.45199703750711</v>
      </c>
      <c r="CE134" s="62">
        <f t="shared" si="148"/>
        <v>376.41441893222185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2.2737367544323206E-13</v>
      </c>
      <c r="CU134" s="18">
        <f>CT134*VLOOKUP('Données projet'!$B$13,Paramètres!$A$1:$I$89,3,0)*VLOOKUP('Données projet'!$B$13,Paramètres!$A$1:$I$89,5,0)</f>
        <v>1.4897523215040565E-13</v>
      </c>
      <c r="CV134" s="14">
        <f t="shared" si="149"/>
        <v>2.136562777003313E-12</v>
      </c>
      <c r="CW134" s="22">
        <f t="shared" si="121"/>
        <v>3.9806453659427267E-12</v>
      </c>
      <c r="CX134" s="62">
        <f t="shared" si="122"/>
        <v>293.33333333333729</v>
      </c>
      <c r="CY134" s="62">
        <f ca="1">AVERAGE(OFFSET($CX$3,0,0,'Données projet'!$E$13+1,1))-AVERAGE(OFFSET($H$3,0,0,'Données projet'!$E$13+1,1))</f>
        <v>311.53750850588153</v>
      </c>
      <c r="CZ134" s="62">
        <f t="shared" si="150"/>
        <v>304.84379909635476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-9.2222762759774927E-14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256.19915261735281</v>
      </c>
      <c r="DU134" s="62">
        <f t="shared" si="152"/>
        <v>297.47246687305056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5.4092197387944907E-14</v>
      </c>
      <c r="EL134" s="14">
        <f t="shared" si="153"/>
        <v>8.7287050538073676E-13</v>
      </c>
      <c r="EM134" s="22">
        <f t="shared" si="127"/>
        <v>1.6144600406554537E-12</v>
      </c>
      <c r="EN134" s="62">
        <f t="shared" si="128"/>
        <v>293.33333333333491</v>
      </c>
      <c r="EO134" s="62">
        <f ca="1">AVERAGE(OFFSET($EN$3,0,0,'Données projet'!$E$15+1,1))-AVERAGE(OFFSET($H$3,0,0,'Données projet'!$E$15+1,1))</f>
        <v>406.24139966722936</v>
      </c>
      <c r="EP134" s="62">
        <f t="shared" si="154"/>
        <v>295.95724296920577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1.1368683772161603E-13</v>
      </c>
      <c r="FF134" s="18">
        <f>FE134*VLOOKUP('Données projet'!$B$16,Paramètres!$A$1:$I$89,3,0)*VLOOKUP('Données projet'!$B$16,Paramètres!$A$1:$I$89,5,0)</f>
        <v>8.8675733422860506E-14</v>
      </c>
      <c r="FG134" s="14">
        <f t="shared" si="155"/>
        <v>1.3509285393066301E-12</v>
      </c>
      <c r="FH134" s="22">
        <f t="shared" si="130"/>
        <v>2.5073107750038623E-12</v>
      </c>
      <c r="FI134" s="62">
        <f t="shared" si="131"/>
        <v>293.33333333333582</v>
      </c>
      <c r="FJ134" s="62">
        <f ca="1">AVERAGE(OFFSET($FI$3,0,0,'Données projet'!$E$16+1,1))-AVERAGE(OFFSET($H$3,0,0,'Données projet'!$E$16+1,1))</f>
        <v>292.57482726862594</v>
      </c>
      <c r="FK134" s="62">
        <f t="shared" si="156"/>
        <v>283.48738729114024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3.8</v>
      </c>
      <c r="FZ134" s="13">
        <f>IF('Données projet'!$A$244&gt;35,FZ133+FY134-GH133,IF(A134&lt;'Données projet'!$A$244,$FW$205^A134,IF(A134='Données projet'!$A$244,'Données projet'!$B$244,FZ133+FY134-GH133)))</f>
        <v>306.79999999999978</v>
      </c>
      <c r="GA134" s="18">
        <f>FZ134*VLOOKUP('Données projet'!$B$17,Paramètres!$A$1:$I$89,3,0)*VLOOKUP('Données projet'!$B$17,Paramètres!$A$1:$I$89,5,0)</f>
        <v>296.73695999999978</v>
      </c>
      <c r="GB134" s="14">
        <f t="shared" si="157"/>
        <v>70.491970164645096</v>
      </c>
      <c r="GC134" s="22">
        <f t="shared" si="133"/>
        <v>639.59038670342318</v>
      </c>
      <c r="GD134" s="62">
        <f t="shared" si="134"/>
        <v>932.92372003675655</v>
      </c>
      <c r="GE134" s="62">
        <f ca="1">AVERAGE(OFFSET($GD$3,0,0,'Données projet'!$E$17+1,1))-AVERAGE(OFFSET($H$3,0,0,'Données projet'!$E$17+1,1))</f>
        <v>562.69380557620775</v>
      </c>
      <c r="GF134" s="62">
        <f t="shared" si="158"/>
        <v>294.45557293177131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3.8</v>
      </c>
      <c r="N135" s="14">
        <f>IF('Données projet'!$A$36&gt;35,N134+M135-V134,IF(A135&lt;'Données projet'!$A$36,$K$205^A135,IF(A135='Données projet'!$A$36,'Données projet'!$B$36,N134+M135-V134)))</f>
        <v>310.5999999999998</v>
      </c>
      <c r="O135" s="14">
        <f>N135*VLOOKUP('Données projet'!$B$9,Paramètres!$A$1:$I$89,3,0)*VLOOKUP('Données projet'!$B$9,Paramètres!$A$1:$I$89,5,0)</f>
        <v>281.03087999999985</v>
      </c>
      <c r="P135" s="14">
        <f t="shared" si="141"/>
        <v>67.184816842275467</v>
      </c>
      <c r="Q135" s="22">
        <f t="shared" si="108"/>
        <v>606.47567200029607</v>
      </c>
      <c r="R135" s="62">
        <f t="shared" si="109"/>
        <v>899.80900533362933</v>
      </c>
      <c r="S135" s="62">
        <f ca="1">AVERAGE(OFFSET($R$3,0,0,'Données projet'!$E$9+1,1))-AVERAGE(OFFSET($H$3,0,0,'Données projet'!$E$9+1,1))</f>
        <v>529.25712986118265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-9.7543306765146564E-14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446.86777652265448</v>
      </c>
      <c r="AO135" s="62">
        <f t="shared" si="144"/>
        <v>230.82970731138215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-4.5224624045658861E-14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370.59298168107364</v>
      </c>
      <c r="BJ135" s="62">
        <f t="shared" si="146"/>
        <v>404.61777090709171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-4.1677594708744434E-14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344.45199703750711</v>
      </c>
      <c r="CE135" s="62">
        <f t="shared" si="148"/>
        <v>376.41441893222185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2.2737367544323206E-13</v>
      </c>
      <c r="CU135" s="18">
        <f>CT135*VLOOKUP('Données projet'!$B$13,Paramètres!$A$1:$I$89,3,0)*VLOOKUP('Données projet'!$B$13,Paramètres!$A$1:$I$89,5,0)</f>
        <v>1.4897523215040565E-13</v>
      </c>
      <c r="CV135" s="14">
        <f t="shared" si="149"/>
        <v>2.136562777003313E-12</v>
      </c>
      <c r="CW135" s="22">
        <f t="shared" si="121"/>
        <v>3.9806453659427267E-12</v>
      </c>
      <c r="CX135" s="62">
        <f t="shared" si="122"/>
        <v>293.33333333333729</v>
      </c>
      <c r="CY135" s="62">
        <f ca="1">AVERAGE(OFFSET($CX$3,0,0,'Données projet'!$E$13+1,1))-AVERAGE(OFFSET($H$3,0,0,'Données projet'!$E$13+1,1))</f>
        <v>311.53750850588153</v>
      </c>
      <c r="CZ135" s="62">
        <f t="shared" si="150"/>
        <v>304.84379909635476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-9.2222762759774927E-14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256.19915261735281</v>
      </c>
      <c r="DU135" s="62">
        <f t="shared" si="152"/>
        <v>297.47246687305056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5.4092197387944907E-14</v>
      </c>
      <c r="EL135" s="14">
        <f t="shared" si="153"/>
        <v>8.7287050538073676E-13</v>
      </c>
      <c r="EM135" s="22">
        <f t="shared" si="127"/>
        <v>1.6144600406554537E-12</v>
      </c>
      <c r="EN135" s="62">
        <f t="shared" si="128"/>
        <v>293.33333333333491</v>
      </c>
      <c r="EO135" s="62">
        <f ca="1">AVERAGE(OFFSET($EN$3,0,0,'Données projet'!$E$15+1,1))-AVERAGE(OFFSET($H$3,0,0,'Données projet'!$E$15+1,1))</f>
        <v>406.24139966722936</v>
      </c>
      <c r="EP135" s="62">
        <f t="shared" si="154"/>
        <v>295.95724296920577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1.1368683772161603E-13</v>
      </c>
      <c r="FF135" s="18">
        <f>FE135*VLOOKUP('Données projet'!$B$16,Paramètres!$A$1:$I$89,3,0)*VLOOKUP('Données projet'!$B$16,Paramètres!$A$1:$I$89,5,0)</f>
        <v>8.8675733422860506E-14</v>
      </c>
      <c r="FG135" s="14">
        <f t="shared" si="155"/>
        <v>1.3509285393066301E-12</v>
      </c>
      <c r="FH135" s="22">
        <f t="shared" si="130"/>
        <v>2.5073107750038623E-12</v>
      </c>
      <c r="FI135" s="62">
        <f t="shared" si="131"/>
        <v>293.33333333333582</v>
      </c>
      <c r="FJ135" s="62">
        <f ca="1">AVERAGE(OFFSET($FI$3,0,0,'Données projet'!$E$16+1,1))-AVERAGE(OFFSET($H$3,0,0,'Données projet'!$E$16+1,1))</f>
        <v>292.57482726862594</v>
      </c>
      <c r="FK135" s="62">
        <f t="shared" si="156"/>
        <v>283.48738729114024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3.8</v>
      </c>
      <c r="FZ135" s="13">
        <f>IF('Données projet'!$A$244&gt;35,FZ134+FY135-GH134,IF(A135&lt;'Données projet'!$A$244,$FW$205^A135,IF(A135='Données projet'!$A$244,'Données projet'!$B$244,FZ134+FY135-GH134)))</f>
        <v>310.5999999999998</v>
      </c>
      <c r="GA135" s="18">
        <f>FZ135*VLOOKUP('Données projet'!$B$17,Paramètres!$A$1:$I$89,3,0)*VLOOKUP('Données projet'!$B$17,Paramètres!$A$1:$I$89,5,0)</f>
        <v>300.4123199999998</v>
      </c>
      <c r="GB135" s="14">
        <f t="shared" si="157"/>
        <v>71.262894674416614</v>
      </c>
      <c r="GC135" s="22">
        <f t="shared" si="133"/>
        <v>647.33433222460849</v>
      </c>
      <c r="GD135" s="62">
        <f t="shared" si="134"/>
        <v>940.66766555794175</v>
      </c>
      <c r="GE135" s="62">
        <f ca="1">AVERAGE(OFFSET($GD$3,0,0,'Données projet'!$E$17+1,1))-AVERAGE(OFFSET($H$3,0,0,'Données projet'!$E$17+1,1))</f>
        <v>562.69380557620775</v>
      </c>
      <c r="GF135" s="62">
        <f t="shared" si="158"/>
        <v>294.45557293177131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3.8</v>
      </c>
      <c r="N136" s="14">
        <f>IF('Données projet'!$A$36&gt;35,N135+M136-V135,IF(A136&lt;'Données projet'!$A$36,$K$205^A136,IF(A136='Données projet'!$A$36,'Données projet'!$B$36,N135+M136-V135)))</f>
        <v>314.39999999999981</v>
      </c>
      <c r="O136" s="14">
        <f>N136*VLOOKUP('Données projet'!$B$9,Paramètres!$A$1:$I$89,3,0)*VLOOKUP('Données projet'!$B$9,Paramètres!$A$1:$I$89,5,0)</f>
        <v>284.4691199999998</v>
      </c>
      <c r="P136" s="14">
        <f t="shared" si="141"/>
        <v>67.910590237378983</v>
      </c>
      <c r="Q136" s="22">
        <f t="shared" si="108"/>
        <v>613.72799533010129</v>
      </c>
      <c r="R136" s="62">
        <f t="shared" si="109"/>
        <v>907.06132866343455</v>
      </c>
      <c r="S136" s="62">
        <f ca="1">AVERAGE(OFFSET($R$3,0,0,'Données projet'!$E$9+1,1))-AVERAGE(OFFSET($H$3,0,0,'Données projet'!$E$9+1,1))</f>
        <v>529.25712986118265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-9.7543306765146564E-14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446.86777652265448</v>
      </c>
      <c r="AO136" s="62">
        <f t="shared" si="144"/>
        <v>230.82970731138215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-4.5224624045658861E-14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370.59298168107364</v>
      </c>
      <c r="BJ136" s="62">
        <f t="shared" si="146"/>
        <v>404.61777090709171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-4.1677594708744434E-14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344.45199703750711</v>
      </c>
      <c r="CE136" s="62">
        <f t="shared" si="148"/>
        <v>376.41441893222185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2.2737367544323206E-13</v>
      </c>
      <c r="CU136" s="18">
        <f>CT136*VLOOKUP('Données projet'!$B$13,Paramètres!$A$1:$I$89,3,0)*VLOOKUP('Données projet'!$B$13,Paramètres!$A$1:$I$89,5,0)</f>
        <v>1.4897523215040565E-13</v>
      </c>
      <c r="CV136" s="14">
        <f t="shared" si="149"/>
        <v>2.136562777003313E-12</v>
      </c>
      <c r="CW136" s="22">
        <f t="shared" si="121"/>
        <v>3.9806453659427267E-12</v>
      </c>
      <c r="CX136" s="62">
        <f t="shared" si="122"/>
        <v>293.33333333333729</v>
      </c>
      <c r="CY136" s="62">
        <f ca="1">AVERAGE(OFFSET($CX$3,0,0,'Données projet'!$E$13+1,1))-AVERAGE(OFFSET($H$3,0,0,'Données projet'!$E$13+1,1))</f>
        <v>311.53750850588153</v>
      </c>
      <c r="CZ136" s="62">
        <f t="shared" si="150"/>
        <v>304.84379909635476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-9.2222762759774927E-14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256.19915261735281</v>
      </c>
      <c r="DU136" s="62">
        <f t="shared" si="152"/>
        <v>297.47246687305056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5.4092197387944907E-14</v>
      </c>
      <c r="EL136" s="14">
        <f t="shared" si="153"/>
        <v>8.7287050538073676E-13</v>
      </c>
      <c r="EM136" s="22">
        <f t="shared" si="127"/>
        <v>1.6144600406554537E-12</v>
      </c>
      <c r="EN136" s="62">
        <f t="shared" si="128"/>
        <v>293.33333333333491</v>
      </c>
      <c r="EO136" s="62">
        <f ca="1">AVERAGE(OFFSET($EN$3,0,0,'Données projet'!$E$15+1,1))-AVERAGE(OFFSET($H$3,0,0,'Données projet'!$E$15+1,1))</f>
        <v>406.24139966722936</v>
      </c>
      <c r="EP136" s="62">
        <f t="shared" si="154"/>
        <v>295.95724296920577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1.1368683772161603E-13</v>
      </c>
      <c r="FF136" s="18">
        <f>FE136*VLOOKUP('Données projet'!$B$16,Paramètres!$A$1:$I$89,3,0)*VLOOKUP('Données projet'!$B$16,Paramètres!$A$1:$I$89,5,0)</f>
        <v>8.8675733422860506E-14</v>
      </c>
      <c r="FG136" s="14">
        <f t="shared" si="155"/>
        <v>1.3509285393066301E-12</v>
      </c>
      <c r="FH136" s="22">
        <f t="shared" si="130"/>
        <v>2.5073107750038623E-12</v>
      </c>
      <c r="FI136" s="62">
        <f t="shared" si="131"/>
        <v>293.33333333333582</v>
      </c>
      <c r="FJ136" s="62">
        <f ca="1">AVERAGE(OFFSET($FI$3,0,0,'Données projet'!$E$16+1,1))-AVERAGE(OFFSET($H$3,0,0,'Données projet'!$E$16+1,1))</f>
        <v>292.57482726862594</v>
      </c>
      <c r="FK136" s="62">
        <f t="shared" si="156"/>
        <v>283.48738729114024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3.8</v>
      </c>
      <c r="FZ136" s="13">
        <f>IF('Données projet'!$A$244&gt;35,FZ135+FY136-GH135,IF(A136&lt;'Données projet'!$A$244,$FW$205^A136,IF(A136='Données projet'!$A$244,'Données projet'!$B$244,FZ135+FY136-GH135)))</f>
        <v>314.39999999999981</v>
      </c>
      <c r="GA136" s="18">
        <f>FZ136*VLOOKUP('Données projet'!$B$17,Paramètres!$A$1:$I$89,3,0)*VLOOKUP('Données projet'!$B$17,Paramètres!$A$1:$I$89,5,0)</f>
        <v>304.08767999999981</v>
      </c>
      <c r="GB136" s="14">
        <f t="shared" si="157"/>
        <v>72.032722076553924</v>
      </c>
      <c r="GC136" s="22">
        <f t="shared" si="133"/>
        <v>655.07636694999781</v>
      </c>
      <c r="GD136" s="62">
        <f t="shared" si="134"/>
        <v>948.40970028333118</v>
      </c>
      <c r="GE136" s="62">
        <f ca="1">AVERAGE(OFFSET($GD$3,0,0,'Données projet'!$E$17+1,1))-AVERAGE(OFFSET($H$3,0,0,'Données projet'!$E$17+1,1))</f>
        <v>562.69380557620775</v>
      </c>
      <c r="GF136" s="62">
        <f t="shared" si="158"/>
        <v>294.45557293177131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3.8</v>
      </c>
      <c r="N137" s="14">
        <f>IF('Données projet'!$A$36&gt;35,N136+M137-V136,IF(A137&lt;'Données projet'!$A$36,$K$205^A137,IF(A137='Données projet'!$A$36,'Données projet'!$B$36,N136+M137-V136)))</f>
        <v>318.19999999999982</v>
      </c>
      <c r="O137" s="14">
        <f>N137*VLOOKUP('Données projet'!$B$9,Paramètres!$A$1:$I$89,3,0)*VLOOKUP('Données projet'!$B$9,Paramètres!$A$1:$I$89,5,0)</f>
        <v>287.90735999999981</v>
      </c>
      <c r="P137" s="14">
        <f t="shared" si="141"/>
        <v>68.635343255147305</v>
      </c>
      <c r="Q137" s="22">
        <f t="shared" si="108"/>
        <v>620.97854150271451</v>
      </c>
      <c r="R137" s="62">
        <f t="shared" si="109"/>
        <v>914.31187483604776</v>
      </c>
      <c r="S137" s="62">
        <f ca="1">AVERAGE(OFFSET($R$3,0,0,'Données projet'!$E$9+1,1))-AVERAGE(OFFSET($H$3,0,0,'Données projet'!$E$9+1,1))</f>
        <v>529.25712986118265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-9.7543306765146564E-14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446.86777652265448</v>
      </c>
      <c r="AO137" s="62">
        <f t="shared" si="144"/>
        <v>230.82970731138215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-4.5224624045658861E-14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370.59298168107364</v>
      </c>
      <c r="BJ137" s="62">
        <f t="shared" si="146"/>
        <v>404.61777090709171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-4.1677594708744434E-14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344.45199703750711</v>
      </c>
      <c r="CE137" s="62">
        <f t="shared" si="148"/>
        <v>376.41441893222185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2.2737367544323206E-13</v>
      </c>
      <c r="CU137" s="18">
        <f>CT137*VLOOKUP('Données projet'!$B$13,Paramètres!$A$1:$I$89,3,0)*VLOOKUP('Données projet'!$B$13,Paramètres!$A$1:$I$89,5,0)</f>
        <v>1.4897523215040565E-13</v>
      </c>
      <c r="CV137" s="14">
        <f t="shared" si="149"/>
        <v>2.136562777003313E-12</v>
      </c>
      <c r="CW137" s="22">
        <f t="shared" si="121"/>
        <v>3.9806453659427267E-12</v>
      </c>
      <c r="CX137" s="62">
        <f t="shared" si="122"/>
        <v>293.33333333333729</v>
      </c>
      <c r="CY137" s="62">
        <f ca="1">AVERAGE(OFFSET($CX$3,0,0,'Données projet'!$E$13+1,1))-AVERAGE(OFFSET($H$3,0,0,'Données projet'!$E$13+1,1))</f>
        <v>311.53750850588153</v>
      </c>
      <c r="CZ137" s="62">
        <f t="shared" si="150"/>
        <v>304.84379909635476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-9.2222762759774927E-14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256.19915261735281</v>
      </c>
      <c r="DU137" s="62">
        <f t="shared" si="152"/>
        <v>297.47246687305056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5.4092197387944907E-14</v>
      </c>
      <c r="EL137" s="14">
        <f t="shared" si="153"/>
        <v>8.7287050538073676E-13</v>
      </c>
      <c r="EM137" s="22">
        <f t="shared" si="127"/>
        <v>1.6144600406554537E-12</v>
      </c>
      <c r="EN137" s="62">
        <f t="shared" si="128"/>
        <v>293.33333333333491</v>
      </c>
      <c r="EO137" s="62">
        <f ca="1">AVERAGE(OFFSET($EN$3,0,0,'Données projet'!$E$15+1,1))-AVERAGE(OFFSET($H$3,0,0,'Données projet'!$E$15+1,1))</f>
        <v>406.24139966722936</v>
      </c>
      <c r="EP137" s="62">
        <f t="shared" si="154"/>
        <v>295.95724296920577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1.1368683772161603E-13</v>
      </c>
      <c r="FF137" s="18">
        <f>FE137*VLOOKUP('Données projet'!$B$16,Paramètres!$A$1:$I$89,3,0)*VLOOKUP('Données projet'!$B$16,Paramètres!$A$1:$I$89,5,0)</f>
        <v>8.8675733422860506E-14</v>
      </c>
      <c r="FG137" s="14">
        <f t="shared" si="155"/>
        <v>1.3509285393066301E-12</v>
      </c>
      <c r="FH137" s="22">
        <f t="shared" si="130"/>
        <v>2.5073107750038623E-12</v>
      </c>
      <c r="FI137" s="62">
        <f t="shared" si="131"/>
        <v>293.33333333333582</v>
      </c>
      <c r="FJ137" s="62">
        <f ca="1">AVERAGE(OFFSET($FI$3,0,0,'Données projet'!$E$16+1,1))-AVERAGE(OFFSET($H$3,0,0,'Données projet'!$E$16+1,1))</f>
        <v>292.57482726862594</v>
      </c>
      <c r="FK137" s="62">
        <f t="shared" si="156"/>
        <v>283.48738729114024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3.8</v>
      </c>
      <c r="FZ137" s="13">
        <f>IF('Données projet'!$A$244&gt;35,FZ136+FY137-GH136,IF(A137&lt;'Données projet'!$A$244,$FW$205^A137,IF(A137='Données projet'!$A$244,'Données projet'!$B$244,FZ136+FY137-GH136)))</f>
        <v>318.19999999999982</v>
      </c>
      <c r="GA137" s="18">
        <f>FZ137*VLOOKUP('Données projet'!$B$17,Paramètres!$A$1:$I$89,3,0)*VLOOKUP('Données projet'!$B$17,Paramètres!$A$1:$I$89,5,0)</f>
        <v>307.76303999999982</v>
      </c>
      <c r="GB137" s="14">
        <f t="shared" si="157"/>
        <v>72.801467165067464</v>
      </c>
      <c r="GC137" s="22">
        <f t="shared" si="133"/>
        <v>662.81651664582557</v>
      </c>
      <c r="GD137" s="62">
        <f t="shared" si="134"/>
        <v>956.14984997915894</v>
      </c>
      <c r="GE137" s="62">
        <f ca="1">AVERAGE(OFFSET($GD$3,0,0,'Données projet'!$E$17+1,1))-AVERAGE(OFFSET($H$3,0,0,'Données projet'!$E$17+1,1))</f>
        <v>562.69380557620775</v>
      </c>
      <c r="GF137" s="62">
        <f t="shared" si="158"/>
        <v>294.45557293177131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3.8</v>
      </c>
      <c r="N138" s="14">
        <f>IF('Données projet'!$A$36&gt;35,N137+M138-V137,IF(A138&lt;'Données projet'!$A$36,$K$205^A138,IF(A138='Données projet'!$A$36,'Données projet'!$B$36,N137+M138-V137)))</f>
        <v>321.99999999999983</v>
      </c>
      <c r="O138" s="14">
        <f>N138*VLOOKUP('Données projet'!$B$9,Paramètres!$A$1:$I$89,3,0)*VLOOKUP('Données projet'!$B$9,Paramètres!$A$1:$I$89,5,0)</f>
        <v>291.34559999999982</v>
      </c>
      <c r="P138" s="14">
        <f t="shared" si="141"/>
        <v>69.359089490698651</v>
      </c>
      <c r="Q138" s="22">
        <f t="shared" si="108"/>
        <v>628.22733419629969</v>
      </c>
      <c r="R138" s="62">
        <f t="shared" si="109"/>
        <v>921.56066752963306</v>
      </c>
      <c r="S138" s="62">
        <f ca="1">AVERAGE(OFFSET($R$3,0,0,'Données projet'!$E$9+1,1))-AVERAGE(OFFSET($H$3,0,0,'Données projet'!$E$9+1,1))</f>
        <v>529.25712986118265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-9.7543306765146564E-14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446.86777652265448</v>
      </c>
      <c r="AO138" s="62">
        <f t="shared" si="144"/>
        <v>230.82970731138215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-4.5224624045658861E-14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370.59298168107364</v>
      </c>
      <c r="BJ138" s="62">
        <f t="shared" si="146"/>
        <v>404.61777090709171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-4.1677594708744434E-14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344.45199703750711</v>
      </c>
      <c r="CE138" s="62">
        <f t="shared" si="148"/>
        <v>376.41441893222185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2.2737367544323206E-13</v>
      </c>
      <c r="CU138" s="18">
        <f>CT138*VLOOKUP('Données projet'!$B$13,Paramètres!$A$1:$I$89,3,0)*VLOOKUP('Données projet'!$B$13,Paramètres!$A$1:$I$89,5,0)</f>
        <v>1.4897523215040565E-13</v>
      </c>
      <c r="CV138" s="14">
        <f t="shared" si="149"/>
        <v>2.136562777003313E-12</v>
      </c>
      <c r="CW138" s="22">
        <f t="shared" si="121"/>
        <v>3.9806453659427267E-12</v>
      </c>
      <c r="CX138" s="62">
        <f t="shared" si="122"/>
        <v>293.33333333333729</v>
      </c>
      <c r="CY138" s="62">
        <f ca="1">AVERAGE(OFFSET($CX$3,0,0,'Données projet'!$E$13+1,1))-AVERAGE(OFFSET($H$3,0,0,'Données projet'!$E$13+1,1))</f>
        <v>311.53750850588153</v>
      </c>
      <c r="CZ138" s="62">
        <f t="shared" si="150"/>
        <v>304.84379909635476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-9.2222762759774927E-14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256.19915261735281</v>
      </c>
      <c r="DU138" s="62">
        <f t="shared" si="152"/>
        <v>297.47246687305056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5.4092197387944907E-14</v>
      </c>
      <c r="EL138" s="14">
        <f t="shared" si="153"/>
        <v>8.7287050538073676E-13</v>
      </c>
      <c r="EM138" s="22">
        <f t="shared" si="127"/>
        <v>1.6144600406554537E-12</v>
      </c>
      <c r="EN138" s="62">
        <f t="shared" si="128"/>
        <v>293.33333333333491</v>
      </c>
      <c r="EO138" s="62">
        <f ca="1">AVERAGE(OFFSET($EN$3,0,0,'Données projet'!$E$15+1,1))-AVERAGE(OFFSET($H$3,0,0,'Données projet'!$E$15+1,1))</f>
        <v>406.24139966722936</v>
      </c>
      <c r="EP138" s="62">
        <f t="shared" si="154"/>
        <v>295.95724296920577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1.1368683772161603E-13</v>
      </c>
      <c r="FF138" s="18">
        <f>FE138*VLOOKUP('Données projet'!$B$16,Paramètres!$A$1:$I$89,3,0)*VLOOKUP('Données projet'!$B$16,Paramètres!$A$1:$I$89,5,0)</f>
        <v>8.8675733422860506E-14</v>
      </c>
      <c r="FG138" s="14">
        <f t="shared" si="155"/>
        <v>1.3509285393066301E-12</v>
      </c>
      <c r="FH138" s="22">
        <f t="shared" si="130"/>
        <v>2.5073107750038623E-12</v>
      </c>
      <c r="FI138" s="62">
        <f t="shared" si="131"/>
        <v>293.33333333333582</v>
      </c>
      <c r="FJ138" s="62">
        <f ca="1">AVERAGE(OFFSET($FI$3,0,0,'Données projet'!$E$16+1,1))-AVERAGE(OFFSET($H$3,0,0,'Données projet'!$E$16+1,1))</f>
        <v>292.57482726862594</v>
      </c>
      <c r="FK138" s="62">
        <f t="shared" si="156"/>
        <v>283.48738729114024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3.8</v>
      </c>
      <c r="FZ138" s="13">
        <f>IF('Données projet'!$A$244&gt;35,FZ137+FY138-GH137,IF(A138&lt;'Données projet'!$A$244,$FW$205^A138,IF(A138='Données projet'!$A$244,'Données projet'!$B$244,FZ137+FY138-GH137)))</f>
        <v>321.99999999999983</v>
      </c>
      <c r="GA138" s="18">
        <f>FZ138*VLOOKUP('Données projet'!$B$17,Paramètres!$A$1:$I$89,3,0)*VLOOKUP('Données projet'!$B$17,Paramètres!$A$1:$I$89,5,0)</f>
        <v>311.43839999999983</v>
      </c>
      <c r="GB138" s="14">
        <f t="shared" si="157"/>
        <v>73.569144360291361</v>
      </c>
      <c r="GC138" s="22">
        <f t="shared" si="133"/>
        <v>670.55480642750706</v>
      </c>
      <c r="GD138" s="62">
        <f t="shared" si="134"/>
        <v>963.88813976084043</v>
      </c>
      <c r="GE138" s="62">
        <f ca="1">AVERAGE(OFFSET($GD$3,0,0,'Données projet'!$E$17+1,1))-AVERAGE(OFFSET($H$3,0,0,'Données projet'!$E$17+1,1))</f>
        <v>562.69380557620775</v>
      </c>
      <c r="GF138" s="62">
        <f t="shared" si="158"/>
        <v>294.45557293177131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3.8</v>
      </c>
      <c r="N139" s="14">
        <f>IF('Données projet'!$A$36&gt;35,N138+M139-V138,IF(A139&lt;'Données projet'!$A$36,$K$205^A139,IF(A139='Données projet'!$A$36,'Données projet'!$B$36,N138+M139-V138)))</f>
        <v>325.79999999999984</v>
      </c>
      <c r="O139" s="14">
        <f>N139*VLOOKUP('Données projet'!$B$9,Paramètres!$A$1:$I$89,3,0)*VLOOKUP('Données projet'!$B$9,Paramètres!$A$1:$I$89,5,0)</f>
        <v>294.78383999999983</v>
      </c>
      <c r="P139" s="14">
        <f t="shared" si="141"/>
        <v>70.081842199807596</v>
      </c>
      <c r="Q139" s="22">
        <f t="shared" si="108"/>
        <v>635.47439649799799</v>
      </c>
      <c r="R139" s="62">
        <f t="shared" si="109"/>
        <v>928.80772983133124</v>
      </c>
      <c r="S139" s="62">
        <f ca="1">AVERAGE(OFFSET($R$3,0,0,'Données projet'!$E$9+1,1))-AVERAGE(OFFSET($H$3,0,0,'Données projet'!$E$9+1,1))</f>
        <v>529.25712986118265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-9.7543306765146564E-14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446.86777652265448</v>
      </c>
      <c r="AO139" s="62">
        <f t="shared" si="144"/>
        <v>230.82970731138215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-4.5224624045658861E-14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370.59298168107364</v>
      </c>
      <c r="BJ139" s="62">
        <f t="shared" si="146"/>
        <v>404.61777090709171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-4.1677594708744434E-14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344.45199703750711</v>
      </c>
      <c r="CE139" s="62">
        <f t="shared" si="148"/>
        <v>376.41441893222185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2.2737367544323206E-13</v>
      </c>
      <c r="CU139" s="18">
        <f>CT139*VLOOKUP('Données projet'!$B$13,Paramètres!$A$1:$I$89,3,0)*VLOOKUP('Données projet'!$B$13,Paramètres!$A$1:$I$89,5,0)</f>
        <v>1.4897523215040565E-13</v>
      </c>
      <c r="CV139" s="14">
        <f t="shared" si="149"/>
        <v>2.136562777003313E-12</v>
      </c>
      <c r="CW139" s="22">
        <f t="shared" si="121"/>
        <v>3.9806453659427267E-12</v>
      </c>
      <c r="CX139" s="62">
        <f t="shared" si="122"/>
        <v>293.33333333333729</v>
      </c>
      <c r="CY139" s="62">
        <f ca="1">AVERAGE(OFFSET($CX$3,0,0,'Données projet'!$E$13+1,1))-AVERAGE(OFFSET($H$3,0,0,'Données projet'!$E$13+1,1))</f>
        <v>311.53750850588153</v>
      </c>
      <c r="CZ139" s="62">
        <f t="shared" si="150"/>
        <v>304.84379909635476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-9.2222762759774927E-14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256.19915261735281</v>
      </c>
      <c r="DU139" s="62">
        <f t="shared" si="152"/>
        <v>297.47246687305056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5.4092197387944907E-14</v>
      </c>
      <c r="EL139" s="14">
        <f t="shared" si="153"/>
        <v>8.7287050538073676E-13</v>
      </c>
      <c r="EM139" s="22">
        <f t="shared" si="127"/>
        <v>1.6144600406554537E-12</v>
      </c>
      <c r="EN139" s="62">
        <f t="shared" si="128"/>
        <v>293.33333333333491</v>
      </c>
      <c r="EO139" s="62">
        <f ca="1">AVERAGE(OFFSET($EN$3,0,0,'Données projet'!$E$15+1,1))-AVERAGE(OFFSET($H$3,0,0,'Données projet'!$E$15+1,1))</f>
        <v>406.24139966722936</v>
      </c>
      <c r="EP139" s="62">
        <f t="shared" si="154"/>
        <v>295.95724296920577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1.1368683772161603E-13</v>
      </c>
      <c r="FF139" s="18">
        <f>FE139*VLOOKUP('Données projet'!$B$16,Paramètres!$A$1:$I$89,3,0)*VLOOKUP('Données projet'!$B$16,Paramètres!$A$1:$I$89,5,0)</f>
        <v>8.8675733422860506E-14</v>
      </c>
      <c r="FG139" s="14">
        <f t="shared" si="155"/>
        <v>1.3509285393066301E-12</v>
      </c>
      <c r="FH139" s="22">
        <f t="shared" si="130"/>
        <v>2.5073107750038623E-12</v>
      </c>
      <c r="FI139" s="62">
        <f t="shared" si="131"/>
        <v>293.33333333333582</v>
      </c>
      <c r="FJ139" s="62">
        <f ca="1">AVERAGE(OFFSET($FI$3,0,0,'Données projet'!$E$16+1,1))-AVERAGE(OFFSET($H$3,0,0,'Données projet'!$E$16+1,1))</f>
        <v>292.57482726862594</v>
      </c>
      <c r="FK139" s="62">
        <f t="shared" si="156"/>
        <v>283.48738729114024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3.8</v>
      </c>
      <c r="FZ139" s="13">
        <f>IF('Données projet'!$A$244&gt;35,FZ138+FY139-GH138,IF(A139&lt;'Données projet'!$A$244,$FW$205^A139,IF(A139='Données projet'!$A$244,'Données projet'!$B$244,FZ138+FY139-GH138)))</f>
        <v>325.79999999999984</v>
      </c>
      <c r="GA139" s="18">
        <f>FZ139*VLOOKUP('Données projet'!$B$17,Paramètres!$A$1:$I$89,3,0)*VLOOKUP('Données projet'!$B$17,Paramètres!$A$1:$I$89,5,0)</f>
        <v>315.11375999999984</v>
      </c>
      <c r="GB139" s="14">
        <f t="shared" si="157"/>
        <v>74.335767722617277</v>
      </c>
      <c r="GC139" s="22">
        <f t="shared" si="133"/>
        <v>678.29126078355807</v>
      </c>
      <c r="GD139" s="62">
        <f t="shared" si="134"/>
        <v>971.62459411689133</v>
      </c>
      <c r="GE139" s="62">
        <f ca="1">AVERAGE(OFFSET($GD$3,0,0,'Données projet'!$E$17+1,1))-AVERAGE(OFFSET($H$3,0,0,'Données projet'!$E$17+1,1))</f>
        <v>562.69380557620775</v>
      </c>
      <c r="GF139" s="62">
        <f t="shared" si="158"/>
        <v>294.45557293177131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3.8</v>
      </c>
      <c r="N140" s="14">
        <f>IF('Données projet'!$A$36&gt;35,N139+M140-V139,IF(A140&lt;'Données projet'!$A$36,$K$205^A140,IF(A140='Données projet'!$A$36,'Données projet'!$B$36,N139+M140-V139)))</f>
        <v>329.59999999999985</v>
      </c>
      <c r="O140" s="14">
        <f>N140*VLOOKUP('Données projet'!$B$9,Paramètres!$A$1:$I$89,3,0)*VLOOKUP('Données projet'!$B$9,Paramètres!$A$1:$I$89,5,0)</f>
        <v>298.22207999999983</v>
      </c>
      <c r="P140" s="14">
        <f t="shared" si="141"/>
        <v>70.803614311231783</v>
      </c>
      <c r="Q140" s="22">
        <f t="shared" si="108"/>
        <v>642.71975092539503</v>
      </c>
      <c r="R140" s="62">
        <f t="shared" si="109"/>
        <v>936.0530842587284</v>
      </c>
      <c r="S140" s="62">
        <f ca="1">AVERAGE(OFFSET($R$3,0,0,'Données projet'!$E$9+1,1))-AVERAGE(OFFSET($H$3,0,0,'Données projet'!$E$9+1,1))</f>
        <v>529.25712986118265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-9.7543306765146564E-14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446.86777652265448</v>
      </c>
      <c r="AO140" s="62">
        <f t="shared" si="144"/>
        <v>230.82970731138215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-4.5224624045658861E-14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370.59298168107364</v>
      </c>
      <c r="BJ140" s="62">
        <f t="shared" si="146"/>
        <v>404.61777090709171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-4.1677594708744434E-14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344.45199703750711</v>
      </c>
      <c r="CE140" s="62">
        <f t="shared" si="148"/>
        <v>376.41441893222185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2.2737367544323206E-13</v>
      </c>
      <c r="CU140" s="18">
        <f>CT140*VLOOKUP('Données projet'!$B$13,Paramètres!$A$1:$I$89,3,0)*VLOOKUP('Données projet'!$B$13,Paramètres!$A$1:$I$89,5,0)</f>
        <v>1.4897523215040565E-13</v>
      </c>
      <c r="CV140" s="14">
        <f t="shared" si="149"/>
        <v>2.136562777003313E-12</v>
      </c>
      <c r="CW140" s="22">
        <f t="shared" si="121"/>
        <v>3.9806453659427267E-12</v>
      </c>
      <c r="CX140" s="62">
        <f t="shared" si="122"/>
        <v>293.33333333333729</v>
      </c>
      <c r="CY140" s="62">
        <f ca="1">AVERAGE(OFFSET($CX$3,0,0,'Données projet'!$E$13+1,1))-AVERAGE(OFFSET($H$3,0,0,'Données projet'!$E$13+1,1))</f>
        <v>311.53750850588153</v>
      </c>
      <c r="CZ140" s="62">
        <f t="shared" si="150"/>
        <v>304.84379909635476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-9.2222762759774927E-14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256.19915261735281</v>
      </c>
      <c r="DU140" s="62">
        <f t="shared" si="152"/>
        <v>297.47246687305056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5.4092197387944907E-14</v>
      </c>
      <c r="EL140" s="14">
        <f t="shared" si="153"/>
        <v>8.7287050538073676E-13</v>
      </c>
      <c r="EM140" s="22">
        <f t="shared" si="127"/>
        <v>1.6144600406554537E-12</v>
      </c>
      <c r="EN140" s="62">
        <f t="shared" si="128"/>
        <v>293.33333333333491</v>
      </c>
      <c r="EO140" s="62">
        <f ca="1">AVERAGE(OFFSET($EN$3,0,0,'Données projet'!$E$15+1,1))-AVERAGE(OFFSET($H$3,0,0,'Données projet'!$E$15+1,1))</f>
        <v>406.24139966722936</v>
      </c>
      <c r="EP140" s="62">
        <f t="shared" si="154"/>
        <v>295.95724296920577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1.1368683772161603E-13</v>
      </c>
      <c r="FF140" s="18">
        <f>FE140*VLOOKUP('Données projet'!$B$16,Paramètres!$A$1:$I$89,3,0)*VLOOKUP('Données projet'!$B$16,Paramètres!$A$1:$I$89,5,0)</f>
        <v>8.8675733422860506E-14</v>
      </c>
      <c r="FG140" s="14">
        <f t="shared" si="155"/>
        <v>1.3509285393066301E-12</v>
      </c>
      <c r="FH140" s="22">
        <f t="shared" si="130"/>
        <v>2.5073107750038623E-12</v>
      </c>
      <c r="FI140" s="62">
        <f t="shared" si="131"/>
        <v>293.33333333333582</v>
      </c>
      <c r="FJ140" s="62">
        <f ca="1">AVERAGE(OFFSET($FI$3,0,0,'Données projet'!$E$16+1,1))-AVERAGE(OFFSET($H$3,0,0,'Données projet'!$E$16+1,1))</f>
        <v>292.57482726862594</v>
      </c>
      <c r="FK140" s="62">
        <f t="shared" si="156"/>
        <v>283.48738729114024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3.8</v>
      </c>
      <c r="FZ140" s="13">
        <f>IF('Données projet'!$A$244&gt;35,FZ139+FY140-GH139,IF(A140&lt;'Données projet'!$A$244,$FW$205^A140,IF(A140='Données projet'!$A$244,'Données projet'!$B$244,FZ139+FY140-GH139)))</f>
        <v>329.59999999999985</v>
      </c>
      <c r="GA140" s="18">
        <f>FZ140*VLOOKUP('Données projet'!$B$17,Paramètres!$A$1:$I$89,3,0)*VLOOKUP('Données projet'!$B$17,Paramètres!$A$1:$I$89,5,0)</f>
        <v>318.78911999999991</v>
      </c>
      <c r="GB140" s="14">
        <f t="shared" si="157"/>
        <v>75.101350965570944</v>
      </c>
      <c r="GC140" s="22">
        <f t="shared" si="133"/>
        <v>686.02590359836915</v>
      </c>
      <c r="GD140" s="62">
        <f t="shared" si="134"/>
        <v>979.35923693170253</v>
      </c>
      <c r="GE140" s="62">
        <f ca="1">AVERAGE(OFFSET($GD$3,0,0,'Données projet'!$E$17+1,1))-AVERAGE(OFFSET($H$3,0,0,'Données projet'!$E$17+1,1))</f>
        <v>562.69380557620775</v>
      </c>
      <c r="GF140" s="62">
        <f t="shared" si="158"/>
        <v>294.45557293177131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3.8</v>
      </c>
      <c r="N141" s="14">
        <f>IF('Données projet'!$A$36&gt;35,N140+M141-V140,IF(A141&lt;'Données projet'!$A$36,$K$205^A141,IF(A141='Données projet'!$A$36,'Données projet'!$B$36,N140+M141-V140)))</f>
        <v>333.39999999999986</v>
      </c>
      <c r="O141" s="14">
        <f>N141*VLOOKUP('Données projet'!$B$9,Paramètres!$A$1:$I$89,3,0)*VLOOKUP('Données projet'!$B$9,Paramètres!$A$1:$I$89,5,0)</f>
        <v>301.66031999999984</v>
      </c>
      <c r="P141" s="14">
        <f t="shared" si="141"/>
        <v>71.524418438455001</v>
      </c>
      <c r="Q141" s="22">
        <f t="shared" si="108"/>
        <v>649.96341944697554</v>
      </c>
      <c r="R141" s="62">
        <f t="shared" si="109"/>
        <v>943.29675278030891</v>
      </c>
      <c r="S141" s="62">
        <f ca="1">AVERAGE(OFFSET($R$3,0,0,'Données projet'!$E$9+1,1))-AVERAGE(OFFSET($H$3,0,0,'Données projet'!$E$9+1,1))</f>
        <v>529.25712986118265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-9.7543306765146564E-14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446.86777652265448</v>
      </c>
      <c r="AO141" s="62">
        <f t="shared" si="144"/>
        <v>230.82970731138215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-4.5224624045658861E-14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370.59298168107364</v>
      </c>
      <c r="BJ141" s="62">
        <f t="shared" si="146"/>
        <v>404.61777090709171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-4.1677594708744434E-14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344.45199703750711</v>
      </c>
      <c r="CE141" s="62">
        <f t="shared" si="148"/>
        <v>376.41441893222185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2.2737367544323206E-13</v>
      </c>
      <c r="CU141" s="18">
        <f>CT141*VLOOKUP('Données projet'!$B$13,Paramètres!$A$1:$I$89,3,0)*VLOOKUP('Données projet'!$B$13,Paramètres!$A$1:$I$89,5,0)</f>
        <v>1.4897523215040565E-13</v>
      </c>
      <c r="CV141" s="14">
        <f t="shared" si="149"/>
        <v>2.136562777003313E-12</v>
      </c>
      <c r="CW141" s="22">
        <f t="shared" si="121"/>
        <v>3.9806453659427267E-12</v>
      </c>
      <c r="CX141" s="62">
        <f t="shared" si="122"/>
        <v>293.33333333333729</v>
      </c>
      <c r="CY141" s="62">
        <f ca="1">AVERAGE(OFFSET($CX$3,0,0,'Données projet'!$E$13+1,1))-AVERAGE(OFFSET($H$3,0,0,'Données projet'!$E$13+1,1))</f>
        <v>311.53750850588153</v>
      </c>
      <c r="CZ141" s="62">
        <f t="shared" si="150"/>
        <v>304.84379909635476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-9.2222762759774927E-14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256.19915261735281</v>
      </c>
      <c r="DU141" s="62">
        <f t="shared" si="152"/>
        <v>297.47246687305056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5.4092197387944907E-14</v>
      </c>
      <c r="EL141" s="14">
        <f t="shared" si="153"/>
        <v>8.7287050538073676E-13</v>
      </c>
      <c r="EM141" s="22">
        <f t="shared" si="127"/>
        <v>1.6144600406554537E-12</v>
      </c>
      <c r="EN141" s="62">
        <f t="shared" si="128"/>
        <v>293.33333333333491</v>
      </c>
      <c r="EO141" s="62">
        <f ca="1">AVERAGE(OFFSET($EN$3,0,0,'Données projet'!$E$15+1,1))-AVERAGE(OFFSET($H$3,0,0,'Données projet'!$E$15+1,1))</f>
        <v>406.24139966722936</v>
      </c>
      <c r="EP141" s="62">
        <f t="shared" si="154"/>
        <v>295.95724296920577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1.1368683772161603E-13</v>
      </c>
      <c r="FF141" s="18">
        <f>FE141*VLOOKUP('Données projet'!$B$16,Paramètres!$A$1:$I$89,3,0)*VLOOKUP('Données projet'!$B$16,Paramètres!$A$1:$I$89,5,0)</f>
        <v>8.8675733422860506E-14</v>
      </c>
      <c r="FG141" s="14">
        <f t="shared" si="155"/>
        <v>1.3509285393066301E-12</v>
      </c>
      <c r="FH141" s="22">
        <f t="shared" si="130"/>
        <v>2.5073107750038623E-12</v>
      </c>
      <c r="FI141" s="62">
        <f t="shared" si="131"/>
        <v>293.33333333333582</v>
      </c>
      <c r="FJ141" s="62">
        <f ca="1">AVERAGE(OFFSET($FI$3,0,0,'Données projet'!$E$16+1,1))-AVERAGE(OFFSET($H$3,0,0,'Données projet'!$E$16+1,1))</f>
        <v>292.57482726862594</v>
      </c>
      <c r="FK141" s="62">
        <f t="shared" si="156"/>
        <v>283.48738729114024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3.8</v>
      </c>
      <c r="FZ141" s="13">
        <f>IF('Données projet'!$A$244&gt;35,FZ140+FY141-GH140,IF(A141&lt;'Données projet'!$A$244,$FW$205^A141,IF(A141='Données projet'!$A$244,'Données projet'!$B$244,FZ140+FY141-GH140)))</f>
        <v>333.39999999999986</v>
      </c>
      <c r="GA141" s="18">
        <f>FZ141*VLOOKUP('Données projet'!$B$17,Paramètres!$A$1:$I$89,3,0)*VLOOKUP('Données projet'!$B$17,Paramètres!$A$1:$I$89,5,0)</f>
        <v>322.46447999999987</v>
      </c>
      <c r="GB141" s="14">
        <f t="shared" si="157"/>
        <v>75.865907468266684</v>
      </c>
      <c r="GC141" s="22">
        <f t="shared" si="133"/>
        <v>693.7587581738976</v>
      </c>
      <c r="GD141" s="62">
        <f t="shared" si="134"/>
        <v>987.09209150723086</v>
      </c>
      <c r="GE141" s="62">
        <f ca="1">AVERAGE(OFFSET($GD$3,0,0,'Données projet'!$E$17+1,1))-AVERAGE(OFFSET($H$3,0,0,'Données projet'!$E$17+1,1))</f>
        <v>562.69380557620775</v>
      </c>
      <c r="GF141" s="62">
        <f t="shared" si="158"/>
        <v>294.45557293177131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3.8</v>
      </c>
      <c r="N142" s="14">
        <f>IF('Données projet'!$A$36&gt;35,N141+M142-V141,IF(A142&lt;'Données projet'!$A$36,$K$205^A142,IF(A142='Données projet'!$A$36,'Données projet'!$B$36,N141+M142-V141)))</f>
        <v>337.19999999999987</v>
      </c>
      <c r="O142" s="14">
        <f>N142*VLOOKUP('Données projet'!$B$9,Paramètres!$A$1:$I$89,3,0)*VLOOKUP('Données projet'!$B$9,Paramètres!$A$1:$I$89,5,0)</f>
        <v>305.09855999999985</v>
      </c>
      <c r="P142" s="14">
        <f t="shared" si="141"/>
        <v>72.244266890878791</v>
      </c>
      <c r="Q142" s="22">
        <f t="shared" si="108"/>
        <v>657.20542350161361</v>
      </c>
      <c r="R142" s="62">
        <f t="shared" si="109"/>
        <v>950.53875683494698</v>
      </c>
      <c r="S142" s="62">
        <f ca="1">AVERAGE(OFFSET($R$3,0,0,'Données projet'!$E$9+1,1))-AVERAGE(OFFSET($H$3,0,0,'Données projet'!$E$9+1,1))</f>
        <v>529.25712986118265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-9.7543306765146564E-14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446.86777652265448</v>
      </c>
      <c r="AO142" s="62">
        <f t="shared" si="144"/>
        <v>230.82970731138215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-4.5224624045658861E-14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370.59298168107364</v>
      </c>
      <c r="BJ142" s="62">
        <f t="shared" si="146"/>
        <v>404.61777090709171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-4.1677594708744434E-14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344.45199703750711</v>
      </c>
      <c r="CE142" s="62">
        <f t="shared" si="148"/>
        <v>376.41441893222185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2.2737367544323206E-13</v>
      </c>
      <c r="CU142" s="18">
        <f>CT142*VLOOKUP('Données projet'!$B$13,Paramètres!$A$1:$I$89,3,0)*VLOOKUP('Données projet'!$B$13,Paramètres!$A$1:$I$89,5,0)</f>
        <v>1.4897523215040565E-13</v>
      </c>
      <c r="CV142" s="14">
        <f t="shared" si="149"/>
        <v>2.136562777003313E-12</v>
      </c>
      <c r="CW142" s="22">
        <f t="shared" si="121"/>
        <v>3.9806453659427267E-12</v>
      </c>
      <c r="CX142" s="62">
        <f t="shared" si="122"/>
        <v>293.33333333333729</v>
      </c>
      <c r="CY142" s="62">
        <f ca="1">AVERAGE(OFFSET($CX$3,0,0,'Données projet'!$E$13+1,1))-AVERAGE(OFFSET($H$3,0,0,'Données projet'!$E$13+1,1))</f>
        <v>311.53750850588153</v>
      </c>
      <c r="CZ142" s="62">
        <f t="shared" si="150"/>
        <v>304.84379909635476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-9.2222762759774927E-14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256.19915261735281</v>
      </c>
      <c r="DU142" s="62">
        <f t="shared" si="152"/>
        <v>297.47246687305056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5.4092197387944907E-14</v>
      </c>
      <c r="EL142" s="14">
        <f t="shared" si="153"/>
        <v>8.7287050538073676E-13</v>
      </c>
      <c r="EM142" s="22">
        <f t="shared" si="127"/>
        <v>1.6144600406554537E-12</v>
      </c>
      <c r="EN142" s="62">
        <f t="shared" si="128"/>
        <v>293.33333333333491</v>
      </c>
      <c r="EO142" s="62">
        <f ca="1">AVERAGE(OFFSET($EN$3,0,0,'Données projet'!$E$15+1,1))-AVERAGE(OFFSET($H$3,0,0,'Données projet'!$E$15+1,1))</f>
        <v>406.24139966722936</v>
      </c>
      <c r="EP142" s="62">
        <f t="shared" si="154"/>
        <v>295.95724296920577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1.1368683772161603E-13</v>
      </c>
      <c r="FF142" s="18">
        <f>FE142*VLOOKUP('Données projet'!$B$16,Paramètres!$A$1:$I$89,3,0)*VLOOKUP('Données projet'!$B$16,Paramètres!$A$1:$I$89,5,0)</f>
        <v>8.8675733422860506E-14</v>
      </c>
      <c r="FG142" s="14">
        <f t="shared" si="155"/>
        <v>1.3509285393066301E-12</v>
      </c>
      <c r="FH142" s="22">
        <f t="shared" si="130"/>
        <v>2.5073107750038623E-12</v>
      </c>
      <c r="FI142" s="62">
        <f t="shared" si="131"/>
        <v>293.33333333333582</v>
      </c>
      <c r="FJ142" s="62">
        <f ca="1">AVERAGE(OFFSET($FI$3,0,0,'Données projet'!$E$16+1,1))-AVERAGE(OFFSET($H$3,0,0,'Données projet'!$E$16+1,1))</f>
        <v>292.57482726862594</v>
      </c>
      <c r="FK142" s="62">
        <f t="shared" si="156"/>
        <v>283.48738729114024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3.8</v>
      </c>
      <c r="FZ142" s="13">
        <f>IF('Données projet'!$A$244&gt;35,FZ141+FY142-GH141,IF(A142&lt;'Données projet'!$A$244,$FW$205^A142,IF(A142='Données projet'!$A$244,'Données projet'!$B$244,FZ141+FY142-GH141)))</f>
        <v>337.19999999999987</v>
      </c>
      <c r="GA142" s="18">
        <f>FZ142*VLOOKUP('Données projet'!$B$17,Paramètres!$A$1:$I$89,3,0)*VLOOKUP('Données projet'!$B$17,Paramètres!$A$1:$I$89,5,0)</f>
        <v>326.13983999999988</v>
      </c>
      <c r="GB142" s="14">
        <f t="shared" si="157"/>
        <v>76.62945028727961</v>
      </c>
      <c r="GC142" s="22">
        <f t="shared" si="133"/>
        <v>701.48984725034506</v>
      </c>
      <c r="GD142" s="62">
        <f t="shared" si="134"/>
        <v>994.82318058367832</v>
      </c>
      <c r="GE142" s="62">
        <f ca="1">AVERAGE(OFFSET($GD$3,0,0,'Données projet'!$E$17+1,1))-AVERAGE(OFFSET($H$3,0,0,'Données projet'!$E$17+1,1))</f>
        <v>562.69380557620775</v>
      </c>
      <c r="GF142" s="62">
        <f t="shared" si="158"/>
        <v>294.45557293177131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341</v>
      </c>
      <c r="L143" s="13">
        <f>VLOOKUP(A143,'Données projet'!$A$35:$I$55,9,0)</f>
        <v>3.8</v>
      </c>
      <c r="M143" s="13">
        <f t="array" ref="M143">INDEX(L:L,MIN(IF(ISNUMBER(L143:L339),ROW(L143:L339),"")))</f>
        <v>3.8</v>
      </c>
      <c r="N143" s="14">
        <f>IF('Données projet'!$A$36&gt;35,N142+M143-V142,IF(A143&lt;'Données projet'!$A$36,$K$205^A143,IF(A143='Données projet'!$A$36,'Données projet'!$B$36,N142+M143-V142)))</f>
        <v>340.99999999999989</v>
      </c>
      <c r="O143" s="14">
        <f>N143*VLOOKUP('Données projet'!$B$9,Paramètres!$A$1:$I$89,3,0)*VLOOKUP('Données projet'!$B$9,Paramètres!$A$1:$I$89,5,0)</f>
        <v>308.53679999999986</v>
      </c>
      <c r="P143" s="14">
        <f t="shared" si="141"/>
        <v>72.963171684496103</v>
      </c>
      <c r="Q143" s="22">
        <f t="shared" si="108"/>
        <v>664.44578401716376</v>
      </c>
      <c r="R143" s="62">
        <f t="shared" si="109"/>
        <v>957.77911735049702</v>
      </c>
      <c r="S143" s="62">
        <f ca="1">AVERAGE(OFFSET($R$3,0,0,'Données projet'!$E$9+1,1))-AVERAGE(OFFSET($H$3,0,0,'Données projet'!$E$9+1,1))</f>
        <v>529.25712986118265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-9.7543306765146564E-14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446.86777652265448</v>
      </c>
      <c r="AO143" s="62">
        <f t="shared" si="144"/>
        <v>230.82970731138215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-4.5224624045658861E-14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370.59298168107364</v>
      </c>
      <c r="BJ143" s="62">
        <f t="shared" si="146"/>
        <v>404.61777090709171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-4.1677594708744434E-14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344.45199703750711</v>
      </c>
      <c r="CE143" s="62">
        <f t="shared" si="148"/>
        <v>376.41441893222185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2.2737367544323206E-13</v>
      </c>
      <c r="CU143" s="18">
        <f>CT143*VLOOKUP('Données projet'!$B$13,Paramètres!$A$1:$I$89,3,0)*VLOOKUP('Données projet'!$B$13,Paramètres!$A$1:$I$89,5,0)</f>
        <v>1.4897523215040565E-13</v>
      </c>
      <c r="CV143" s="14">
        <f t="shared" si="149"/>
        <v>2.136562777003313E-12</v>
      </c>
      <c r="CW143" s="22">
        <f t="shared" si="121"/>
        <v>3.9806453659427267E-12</v>
      </c>
      <c r="CX143" s="62">
        <f t="shared" si="122"/>
        <v>293.33333333333729</v>
      </c>
      <c r="CY143" s="62">
        <f ca="1">AVERAGE(OFFSET($CX$3,0,0,'Données projet'!$E$13+1,1))-AVERAGE(OFFSET($H$3,0,0,'Données projet'!$E$13+1,1))</f>
        <v>311.53750850588153</v>
      </c>
      <c r="CZ143" s="62">
        <f t="shared" si="150"/>
        <v>304.84379909635476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-9.2222762759774927E-14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256.19915261735281</v>
      </c>
      <c r="DU143" s="62">
        <f t="shared" si="152"/>
        <v>297.47246687305056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5.4092197387944907E-14</v>
      </c>
      <c r="EL143" s="14">
        <f t="shared" si="153"/>
        <v>8.7287050538073676E-13</v>
      </c>
      <c r="EM143" s="22">
        <f t="shared" si="127"/>
        <v>1.6144600406554537E-12</v>
      </c>
      <c r="EN143" s="62">
        <f t="shared" si="128"/>
        <v>293.33333333333491</v>
      </c>
      <c r="EO143" s="62">
        <f ca="1">AVERAGE(OFFSET($EN$3,0,0,'Données projet'!$E$15+1,1))-AVERAGE(OFFSET($H$3,0,0,'Données projet'!$E$15+1,1))</f>
        <v>406.24139966722936</v>
      </c>
      <c r="EP143" s="62">
        <f t="shared" si="154"/>
        <v>295.95724296920577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1.1368683772161603E-13</v>
      </c>
      <c r="FF143" s="18">
        <f>FE143*VLOOKUP('Données projet'!$B$16,Paramètres!$A$1:$I$89,3,0)*VLOOKUP('Données projet'!$B$16,Paramètres!$A$1:$I$89,5,0)</f>
        <v>8.8675733422860506E-14</v>
      </c>
      <c r="FG143" s="14">
        <f t="shared" si="155"/>
        <v>1.3509285393066301E-12</v>
      </c>
      <c r="FH143" s="22">
        <f t="shared" si="130"/>
        <v>2.5073107750038623E-12</v>
      </c>
      <c r="FI143" s="62">
        <f t="shared" si="131"/>
        <v>293.33333333333582</v>
      </c>
      <c r="FJ143" s="62">
        <f ca="1">AVERAGE(OFFSET($FI$3,0,0,'Données projet'!$E$16+1,1))-AVERAGE(OFFSET($H$3,0,0,'Données projet'!$E$16+1,1))</f>
        <v>292.57482726862594</v>
      </c>
      <c r="FK143" s="62">
        <f t="shared" si="156"/>
        <v>283.48738729114024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>
        <f>VLOOKUP(A143,'Données projet'!$A$243:$I$263,2,0)</f>
        <v>341</v>
      </c>
      <c r="FX143" s="13">
        <f>VLOOKUP(A143,'Données projet'!$A$243:$I$263,9,0)</f>
        <v>3.8</v>
      </c>
      <c r="FY143" s="13">
        <f t="array" ref="FY143">INDEX(FX:FX,MIN(IF(ISNUMBER(FX143:FX339),ROW(FX143:FX339),"")))</f>
        <v>3.8</v>
      </c>
      <c r="FZ143" s="13">
        <f>IF('Données projet'!$A$244&gt;35,FZ142+FY143-GH142,IF(A143&lt;'Données projet'!$A$244,$FW$205^A143,IF(A143='Données projet'!$A$244,'Données projet'!$B$244,FZ142+FY143-GH142)))</f>
        <v>340.99999999999989</v>
      </c>
      <c r="GA143" s="18">
        <f>FZ143*VLOOKUP('Données projet'!$B$17,Paramètres!$A$1:$I$89,3,0)*VLOOKUP('Données projet'!$B$17,Paramètres!$A$1:$I$89,5,0)</f>
        <v>329.81519999999989</v>
      </c>
      <c r="GB143" s="14">
        <f t="shared" si="157"/>
        <v>77.391992167966066</v>
      </c>
      <c r="GC143" s="22">
        <f t="shared" si="133"/>
        <v>709.21919302587401</v>
      </c>
      <c r="GD143" s="62">
        <f t="shared" si="134"/>
        <v>1002.5525263592074</v>
      </c>
      <c r="GE143" s="62">
        <f ca="1">AVERAGE(OFFSET($GD$3,0,0,'Données projet'!$E$17+1,1))-AVERAGE(OFFSET($H$3,0,0,'Données projet'!$E$17+1,1))</f>
        <v>562.69380557620775</v>
      </c>
      <c r="GF143" s="62">
        <f t="shared" si="158"/>
        <v>294.45557293177131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3.5</v>
      </c>
      <c r="N144" s="14">
        <f>IF('Données projet'!$A$36&gt;35,N143+M144-V143,IF(A144&lt;'Données projet'!$A$36,$K$205^A144,IF(A144='Données projet'!$A$36,'Données projet'!$B$36,N143+M144-V143)))</f>
        <v>344.49999999999989</v>
      </c>
      <c r="O144" s="14">
        <f>N144*VLOOKUP('Données projet'!$B$9,Paramètres!$A$1:$I$89,3,0)*VLOOKUP('Données projet'!$B$9,Paramètres!$A$1:$I$89,5,0)</f>
        <v>311.70359999999988</v>
      </c>
      <c r="P144" s="14">
        <f t="shared" si="141"/>
        <v>73.624496097462782</v>
      </c>
      <c r="Q144" s="22">
        <f t="shared" si="108"/>
        <v>671.1131007030807</v>
      </c>
      <c r="R144" s="62">
        <f t="shared" si="109"/>
        <v>964.44643403641408</v>
      </c>
      <c r="S144" s="62">
        <f ca="1">AVERAGE(OFFSET($R$3,0,0,'Données projet'!$E$9+1,1))-AVERAGE(OFFSET($H$3,0,0,'Données projet'!$E$9+1,1))</f>
        <v>529.25712986118265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-9.7543306765146564E-14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446.86777652265448</v>
      </c>
      <c r="AO144" s="62">
        <f t="shared" si="144"/>
        <v>230.82970731138215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-4.5224624045658861E-14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370.59298168107364</v>
      </c>
      <c r="BJ144" s="62">
        <f t="shared" si="146"/>
        <v>404.61777090709171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-4.1677594708744434E-14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344.45199703750711</v>
      </c>
      <c r="CE144" s="62">
        <f t="shared" si="148"/>
        <v>376.41441893222185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2.2737367544323206E-13</v>
      </c>
      <c r="CU144" s="18">
        <f>CT144*VLOOKUP('Données projet'!$B$13,Paramètres!$A$1:$I$89,3,0)*VLOOKUP('Données projet'!$B$13,Paramètres!$A$1:$I$89,5,0)</f>
        <v>1.4897523215040565E-13</v>
      </c>
      <c r="CV144" s="14">
        <f t="shared" si="149"/>
        <v>2.136562777003313E-12</v>
      </c>
      <c r="CW144" s="22">
        <f t="shared" si="121"/>
        <v>3.9806453659427267E-12</v>
      </c>
      <c r="CX144" s="62">
        <f t="shared" si="122"/>
        <v>293.33333333333729</v>
      </c>
      <c r="CY144" s="62">
        <f ca="1">AVERAGE(OFFSET($CX$3,0,0,'Données projet'!$E$13+1,1))-AVERAGE(OFFSET($H$3,0,0,'Données projet'!$E$13+1,1))</f>
        <v>311.53750850588153</v>
      </c>
      <c r="CZ144" s="62">
        <f t="shared" si="150"/>
        <v>304.84379909635476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-9.2222762759774927E-14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256.19915261735281</v>
      </c>
      <c r="DU144" s="62">
        <f t="shared" si="152"/>
        <v>297.47246687305056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5.4092197387944907E-14</v>
      </c>
      <c r="EL144" s="14">
        <f t="shared" si="153"/>
        <v>8.7287050538073676E-13</v>
      </c>
      <c r="EM144" s="22">
        <f t="shared" si="127"/>
        <v>1.6144600406554537E-12</v>
      </c>
      <c r="EN144" s="62">
        <f t="shared" si="128"/>
        <v>293.33333333333491</v>
      </c>
      <c r="EO144" s="62">
        <f ca="1">AVERAGE(OFFSET($EN$3,0,0,'Données projet'!$E$15+1,1))-AVERAGE(OFFSET($H$3,0,0,'Données projet'!$E$15+1,1))</f>
        <v>406.24139966722936</v>
      </c>
      <c r="EP144" s="62">
        <f t="shared" si="154"/>
        <v>295.95724296920577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1.1368683772161603E-13</v>
      </c>
      <c r="FF144" s="18">
        <f>FE144*VLOOKUP('Données projet'!$B$16,Paramètres!$A$1:$I$89,3,0)*VLOOKUP('Données projet'!$B$16,Paramètres!$A$1:$I$89,5,0)</f>
        <v>8.8675733422860506E-14</v>
      </c>
      <c r="FG144" s="14">
        <f t="shared" si="155"/>
        <v>1.3509285393066301E-12</v>
      </c>
      <c r="FH144" s="22">
        <f t="shared" si="130"/>
        <v>2.5073107750038623E-12</v>
      </c>
      <c r="FI144" s="62">
        <f t="shared" si="131"/>
        <v>293.33333333333582</v>
      </c>
      <c r="FJ144" s="62">
        <f ca="1">AVERAGE(OFFSET($FI$3,0,0,'Données projet'!$E$16+1,1))-AVERAGE(OFFSET($H$3,0,0,'Données projet'!$E$16+1,1))</f>
        <v>292.57482726862594</v>
      </c>
      <c r="FK144" s="62">
        <f t="shared" si="156"/>
        <v>283.48738729114024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3.5</v>
      </c>
      <c r="FZ144" s="13">
        <f>IF('Données projet'!$A$244&gt;35,FZ143+FY144-GH143,IF(A144&lt;'Données projet'!$A$244,$FW$205^A144,IF(A144='Données projet'!$A$244,'Données projet'!$B$244,FZ143+FY144-GH143)))</f>
        <v>344.49999999999989</v>
      </c>
      <c r="GA144" s="18">
        <f>FZ144*VLOOKUP('Données projet'!$B$17,Paramètres!$A$1:$I$89,3,0)*VLOOKUP('Données projet'!$B$17,Paramètres!$A$1:$I$89,5,0)</f>
        <v>333.20039999999989</v>
      </c>
      <c r="GB144" s="14">
        <f t="shared" si="157"/>
        <v>78.093458573649713</v>
      </c>
      <c r="GC144" s="22">
        <f t="shared" si="133"/>
        <v>716.33680368243961</v>
      </c>
      <c r="GD144" s="62">
        <f t="shared" si="134"/>
        <v>1009.670137015773</v>
      </c>
      <c r="GE144" s="62">
        <f ca="1">AVERAGE(OFFSET($GD$3,0,0,'Données projet'!$E$17+1,1))-AVERAGE(OFFSET($H$3,0,0,'Données projet'!$E$17+1,1))</f>
        <v>562.69380557620775</v>
      </c>
      <c r="GF144" s="62">
        <f t="shared" si="158"/>
        <v>294.45557293177131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3.5</v>
      </c>
      <c r="N145" s="14">
        <f>IF('Données projet'!$A$36&gt;35,N144+M145-V144,IF(A145&lt;'Données projet'!$A$36,$K$205^A145,IF(A145='Données projet'!$A$36,'Données projet'!$B$36,N144+M145-V144)))</f>
        <v>347.99999999999989</v>
      </c>
      <c r="O145" s="14">
        <f>N145*VLOOKUP('Données projet'!$B$9,Paramètres!$A$1:$I$89,3,0)*VLOOKUP('Données projet'!$B$9,Paramètres!$A$1:$I$89,5,0)</f>
        <v>314.8703999999999</v>
      </c>
      <c r="P145" s="14">
        <f t="shared" si="141"/>
        <v>74.285038887149952</v>
      </c>
      <c r="Q145" s="22">
        <f t="shared" si="108"/>
        <v>677.77905606178604</v>
      </c>
      <c r="R145" s="62">
        <f t="shared" si="109"/>
        <v>971.11238939511941</v>
      </c>
      <c r="S145" s="62">
        <f ca="1">AVERAGE(OFFSET($R$3,0,0,'Données projet'!$E$9+1,1))-AVERAGE(OFFSET($H$3,0,0,'Données projet'!$E$9+1,1))</f>
        <v>529.25712986118265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-9.7543306765146564E-14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446.86777652265448</v>
      </c>
      <c r="AO145" s="62">
        <f t="shared" si="144"/>
        <v>230.82970731138215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-4.5224624045658861E-14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370.59298168107364</v>
      </c>
      <c r="BJ145" s="62">
        <f t="shared" si="146"/>
        <v>404.61777090709171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-4.1677594708744434E-14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344.45199703750711</v>
      </c>
      <c r="CE145" s="62">
        <f t="shared" si="148"/>
        <v>376.41441893222185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2.2737367544323206E-13</v>
      </c>
      <c r="CU145" s="18">
        <f>CT145*VLOOKUP('Données projet'!$B$13,Paramètres!$A$1:$I$89,3,0)*VLOOKUP('Données projet'!$B$13,Paramètres!$A$1:$I$89,5,0)</f>
        <v>1.4897523215040565E-13</v>
      </c>
      <c r="CV145" s="14">
        <f t="shared" si="149"/>
        <v>2.136562777003313E-12</v>
      </c>
      <c r="CW145" s="22">
        <f t="shared" si="121"/>
        <v>3.9806453659427267E-12</v>
      </c>
      <c r="CX145" s="62">
        <f t="shared" si="122"/>
        <v>293.33333333333729</v>
      </c>
      <c r="CY145" s="62">
        <f ca="1">AVERAGE(OFFSET($CX$3,0,0,'Données projet'!$E$13+1,1))-AVERAGE(OFFSET($H$3,0,0,'Données projet'!$E$13+1,1))</f>
        <v>311.53750850588153</v>
      </c>
      <c r="CZ145" s="62">
        <f t="shared" si="150"/>
        <v>304.84379909635476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-9.2222762759774927E-14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256.19915261735281</v>
      </c>
      <c r="DU145" s="62">
        <f t="shared" si="152"/>
        <v>297.47246687305056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5.4092197387944907E-14</v>
      </c>
      <c r="EL145" s="14">
        <f t="shared" si="153"/>
        <v>8.7287050538073676E-13</v>
      </c>
      <c r="EM145" s="22">
        <f t="shared" si="127"/>
        <v>1.6144600406554537E-12</v>
      </c>
      <c r="EN145" s="62">
        <f t="shared" si="128"/>
        <v>293.33333333333491</v>
      </c>
      <c r="EO145" s="62">
        <f ca="1">AVERAGE(OFFSET($EN$3,0,0,'Données projet'!$E$15+1,1))-AVERAGE(OFFSET($H$3,0,0,'Données projet'!$E$15+1,1))</f>
        <v>406.24139966722936</v>
      </c>
      <c r="EP145" s="62">
        <f t="shared" si="154"/>
        <v>295.95724296920577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1.1368683772161603E-13</v>
      </c>
      <c r="FF145" s="18">
        <f>FE145*VLOOKUP('Données projet'!$B$16,Paramètres!$A$1:$I$89,3,0)*VLOOKUP('Données projet'!$B$16,Paramètres!$A$1:$I$89,5,0)</f>
        <v>8.8675733422860506E-14</v>
      </c>
      <c r="FG145" s="14">
        <f t="shared" si="155"/>
        <v>1.3509285393066301E-12</v>
      </c>
      <c r="FH145" s="22">
        <f t="shared" si="130"/>
        <v>2.5073107750038623E-12</v>
      </c>
      <c r="FI145" s="62">
        <f t="shared" si="131"/>
        <v>293.33333333333582</v>
      </c>
      <c r="FJ145" s="62">
        <f ca="1">AVERAGE(OFFSET($FI$3,0,0,'Données projet'!$E$16+1,1))-AVERAGE(OFFSET($H$3,0,0,'Données projet'!$E$16+1,1))</f>
        <v>292.57482726862594</v>
      </c>
      <c r="FK145" s="62">
        <f t="shared" si="156"/>
        <v>283.48738729114024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3.5</v>
      </c>
      <c r="FZ145" s="13">
        <f>IF('Données projet'!$A$244&gt;35,FZ144+FY145-GH144,IF(A145&lt;'Données projet'!$A$244,$FW$205^A145,IF(A145='Données projet'!$A$244,'Données projet'!$B$244,FZ144+FY145-GH144)))</f>
        <v>347.99999999999989</v>
      </c>
      <c r="GA145" s="18">
        <f>FZ145*VLOOKUP('Données projet'!$B$17,Paramètres!$A$1:$I$89,3,0)*VLOOKUP('Données projet'!$B$17,Paramètres!$A$1:$I$89,5,0)</f>
        <v>336.58559999999989</v>
      </c>
      <c r="GB145" s="14">
        <f t="shared" si="157"/>
        <v>78.794095911992599</v>
      </c>
      <c r="GC145" s="22">
        <f t="shared" si="133"/>
        <v>723.45297038005356</v>
      </c>
      <c r="GD145" s="62">
        <f t="shared" si="134"/>
        <v>1016.7863037133868</v>
      </c>
      <c r="GE145" s="62">
        <f ca="1">AVERAGE(OFFSET($GD$3,0,0,'Données projet'!$E$17+1,1))-AVERAGE(OFFSET($H$3,0,0,'Données projet'!$E$17+1,1))</f>
        <v>562.69380557620775</v>
      </c>
      <c r="GF145" s="62">
        <f t="shared" si="158"/>
        <v>294.45557293177131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3.5</v>
      </c>
      <c r="N146" s="14">
        <f>IF('Données projet'!$A$36&gt;35,N145+M146-V145,IF(A146&lt;'Données projet'!$A$36,$K$205^A146,IF(A146='Données projet'!$A$36,'Données projet'!$B$36,N145+M146-V145)))</f>
        <v>351.49999999999989</v>
      </c>
      <c r="O146" s="14">
        <f>N146*VLOOKUP('Données projet'!$B$9,Paramètres!$A$1:$I$89,3,0)*VLOOKUP('Données projet'!$B$9,Paramètres!$A$1:$I$89,5,0)</f>
        <v>318.03719999999987</v>
      </c>
      <c r="P146" s="14">
        <f t="shared" si="141"/>
        <v>74.944808824911618</v>
      </c>
      <c r="Q146" s="22">
        <f t="shared" si="108"/>
        <v>684.44366537005408</v>
      </c>
      <c r="R146" s="62">
        <f t="shared" si="109"/>
        <v>977.77699870338733</v>
      </c>
      <c r="S146" s="62">
        <f ca="1">AVERAGE(OFFSET($R$3,0,0,'Données projet'!$E$9+1,1))-AVERAGE(OFFSET($H$3,0,0,'Données projet'!$E$9+1,1))</f>
        <v>529.25712986118265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-9.7543306765146564E-14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446.86777652265448</v>
      </c>
      <c r="AO146" s="62">
        <f t="shared" si="144"/>
        <v>230.82970731138215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-4.5224624045658861E-14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370.59298168107364</v>
      </c>
      <c r="BJ146" s="62">
        <f t="shared" si="146"/>
        <v>404.61777090709171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-4.1677594708744434E-14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344.45199703750711</v>
      </c>
      <c r="CE146" s="62">
        <f t="shared" si="148"/>
        <v>376.41441893222185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2.2737367544323206E-13</v>
      </c>
      <c r="CU146" s="18">
        <f>CT146*VLOOKUP('Données projet'!$B$13,Paramètres!$A$1:$I$89,3,0)*VLOOKUP('Données projet'!$B$13,Paramètres!$A$1:$I$89,5,0)</f>
        <v>1.4897523215040565E-13</v>
      </c>
      <c r="CV146" s="14">
        <f t="shared" si="149"/>
        <v>2.136562777003313E-12</v>
      </c>
      <c r="CW146" s="22">
        <f t="shared" si="121"/>
        <v>3.9806453659427267E-12</v>
      </c>
      <c r="CX146" s="62">
        <f t="shared" si="122"/>
        <v>293.33333333333729</v>
      </c>
      <c r="CY146" s="62">
        <f ca="1">AVERAGE(OFFSET($CX$3,0,0,'Données projet'!$E$13+1,1))-AVERAGE(OFFSET($H$3,0,0,'Données projet'!$E$13+1,1))</f>
        <v>311.53750850588153</v>
      </c>
      <c r="CZ146" s="62">
        <f t="shared" si="150"/>
        <v>304.84379909635476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-9.2222762759774927E-14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256.19915261735281</v>
      </c>
      <c r="DU146" s="62">
        <f t="shared" si="152"/>
        <v>297.47246687305056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5.4092197387944907E-14</v>
      </c>
      <c r="EL146" s="14">
        <f t="shared" si="153"/>
        <v>8.7287050538073676E-13</v>
      </c>
      <c r="EM146" s="22">
        <f t="shared" si="127"/>
        <v>1.6144600406554537E-12</v>
      </c>
      <c r="EN146" s="62">
        <f t="shared" si="128"/>
        <v>293.33333333333491</v>
      </c>
      <c r="EO146" s="62">
        <f ca="1">AVERAGE(OFFSET($EN$3,0,0,'Données projet'!$E$15+1,1))-AVERAGE(OFFSET($H$3,0,0,'Données projet'!$E$15+1,1))</f>
        <v>406.24139966722936</v>
      </c>
      <c r="EP146" s="62">
        <f t="shared" si="154"/>
        <v>295.95724296920577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1.1368683772161603E-13</v>
      </c>
      <c r="FF146" s="18">
        <f>FE146*VLOOKUP('Données projet'!$B$16,Paramètres!$A$1:$I$89,3,0)*VLOOKUP('Données projet'!$B$16,Paramètres!$A$1:$I$89,5,0)</f>
        <v>8.8675733422860506E-14</v>
      </c>
      <c r="FG146" s="14">
        <f t="shared" si="155"/>
        <v>1.3509285393066301E-12</v>
      </c>
      <c r="FH146" s="22">
        <f t="shared" si="130"/>
        <v>2.5073107750038623E-12</v>
      </c>
      <c r="FI146" s="62">
        <f t="shared" si="131"/>
        <v>293.33333333333582</v>
      </c>
      <c r="FJ146" s="62">
        <f ca="1">AVERAGE(OFFSET($FI$3,0,0,'Données projet'!$E$16+1,1))-AVERAGE(OFFSET($H$3,0,0,'Données projet'!$E$16+1,1))</f>
        <v>292.57482726862594</v>
      </c>
      <c r="FK146" s="62">
        <f t="shared" si="156"/>
        <v>283.48738729114024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3.5</v>
      </c>
      <c r="FZ146" s="13">
        <f>IF('Données projet'!$A$244&gt;35,FZ145+FY146-GH145,IF(A146&lt;'Données projet'!$A$244,$FW$205^A146,IF(A146='Données projet'!$A$244,'Données projet'!$B$244,FZ145+FY146-GH145)))</f>
        <v>351.49999999999989</v>
      </c>
      <c r="GA146" s="18">
        <f>FZ146*VLOOKUP('Données projet'!$B$17,Paramètres!$A$1:$I$89,3,0)*VLOOKUP('Données projet'!$B$17,Paramètres!$A$1:$I$89,5,0)</f>
        <v>339.97079999999988</v>
      </c>
      <c r="GB146" s="14">
        <f t="shared" si="157"/>
        <v>79.493913486764498</v>
      </c>
      <c r="GC146" s="22">
        <f t="shared" si="133"/>
        <v>730.5677093227813</v>
      </c>
      <c r="GD146" s="62">
        <f t="shared" si="134"/>
        <v>1023.9010426561147</v>
      </c>
      <c r="GE146" s="62">
        <f ca="1">AVERAGE(OFFSET($GD$3,0,0,'Données projet'!$E$17+1,1))-AVERAGE(OFFSET($H$3,0,0,'Données projet'!$E$17+1,1))</f>
        <v>562.69380557620775</v>
      </c>
      <c r="GF146" s="62">
        <f t="shared" si="158"/>
        <v>294.45557293177131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3.5</v>
      </c>
      <c r="N147" s="14">
        <f>IF('Données projet'!$A$36&gt;35,N146+M147-V146,IF(A147&lt;'Données projet'!$A$36,$K$205^A147,IF(A147='Données projet'!$A$36,'Données projet'!$B$36,N146+M147-V146)))</f>
        <v>354.99999999999989</v>
      </c>
      <c r="O147" s="14">
        <f>N147*VLOOKUP('Données projet'!$B$9,Paramètres!$A$1:$I$89,3,0)*VLOOKUP('Données projet'!$B$9,Paramètres!$A$1:$I$89,5,0)</f>
        <v>321.20399999999989</v>
      </c>
      <c r="P147" s="14">
        <f t="shared" si="141"/>
        <v>75.603814497354989</v>
      </c>
      <c r="Q147" s="22">
        <f t="shared" si="108"/>
        <v>691.10694358289311</v>
      </c>
      <c r="R147" s="62">
        <f t="shared" si="109"/>
        <v>984.44027691622637</v>
      </c>
      <c r="S147" s="62">
        <f ca="1">AVERAGE(OFFSET($R$3,0,0,'Données projet'!$E$9+1,1))-AVERAGE(OFFSET($H$3,0,0,'Données projet'!$E$9+1,1))</f>
        <v>529.25712986118265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-9.7543306765146564E-14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446.86777652265448</v>
      </c>
      <c r="AO147" s="62">
        <f t="shared" si="144"/>
        <v>230.82970731138215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-4.5224624045658861E-14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370.59298168107364</v>
      </c>
      <c r="BJ147" s="62">
        <f t="shared" si="146"/>
        <v>404.61777090709171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-4.1677594708744434E-14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344.45199703750711</v>
      </c>
      <c r="CE147" s="62">
        <f t="shared" si="148"/>
        <v>376.41441893222185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2.2737367544323206E-13</v>
      </c>
      <c r="CU147" s="18">
        <f>CT147*VLOOKUP('Données projet'!$B$13,Paramètres!$A$1:$I$89,3,0)*VLOOKUP('Données projet'!$B$13,Paramètres!$A$1:$I$89,5,0)</f>
        <v>1.4897523215040565E-13</v>
      </c>
      <c r="CV147" s="14">
        <f t="shared" si="149"/>
        <v>2.136562777003313E-12</v>
      </c>
      <c r="CW147" s="22">
        <f t="shared" si="121"/>
        <v>3.9806453659427267E-12</v>
      </c>
      <c r="CX147" s="62">
        <f t="shared" si="122"/>
        <v>293.33333333333729</v>
      </c>
      <c r="CY147" s="62">
        <f ca="1">AVERAGE(OFFSET($CX$3,0,0,'Données projet'!$E$13+1,1))-AVERAGE(OFFSET($H$3,0,0,'Données projet'!$E$13+1,1))</f>
        <v>311.53750850588153</v>
      </c>
      <c r="CZ147" s="62">
        <f t="shared" si="150"/>
        <v>304.84379909635476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-9.2222762759774927E-14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256.19915261735281</v>
      </c>
      <c r="DU147" s="62">
        <f t="shared" si="152"/>
        <v>297.47246687305056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5.4092197387944907E-14</v>
      </c>
      <c r="EL147" s="14">
        <f t="shared" si="153"/>
        <v>8.7287050538073676E-13</v>
      </c>
      <c r="EM147" s="22">
        <f t="shared" si="127"/>
        <v>1.6144600406554537E-12</v>
      </c>
      <c r="EN147" s="62">
        <f t="shared" si="128"/>
        <v>293.33333333333491</v>
      </c>
      <c r="EO147" s="62">
        <f ca="1">AVERAGE(OFFSET($EN$3,0,0,'Données projet'!$E$15+1,1))-AVERAGE(OFFSET($H$3,0,0,'Données projet'!$E$15+1,1))</f>
        <v>406.24139966722936</v>
      </c>
      <c r="EP147" s="62">
        <f t="shared" si="154"/>
        <v>295.95724296920577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1.1368683772161603E-13</v>
      </c>
      <c r="FF147" s="18">
        <f>FE147*VLOOKUP('Données projet'!$B$16,Paramètres!$A$1:$I$89,3,0)*VLOOKUP('Données projet'!$B$16,Paramètres!$A$1:$I$89,5,0)</f>
        <v>8.8675733422860506E-14</v>
      </c>
      <c r="FG147" s="14">
        <f t="shared" si="155"/>
        <v>1.3509285393066301E-12</v>
      </c>
      <c r="FH147" s="22">
        <f t="shared" si="130"/>
        <v>2.5073107750038623E-12</v>
      </c>
      <c r="FI147" s="62">
        <f t="shared" si="131"/>
        <v>293.33333333333582</v>
      </c>
      <c r="FJ147" s="62">
        <f ca="1">AVERAGE(OFFSET($FI$3,0,0,'Données projet'!$E$16+1,1))-AVERAGE(OFFSET($H$3,0,0,'Données projet'!$E$16+1,1))</f>
        <v>292.57482726862594</v>
      </c>
      <c r="FK147" s="62">
        <f t="shared" si="156"/>
        <v>283.48738729114024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3.5</v>
      </c>
      <c r="FZ147" s="13">
        <f>IF('Données projet'!$A$244&gt;35,FZ146+FY147-GH146,IF(A147&lt;'Données projet'!$A$244,$FW$205^A147,IF(A147='Données projet'!$A$244,'Données projet'!$B$244,FZ146+FY147-GH146)))</f>
        <v>354.99999999999989</v>
      </c>
      <c r="GA147" s="18">
        <f>FZ147*VLOOKUP('Données projet'!$B$17,Paramètres!$A$1:$I$89,3,0)*VLOOKUP('Données projet'!$B$17,Paramètres!$A$1:$I$89,5,0)</f>
        <v>343.35599999999994</v>
      </c>
      <c r="GB147" s="14">
        <f t="shared" si="157"/>
        <v>80.192920405774515</v>
      </c>
      <c r="GC147" s="22">
        <f t="shared" si="133"/>
        <v>737.68103637339038</v>
      </c>
      <c r="GD147" s="62">
        <f t="shared" si="134"/>
        <v>1031.0143697067238</v>
      </c>
      <c r="GE147" s="62">
        <f ca="1">AVERAGE(OFFSET($GD$3,0,0,'Données projet'!$E$17+1,1))-AVERAGE(OFFSET($H$3,0,0,'Données projet'!$E$17+1,1))</f>
        <v>562.69380557620775</v>
      </c>
      <c r="GF147" s="62">
        <f t="shared" si="158"/>
        <v>294.45557293177131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3.5</v>
      </c>
      <c r="N148" s="14">
        <f>IF('Données projet'!$A$36&gt;35,N147+M148-V147,IF(A148&lt;'Données projet'!$A$36,$K$205^A148,IF(A148='Données projet'!$A$36,'Données projet'!$B$36,N147+M148-V147)))</f>
        <v>358.49999999999989</v>
      </c>
      <c r="O148" s="14">
        <f>N148*VLOOKUP('Données projet'!$B$9,Paramètres!$A$1:$I$89,3,0)*VLOOKUP('Données projet'!$B$9,Paramètres!$A$1:$I$89,5,0)</f>
        <v>324.37079999999986</v>
      </c>
      <c r="P148" s="14">
        <f t="shared" si="141"/>
        <v>76.262064312013905</v>
      </c>
      <c r="Q148" s="22">
        <f t="shared" si="108"/>
        <v>697.76890534342408</v>
      </c>
      <c r="R148" s="62">
        <f t="shared" si="109"/>
        <v>991.10223867675745</v>
      </c>
      <c r="S148" s="62">
        <f ca="1">AVERAGE(OFFSET($R$3,0,0,'Données projet'!$E$9+1,1))-AVERAGE(OFFSET($H$3,0,0,'Données projet'!$E$9+1,1))</f>
        <v>529.25712986118265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-9.7543306765146564E-14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446.86777652265448</v>
      </c>
      <c r="AO148" s="62">
        <f t="shared" si="144"/>
        <v>230.82970731138215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-4.5224624045658861E-14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370.59298168107364</v>
      </c>
      <c r="BJ148" s="62">
        <f t="shared" si="146"/>
        <v>404.61777090709171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-4.1677594708744434E-14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344.45199703750711</v>
      </c>
      <c r="CE148" s="62">
        <f t="shared" si="148"/>
        <v>376.41441893222185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2.2737367544323206E-13</v>
      </c>
      <c r="CU148" s="18">
        <f>CT148*VLOOKUP('Données projet'!$B$13,Paramètres!$A$1:$I$89,3,0)*VLOOKUP('Données projet'!$B$13,Paramètres!$A$1:$I$89,5,0)</f>
        <v>1.4897523215040565E-13</v>
      </c>
      <c r="CV148" s="14">
        <f t="shared" si="149"/>
        <v>2.136562777003313E-12</v>
      </c>
      <c r="CW148" s="22">
        <f t="shared" si="121"/>
        <v>3.9806453659427267E-12</v>
      </c>
      <c r="CX148" s="62">
        <f t="shared" si="122"/>
        <v>293.33333333333729</v>
      </c>
      <c r="CY148" s="62">
        <f ca="1">AVERAGE(OFFSET($CX$3,0,0,'Données projet'!$E$13+1,1))-AVERAGE(OFFSET($H$3,0,0,'Données projet'!$E$13+1,1))</f>
        <v>311.53750850588153</v>
      </c>
      <c r="CZ148" s="62">
        <f t="shared" si="150"/>
        <v>304.84379909635476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-9.2222762759774927E-14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256.19915261735281</v>
      </c>
      <c r="DU148" s="62">
        <f t="shared" si="152"/>
        <v>297.47246687305056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5.4092197387944907E-14</v>
      </c>
      <c r="EL148" s="14">
        <f t="shared" si="153"/>
        <v>8.7287050538073676E-13</v>
      </c>
      <c r="EM148" s="22">
        <f t="shared" si="127"/>
        <v>1.6144600406554537E-12</v>
      </c>
      <c r="EN148" s="62">
        <f t="shared" si="128"/>
        <v>293.33333333333491</v>
      </c>
      <c r="EO148" s="62">
        <f ca="1">AVERAGE(OFFSET($EN$3,0,0,'Données projet'!$E$15+1,1))-AVERAGE(OFFSET($H$3,0,0,'Données projet'!$E$15+1,1))</f>
        <v>406.24139966722936</v>
      </c>
      <c r="EP148" s="62">
        <f t="shared" si="154"/>
        <v>295.95724296920577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1.1368683772161603E-13</v>
      </c>
      <c r="FF148" s="18">
        <f>FE148*VLOOKUP('Données projet'!$B$16,Paramètres!$A$1:$I$89,3,0)*VLOOKUP('Données projet'!$B$16,Paramètres!$A$1:$I$89,5,0)</f>
        <v>8.8675733422860506E-14</v>
      </c>
      <c r="FG148" s="14">
        <f t="shared" si="155"/>
        <v>1.3509285393066301E-12</v>
      </c>
      <c r="FH148" s="22">
        <f t="shared" si="130"/>
        <v>2.5073107750038623E-12</v>
      </c>
      <c r="FI148" s="62">
        <f t="shared" si="131"/>
        <v>293.33333333333582</v>
      </c>
      <c r="FJ148" s="62">
        <f ca="1">AVERAGE(OFFSET($FI$3,0,0,'Données projet'!$E$16+1,1))-AVERAGE(OFFSET($H$3,0,0,'Données projet'!$E$16+1,1))</f>
        <v>292.57482726862594</v>
      </c>
      <c r="FK148" s="62">
        <f t="shared" si="156"/>
        <v>283.48738729114024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3.5</v>
      </c>
      <c r="FZ148" s="13">
        <f>IF('Données projet'!$A$244&gt;35,FZ147+FY148-GH147,IF(A148&lt;'Données projet'!$A$244,$FW$205^A148,IF(A148='Données projet'!$A$244,'Données projet'!$B$244,FZ147+FY148-GH147)))</f>
        <v>358.49999999999989</v>
      </c>
      <c r="GA148" s="18">
        <f>FZ148*VLOOKUP('Données projet'!$B$17,Paramètres!$A$1:$I$89,3,0)*VLOOKUP('Données projet'!$B$17,Paramètres!$A$1:$I$89,5,0)</f>
        <v>346.74119999999988</v>
      </c>
      <c r="GB148" s="14">
        <f t="shared" si="157"/>
        <v>80.891125586888961</v>
      </c>
      <c r="GC148" s="22">
        <f t="shared" si="133"/>
        <v>744.79296706383138</v>
      </c>
      <c r="GD148" s="62">
        <f t="shared" si="134"/>
        <v>1038.1263003971646</v>
      </c>
      <c r="GE148" s="62">
        <f ca="1">AVERAGE(OFFSET($GD$3,0,0,'Données projet'!$E$17+1,1))-AVERAGE(OFFSET($H$3,0,0,'Données projet'!$E$17+1,1))</f>
        <v>562.69380557620775</v>
      </c>
      <c r="GF148" s="62">
        <f t="shared" si="158"/>
        <v>294.45557293177131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3.5</v>
      </c>
      <c r="N149" s="14">
        <f>IF('Données projet'!$A$36&gt;35,N148+M149-V148,IF(A149&lt;'Données projet'!$A$36,$K$205^A149,IF(A149='Données projet'!$A$36,'Données projet'!$B$36,N148+M149-V148)))</f>
        <v>361.99999999999989</v>
      </c>
      <c r="O149" s="14">
        <f>N149*VLOOKUP('Données projet'!$B$9,Paramètres!$A$1:$I$89,3,0)*VLOOKUP('Données projet'!$B$9,Paramètres!$A$1:$I$89,5,0)</f>
        <v>327.53759999999988</v>
      </c>
      <c r="P149" s="14">
        <f t="shared" si="141"/>
        <v>76.919566502794808</v>
      </c>
      <c r="Q149" s="22">
        <f t="shared" si="108"/>
        <v>704.42956499236743</v>
      </c>
      <c r="R149" s="62">
        <f t="shared" si="109"/>
        <v>997.76289832570069</v>
      </c>
      <c r="S149" s="62">
        <f ca="1">AVERAGE(OFFSET($R$3,0,0,'Données projet'!$E$9+1,1))-AVERAGE(OFFSET($H$3,0,0,'Données projet'!$E$9+1,1))</f>
        <v>529.25712986118265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-9.7543306765146564E-14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446.86777652265448</v>
      </c>
      <c r="AO149" s="62">
        <f t="shared" si="144"/>
        <v>230.82970731138215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-4.5224624045658861E-14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370.59298168107364</v>
      </c>
      <c r="BJ149" s="62">
        <f t="shared" si="146"/>
        <v>404.61777090709171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-4.1677594708744434E-14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344.45199703750711</v>
      </c>
      <c r="CE149" s="62">
        <f t="shared" si="148"/>
        <v>376.41441893222185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2.2737367544323206E-13</v>
      </c>
      <c r="CU149" s="18">
        <f>CT149*VLOOKUP('Données projet'!$B$13,Paramètres!$A$1:$I$89,3,0)*VLOOKUP('Données projet'!$B$13,Paramètres!$A$1:$I$89,5,0)</f>
        <v>1.4897523215040565E-13</v>
      </c>
      <c r="CV149" s="14">
        <f t="shared" si="149"/>
        <v>2.136562777003313E-12</v>
      </c>
      <c r="CW149" s="22">
        <f t="shared" si="121"/>
        <v>3.9806453659427267E-12</v>
      </c>
      <c r="CX149" s="62">
        <f t="shared" si="122"/>
        <v>293.33333333333729</v>
      </c>
      <c r="CY149" s="62">
        <f ca="1">AVERAGE(OFFSET($CX$3,0,0,'Données projet'!$E$13+1,1))-AVERAGE(OFFSET($H$3,0,0,'Données projet'!$E$13+1,1))</f>
        <v>311.53750850588153</v>
      </c>
      <c r="CZ149" s="62">
        <f t="shared" si="150"/>
        <v>304.84379909635476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-9.2222762759774927E-14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256.19915261735281</v>
      </c>
      <c r="DU149" s="62">
        <f t="shared" si="152"/>
        <v>297.47246687305056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5.4092197387944907E-14</v>
      </c>
      <c r="EL149" s="14">
        <f t="shared" si="153"/>
        <v>8.7287050538073676E-13</v>
      </c>
      <c r="EM149" s="22">
        <f t="shared" si="127"/>
        <v>1.6144600406554537E-12</v>
      </c>
      <c r="EN149" s="62">
        <f t="shared" si="128"/>
        <v>293.33333333333491</v>
      </c>
      <c r="EO149" s="62">
        <f ca="1">AVERAGE(OFFSET($EN$3,0,0,'Données projet'!$E$15+1,1))-AVERAGE(OFFSET($H$3,0,0,'Données projet'!$E$15+1,1))</f>
        <v>406.24139966722936</v>
      </c>
      <c r="EP149" s="62">
        <f t="shared" si="154"/>
        <v>295.95724296920577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1.1368683772161603E-13</v>
      </c>
      <c r="FF149" s="18">
        <f>FE149*VLOOKUP('Données projet'!$B$16,Paramètres!$A$1:$I$89,3,0)*VLOOKUP('Données projet'!$B$16,Paramètres!$A$1:$I$89,5,0)</f>
        <v>8.8675733422860506E-14</v>
      </c>
      <c r="FG149" s="14">
        <f t="shared" si="155"/>
        <v>1.3509285393066301E-12</v>
      </c>
      <c r="FH149" s="22">
        <f t="shared" si="130"/>
        <v>2.5073107750038623E-12</v>
      </c>
      <c r="FI149" s="62">
        <f t="shared" si="131"/>
        <v>293.33333333333582</v>
      </c>
      <c r="FJ149" s="62">
        <f ca="1">AVERAGE(OFFSET($FI$3,0,0,'Données projet'!$E$16+1,1))-AVERAGE(OFFSET($H$3,0,0,'Données projet'!$E$16+1,1))</f>
        <v>292.57482726862594</v>
      </c>
      <c r="FK149" s="62">
        <f t="shared" si="156"/>
        <v>283.48738729114024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3.5</v>
      </c>
      <c r="FZ149" s="13">
        <f>IF('Données projet'!$A$244&gt;35,FZ148+FY149-GH148,IF(A149&lt;'Données projet'!$A$244,$FW$205^A149,IF(A149='Données projet'!$A$244,'Données projet'!$B$244,FZ148+FY149-GH148)))</f>
        <v>361.99999999999989</v>
      </c>
      <c r="GA149" s="18">
        <f>FZ149*VLOOKUP('Données projet'!$B$17,Paramètres!$A$1:$I$89,3,0)*VLOOKUP('Données projet'!$B$17,Paramètres!$A$1:$I$89,5,0)</f>
        <v>350.12639999999993</v>
      </c>
      <c r="GB149" s="14">
        <f t="shared" si="157"/>
        <v>81.588537763807025</v>
      </c>
      <c r="GC149" s="22">
        <f t="shared" si="133"/>
        <v>751.90351660529711</v>
      </c>
      <c r="GD149" s="62">
        <f t="shared" si="134"/>
        <v>1045.2368499386305</v>
      </c>
      <c r="GE149" s="62">
        <f ca="1">AVERAGE(OFFSET($GD$3,0,0,'Données projet'!$E$17+1,1))-AVERAGE(OFFSET($H$3,0,0,'Données projet'!$E$17+1,1))</f>
        <v>562.69380557620775</v>
      </c>
      <c r="GF149" s="62">
        <f t="shared" si="158"/>
        <v>294.45557293177131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3.5</v>
      </c>
      <c r="N150" s="14">
        <f>IF('Données projet'!$A$36&gt;35,N149+M150-V149,IF(A150&lt;'Données projet'!$A$36,$K$205^A150,IF(A150='Données projet'!$A$36,'Données projet'!$B$36,N149+M150-V149)))</f>
        <v>365.49999999999989</v>
      </c>
      <c r="O150" s="14">
        <f>N150*VLOOKUP('Données projet'!$B$9,Paramètres!$A$1:$I$89,3,0)*VLOOKUP('Données projet'!$B$9,Paramètres!$A$1:$I$89,5,0)</f>
        <v>330.70439999999991</v>
      </c>
      <c r="P150" s="14">
        <f t="shared" si="141"/>
        <v>77.576329135205029</v>
      </c>
      <c r="Q150" s="22">
        <f t="shared" si="108"/>
        <v>711.08893657714862</v>
      </c>
      <c r="R150" s="62">
        <f t="shared" si="109"/>
        <v>1004.4222699104819</v>
      </c>
      <c r="S150" s="62">
        <f ca="1">AVERAGE(OFFSET($R$3,0,0,'Données projet'!$E$9+1,1))-AVERAGE(OFFSET($H$3,0,0,'Données projet'!$E$9+1,1))</f>
        <v>529.25712986118265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-9.7543306765146564E-14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446.86777652265448</v>
      </c>
      <c r="AO150" s="62">
        <f t="shared" si="144"/>
        <v>230.82970731138215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-4.5224624045658861E-14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370.59298168107364</v>
      </c>
      <c r="BJ150" s="62">
        <f t="shared" si="146"/>
        <v>404.61777090709171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-4.1677594708744434E-14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344.45199703750711</v>
      </c>
      <c r="CE150" s="62">
        <f t="shared" si="148"/>
        <v>376.41441893222185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2.2737367544323206E-13</v>
      </c>
      <c r="CU150" s="18">
        <f>CT150*VLOOKUP('Données projet'!$B$13,Paramètres!$A$1:$I$89,3,0)*VLOOKUP('Données projet'!$B$13,Paramètres!$A$1:$I$89,5,0)</f>
        <v>1.4897523215040565E-13</v>
      </c>
      <c r="CV150" s="14">
        <f t="shared" si="149"/>
        <v>2.136562777003313E-12</v>
      </c>
      <c r="CW150" s="22">
        <f t="shared" si="121"/>
        <v>3.9806453659427267E-12</v>
      </c>
      <c r="CX150" s="62">
        <f t="shared" si="122"/>
        <v>293.33333333333729</v>
      </c>
      <c r="CY150" s="62">
        <f ca="1">AVERAGE(OFFSET($CX$3,0,0,'Données projet'!$E$13+1,1))-AVERAGE(OFFSET($H$3,0,0,'Données projet'!$E$13+1,1))</f>
        <v>311.53750850588153</v>
      </c>
      <c r="CZ150" s="62">
        <f t="shared" si="150"/>
        <v>304.84379909635476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-9.2222762759774927E-14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256.19915261735281</v>
      </c>
      <c r="DU150" s="62">
        <f t="shared" si="152"/>
        <v>297.47246687305056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5.4092197387944907E-14</v>
      </c>
      <c r="EL150" s="14">
        <f t="shared" si="153"/>
        <v>8.7287050538073676E-13</v>
      </c>
      <c r="EM150" s="22">
        <f t="shared" si="127"/>
        <v>1.6144600406554537E-12</v>
      </c>
      <c r="EN150" s="62">
        <f t="shared" si="128"/>
        <v>293.33333333333491</v>
      </c>
      <c r="EO150" s="62">
        <f ca="1">AVERAGE(OFFSET($EN$3,0,0,'Données projet'!$E$15+1,1))-AVERAGE(OFFSET($H$3,0,0,'Données projet'!$E$15+1,1))</f>
        <v>406.24139966722936</v>
      </c>
      <c r="EP150" s="62">
        <f t="shared" si="154"/>
        <v>295.95724296920577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1.1368683772161603E-13</v>
      </c>
      <c r="FF150" s="18">
        <f>FE150*VLOOKUP('Données projet'!$B$16,Paramètres!$A$1:$I$89,3,0)*VLOOKUP('Données projet'!$B$16,Paramètres!$A$1:$I$89,5,0)</f>
        <v>8.8675733422860506E-14</v>
      </c>
      <c r="FG150" s="14">
        <f t="shared" si="155"/>
        <v>1.3509285393066301E-12</v>
      </c>
      <c r="FH150" s="22">
        <f t="shared" si="130"/>
        <v>2.5073107750038623E-12</v>
      </c>
      <c r="FI150" s="62">
        <f t="shared" si="131"/>
        <v>293.33333333333582</v>
      </c>
      <c r="FJ150" s="62">
        <f ca="1">AVERAGE(OFFSET($FI$3,0,0,'Données projet'!$E$16+1,1))-AVERAGE(OFFSET($H$3,0,0,'Données projet'!$E$16+1,1))</f>
        <v>292.57482726862594</v>
      </c>
      <c r="FK150" s="62">
        <f t="shared" si="156"/>
        <v>283.48738729114024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3.5</v>
      </c>
      <c r="FZ150" s="13">
        <f>IF('Données projet'!$A$244&gt;35,FZ149+FY150-GH149,IF(A150&lt;'Données projet'!$A$244,$FW$205^A150,IF(A150='Données projet'!$A$244,'Données projet'!$B$244,FZ149+FY150-GH149)))</f>
        <v>365.49999999999989</v>
      </c>
      <c r="GA150" s="18">
        <f>FZ150*VLOOKUP('Données projet'!$B$17,Paramètres!$A$1:$I$89,3,0)*VLOOKUP('Données projet'!$B$17,Paramètres!$A$1:$I$89,5,0)</f>
        <v>353.51159999999987</v>
      </c>
      <c r="GB150" s="14">
        <f t="shared" si="157"/>
        <v>82.285165491607756</v>
      </c>
      <c r="GC150" s="22">
        <f t="shared" si="133"/>
        <v>759.01269989788318</v>
      </c>
      <c r="GD150" s="62">
        <f t="shared" si="134"/>
        <v>1052.3460332312166</v>
      </c>
      <c r="GE150" s="62">
        <f ca="1">AVERAGE(OFFSET($GD$3,0,0,'Données projet'!$E$17+1,1))-AVERAGE(OFFSET($H$3,0,0,'Données projet'!$E$17+1,1))</f>
        <v>562.69380557620775</v>
      </c>
      <c r="GF150" s="62">
        <f t="shared" si="158"/>
        <v>294.45557293177131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3.5</v>
      </c>
      <c r="N151" s="14">
        <f>IF('Données projet'!$A$36&gt;35,N150+M151-V150,IF(A151&lt;'Données projet'!$A$36,$K$205^A151,IF(A151='Données projet'!$A$36,'Données projet'!$B$36,N150+M151-V150)))</f>
        <v>368.99999999999989</v>
      </c>
      <c r="O151" s="14">
        <f>N151*VLOOKUP('Données projet'!$B$9,Paramètres!$A$1:$I$89,3,0)*VLOOKUP('Données projet'!$B$9,Paramètres!$A$1:$I$89,5,0)</f>
        <v>333.87119999999987</v>
      </c>
      <c r="P151" s="14">
        <f t="shared" si="141"/>
        <v>78.232360111376309</v>
      </c>
      <c r="Q151" s="22">
        <f t="shared" si="108"/>
        <v>717.74703386064687</v>
      </c>
      <c r="R151" s="62">
        <f t="shared" si="109"/>
        <v>1011.0803671939802</v>
      </c>
      <c r="S151" s="62">
        <f ca="1">AVERAGE(OFFSET($R$3,0,0,'Données projet'!$E$9+1,1))-AVERAGE(OFFSET($H$3,0,0,'Données projet'!$E$9+1,1))</f>
        <v>529.25712986118265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-9.7543306765146564E-14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446.86777652265448</v>
      </c>
      <c r="AO151" s="62">
        <f t="shared" si="144"/>
        <v>230.82970731138215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-4.5224624045658861E-14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370.59298168107364</v>
      </c>
      <c r="BJ151" s="62">
        <f t="shared" si="146"/>
        <v>404.61777090709171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-4.1677594708744434E-14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344.45199703750711</v>
      </c>
      <c r="CE151" s="62">
        <f t="shared" si="148"/>
        <v>376.41441893222185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2.2737367544323206E-13</v>
      </c>
      <c r="CU151" s="18">
        <f>CT151*VLOOKUP('Données projet'!$B$13,Paramètres!$A$1:$I$89,3,0)*VLOOKUP('Données projet'!$B$13,Paramètres!$A$1:$I$89,5,0)</f>
        <v>1.4897523215040565E-13</v>
      </c>
      <c r="CV151" s="14">
        <f t="shared" si="149"/>
        <v>2.136562777003313E-12</v>
      </c>
      <c r="CW151" s="22">
        <f t="shared" si="121"/>
        <v>3.9806453659427267E-12</v>
      </c>
      <c r="CX151" s="62">
        <f t="shared" si="122"/>
        <v>293.33333333333729</v>
      </c>
      <c r="CY151" s="62">
        <f ca="1">AVERAGE(OFFSET($CX$3,0,0,'Données projet'!$E$13+1,1))-AVERAGE(OFFSET($H$3,0,0,'Données projet'!$E$13+1,1))</f>
        <v>311.53750850588153</v>
      </c>
      <c r="CZ151" s="62">
        <f t="shared" si="150"/>
        <v>304.84379909635476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-9.2222762759774927E-14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256.19915261735281</v>
      </c>
      <c r="DU151" s="62">
        <f t="shared" si="152"/>
        <v>297.47246687305056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5.4092197387944907E-14</v>
      </c>
      <c r="EL151" s="14">
        <f t="shared" si="153"/>
        <v>8.7287050538073676E-13</v>
      </c>
      <c r="EM151" s="22">
        <f t="shared" si="127"/>
        <v>1.6144600406554537E-12</v>
      </c>
      <c r="EN151" s="62">
        <f t="shared" si="128"/>
        <v>293.33333333333491</v>
      </c>
      <c r="EO151" s="62">
        <f ca="1">AVERAGE(OFFSET($EN$3,0,0,'Données projet'!$E$15+1,1))-AVERAGE(OFFSET($H$3,0,0,'Données projet'!$E$15+1,1))</f>
        <v>406.24139966722936</v>
      </c>
      <c r="EP151" s="62">
        <f t="shared" si="154"/>
        <v>295.95724296920577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1.1368683772161603E-13</v>
      </c>
      <c r="FF151" s="18">
        <f>FE151*VLOOKUP('Données projet'!$B$16,Paramètres!$A$1:$I$89,3,0)*VLOOKUP('Données projet'!$B$16,Paramètres!$A$1:$I$89,5,0)</f>
        <v>8.8675733422860506E-14</v>
      </c>
      <c r="FG151" s="14">
        <f t="shared" si="155"/>
        <v>1.3509285393066301E-12</v>
      </c>
      <c r="FH151" s="22">
        <f t="shared" si="130"/>
        <v>2.5073107750038623E-12</v>
      </c>
      <c r="FI151" s="62">
        <f t="shared" si="131"/>
        <v>293.33333333333582</v>
      </c>
      <c r="FJ151" s="62">
        <f ca="1">AVERAGE(OFFSET($FI$3,0,0,'Données projet'!$E$16+1,1))-AVERAGE(OFFSET($H$3,0,0,'Données projet'!$E$16+1,1))</f>
        <v>292.57482726862594</v>
      </c>
      <c r="FK151" s="62">
        <f t="shared" si="156"/>
        <v>283.48738729114024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3.5</v>
      </c>
      <c r="FZ151" s="13">
        <f>IF('Données projet'!$A$244&gt;35,FZ150+FY151-GH150,IF(A151&lt;'Données projet'!$A$244,$FW$205^A151,IF(A151='Données projet'!$A$244,'Données projet'!$B$244,FZ150+FY151-GH150)))</f>
        <v>368.99999999999989</v>
      </c>
      <c r="GA151" s="18">
        <f>FZ151*VLOOKUP('Données projet'!$B$17,Paramètres!$A$1:$I$89,3,0)*VLOOKUP('Données projet'!$B$17,Paramètres!$A$1:$I$89,5,0)</f>
        <v>356.89679999999987</v>
      </c>
      <c r="GB151" s="14">
        <f t="shared" si="157"/>
        <v>82.981017152077499</v>
      </c>
      <c r="GC151" s="22">
        <f t="shared" si="133"/>
        <v>766.12053153986801</v>
      </c>
      <c r="GD151" s="62">
        <f t="shared" si="134"/>
        <v>1059.4538648732014</v>
      </c>
      <c r="GE151" s="62">
        <f ca="1">AVERAGE(OFFSET($GD$3,0,0,'Données projet'!$E$17+1,1))-AVERAGE(OFFSET($H$3,0,0,'Données projet'!$E$17+1,1))</f>
        <v>562.69380557620775</v>
      </c>
      <c r="GF151" s="62">
        <f t="shared" si="158"/>
        <v>294.45557293177131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3.5</v>
      </c>
      <c r="N152" s="14">
        <f>IF('Données projet'!$A$36&gt;35,N151+M152-V151,IF(A152&lt;'Données projet'!$A$36,$K$205^A152,IF(A152='Données projet'!$A$36,'Données projet'!$B$36,N151+M152-V151)))</f>
        <v>372.49999999999989</v>
      </c>
      <c r="O152" s="14">
        <f>N152*VLOOKUP('Données projet'!$B$9,Paramètres!$A$1:$I$89,3,0)*VLOOKUP('Données projet'!$B$9,Paramètres!$A$1:$I$89,5,0)</f>
        <v>337.0379999999999</v>
      </c>
      <c r="P152" s="14">
        <f t="shared" si="141"/>
        <v>78.887667174891362</v>
      </c>
      <c r="Q152" s="22">
        <f t="shared" si="108"/>
        <v>724.40387032960223</v>
      </c>
      <c r="R152" s="62">
        <f t="shared" si="109"/>
        <v>1017.7372036629356</v>
      </c>
      <c r="S152" s="62">
        <f ca="1">AVERAGE(OFFSET($R$3,0,0,'Données projet'!$E$9+1,1))-AVERAGE(OFFSET($H$3,0,0,'Données projet'!$E$9+1,1))</f>
        <v>529.25712986118265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-9.7543306765146564E-14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446.86777652265448</v>
      </c>
      <c r="AO152" s="62">
        <f t="shared" si="144"/>
        <v>230.82970731138215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-4.5224624045658861E-14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370.59298168107364</v>
      </c>
      <c r="BJ152" s="62">
        <f t="shared" si="146"/>
        <v>404.61777090709171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-4.1677594708744434E-14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344.45199703750711</v>
      </c>
      <c r="CE152" s="62">
        <f t="shared" si="148"/>
        <v>376.41441893222185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2.2737367544323206E-13</v>
      </c>
      <c r="CU152" s="18">
        <f>CT152*VLOOKUP('Données projet'!$B$13,Paramètres!$A$1:$I$89,3,0)*VLOOKUP('Données projet'!$B$13,Paramètres!$A$1:$I$89,5,0)</f>
        <v>1.4897523215040565E-13</v>
      </c>
      <c r="CV152" s="14">
        <f t="shared" si="149"/>
        <v>2.136562777003313E-12</v>
      </c>
      <c r="CW152" s="22">
        <f t="shared" si="121"/>
        <v>3.9806453659427267E-12</v>
      </c>
      <c r="CX152" s="62">
        <f t="shared" si="122"/>
        <v>293.33333333333729</v>
      </c>
      <c r="CY152" s="62">
        <f ca="1">AVERAGE(OFFSET($CX$3,0,0,'Données projet'!$E$13+1,1))-AVERAGE(OFFSET($H$3,0,0,'Données projet'!$E$13+1,1))</f>
        <v>311.53750850588153</v>
      </c>
      <c r="CZ152" s="62">
        <f t="shared" si="150"/>
        <v>304.84379909635476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-9.2222762759774927E-14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256.19915261735281</v>
      </c>
      <c r="DU152" s="62">
        <f t="shared" si="152"/>
        <v>297.47246687305056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5.4092197387944907E-14</v>
      </c>
      <c r="EL152" s="14">
        <f t="shared" si="153"/>
        <v>8.7287050538073676E-13</v>
      </c>
      <c r="EM152" s="22">
        <f t="shared" si="127"/>
        <v>1.6144600406554537E-12</v>
      </c>
      <c r="EN152" s="62">
        <f t="shared" si="128"/>
        <v>293.33333333333491</v>
      </c>
      <c r="EO152" s="62">
        <f ca="1">AVERAGE(OFFSET($EN$3,0,0,'Données projet'!$E$15+1,1))-AVERAGE(OFFSET($H$3,0,0,'Données projet'!$E$15+1,1))</f>
        <v>406.24139966722936</v>
      </c>
      <c r="EP152" s="62">
        <f t="shared" si="154"/>
        <v>295.95724296920577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1.1368683772161603E-13</v>
      </c>
      <c r="FF152" s="18">
        <f>FE152*VLOOKUP('Données projet'!$B$16,Paramètres!$A$1:$I$89,3,0)*VLOOKUP('Données projet'!$B$16,Paramètres!$A$1:$I$89,5,0)</f>
        <v>8.8675733422860506E-14</v>
      </c>
      <c r="FG152" s="14">
        <f t="shared" si="155"/>
        <v>1.3509285393066301E-12</v>
      </c>
      <c r="FH152" s="22">
        <f t="shared" si="130"/>
        <v>2.5073107750038623E-12</v>
      </c>
      <c r="FI152" s="62">
        <f t="shared" si="131"/>
        <v>293.33333333333582</v>
      </c>
      <c r="FJ152" s="62">
        <f ca="1">AVERAGE(OFFSET($FI$3,0,0,'Données projet'!$E$16+1,1))-AVERAGE(OFFSET($H$3,0,0,'Données projet'!$E$16+1,1))</f>
        <v>292.57482726862594</v>
      </c>
      <c r="FK152" s="62">
        <f t="shared" si="156"/>
        <v>283.48738729114024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3.5</v>
      </c>
      <c r="FZ152" s="13">
        <f>IF('Données projet'!$A$244&gt;35,FZ151+FY152-GH151,IF(A152&lt;'Données projet'!$A$244,$FW$205^A152,IF(A152='Données projet'!$A$244,'Données projet'!$B$244,FZ151+FY152-GH151)))</f>
        <v>372.49999999999989</v>
      </c>
      <c r="GA152" s="18">
        <f>FZ152*VLOOKUP('Données projet'!$B$17,Paramètres!$A$1:$I$89,3,0)*VLOOKUP('Données projet'!$B$17,Paramètres!$A$1:$I$89,5,0)</f>
        <v>360.28199999999993</v>
      </c>
      <c r="GB152" s="14">
        <f t="shared" si="157"/>
        <v>83.676100958829579</v>
      </c>
      <c r="GC152" s="22">
        <f t="shared" si="133"/>
        <v>773.22702583662794</v>
      </c>
      <c r="GD152" s="62">
        <f t="shared" si="134"/>
        <v>1066.5603591699612</v>
      </c>
      <c r="GE152" s="62">
        <f ca="1">AVERAGE(OFFSET($GD$3,0,0,'Données projet'!$E$17+1,1))-AVERAGE(OFFSET($H$3,0,0,'Données projet'!$E$17+1,1))</f>
        <v>562.69380557620775</v>
      </c>
      <c r="GF152" s="62">
        <f t="shared" si="158"/>
        <v>294.45557293177131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376</v>
      </c>
      <c r="L153" s="13">
        <f>VLOOKUP(A153,'Données projet'!$A$35:$I$55,9,0)</f>
        <v>3.5</v>
      </c>
      <c r="M153" s="13">
        <f t="array" ref="M153">INDEX(L:L,MIN(IF(ISNUMBER(L153:L349),ROW(L153:L349),"")))</f>
        <v>3.5</v>
      </c>
      <c r="N153" s="14">
        <f>IF('Données projet'!$A$36&gt;35,N152+M153-V152,IF(A153&lt;'Données projet'!$A$36,$K$205^A153,IF(A153='Données projet'!$A$36,'Données projet'!$B$36,N152+M153-V152)))</f>
        <v>375.99999999999989</v>
      </c>
      <c r="O153" s="14">
        <f>N153*VLOOKUP('Données projet'!$B$9,Paramètres!$A$1:$I$89,3,0)*VLOOKUP('Données projet'!$B$9,Paramètres!$A$1:$I$89,5,0)</f>
        <v>340.20479999999992</v>
      </c>
      <c r="P153" s="14">
        <f t="shared" si="141"/>
        <v>79.542257915424329</v>
      </c>
      <c r="Q153" s="22">
        <f t="shared" si="108"/>
        <v>731.05945920269721</v>
      </c>
      <c r="R153" s="62">
        <f t="shared" si="109"/>
        <v>1024.3927925360306</v>
      </c>
      <c r="S153" s="62">
        <f ca="1">AVERAGE(OFFSET($R$3,0,0,'Données projet'!$E$9+1,1))-AVERAGE(OFFSET($H$3,0,0,'Données projet'!$E$9+1,1))</f>
        <v>529.25712986118265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10</v>
      </c>
      <c r="V153" s="16">
        <f>IF(ISNA(VLOOKUP(A153,'Données projet'!$A$35:$I$55,4,0)),0,VLOOKUP(A153,'Données projet'!$A$35:$I$55,4,0))</f>
        <v>376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-9.7543306765146564E-14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446.86777652265448</v>
      </c>
      <c r="AO153" s="62">
        <f t="shared" si="144"/>
        <v>230.82970731138215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-4.5224624045658861E-14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370.59298168107364</v>
      </c>
      <c r="BJ153" s="62">
        <f t="shared" si="146"/>
        <v>404.61777090709171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-4.1677594708744434E-14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344.45199703750711</v>
      </c>
      <c r="CE153" s="62">
        <f t="shared" si="148"/>
        <v>376.41441893222185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2.2737367544323206E-13</v>
      </c>
      <c r="CU153" s="18">
        <f>CT153*VLOOKUP('Données projet'!$B$13,Paramètres!$A$1:$I$89,3,0)*VLOOKUP('Données projet'!$B$13,Paramètres!$A$1:$I$89,5,0)</f>
        <v>1.4897523215040565E-13</v>
      </c>
      <c r="CV153" s="14">
        <f t="shared" si="149"/>
        <v>2.136562777003313E-12</v>
      </c>
      <c r="CW153" s="22">
        <f t="shared" si="121"/>
        <v>3.9806453659427267E-12</v>
      </c>
      <c r="CX153" s="62">
        <f t="shared" si="122"/>
        <v>293.33333333333729</v>
      </c>
      <c r="CY153" s="62">
        <f ca="1">AVERAGE(OFFSET($CX$3,0,0,'Données projet'!$E$13+1,1))-AVERAGE(OFFSET($H$3,0,0,'Données projet'!$E$13+1,1))</f>
        <v>311.53750850588153</v>
      </c>
      <c r="CZ153" s="62">
        <f t="shared" si="150"/>
        <v>304.84379909635476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-9.2222762759774927E-14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256.19915261735281</v>
      </c>
      <c r="DU153" s="62">
        <f t="shared" si="152"/>
        <v>297.47246687305056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5.4092197387944907E-14</v>
      </c>
      <c r="EL153" s="14">
        <f t="shared" si="153"/>
        <v>8.7287050538073676E-13</v>
      </c>
      <c r="EM153" s="22">
        <f t="shared" si="127"/>
        <v>1.6144600406554537E-12</v>
      </c>
      <c r="EN153" s="62">
        <f t="shared" si="128"/>
        <v>293.33333333333491</v>
      </c>
      <c r="EO153" s="62">
        <f ca="1">AVERAGE(OFFSET($EN$3,0,0,'Données projet'!$E$15+1,1))-AVERAGE(OFFSET($H$3,0,0,'Données projet'!$E$15+1,1))</f>
        <v>406.24139966722936</v>
      </c>
      <c r="EP153" s="62">
        <f t="shared" si="154"/>
        <v>295.95724296920577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1.1368683772161603E-13</v>
      </c>
      <c r="FF153" s="18">
        <f>FE153*VLOOKUP('Données projet'!$B$16,Paramètres!$A$1:$I$89,3,0)*VLOOKUP('Données projet'!$B$16,Paramètres!$A$1:$I$89,5,0)</f>
        <v>8.8675733422860506E-14</v>
      </c>
      <c r="FG153" s="14">
        <f t="shared" si="155"/>
        <v>1.3509285393066301E-12</v>
      </c>
      <c r="FH153" s="22">
        <f t="shared" si="130"/>
        <v>2.5073107750038623E-12</v>
      </c>
      <c r="FI153" s="62">
        <f t="shared" si="131"/>
        <v>293.33333333333582</v>
      </c>
      <c r="FJ153" s="62">
        <f ca="1">AVERAGE(OFFSET($FI$3,0,0,'Données projet'!$E$16+1,1))-AVERAGE(OFFSET($H$3,0,0,'Données projet'!$E$16+1,1))</f>
        <v>292.57482726862594</v>
      </c>
      <c r="FK153" s="62">
        <f t="shared" si="156"/>
        <v>283.48738729114024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376</v>
      </c>
      <c r="FX153" s="13">
        <f>VLOOKUP(A153,'Données projet'!$A$243:$I$263,9,0)</f>
        <v>3.5</v>
      </c>
      <c r="FY153" s="13">
        <f t="array" ref="FY153">INDEX(FX:FX,MIN(IF(ISNUMBER(FX153:FX349),ROW(FX153:FX349),"")))</f>
        <v>3.5</v>
      </c>
      <c r="FZ153" s="13">
        <f>IF('Données projet'!$A$244&gt;35,FZ152+FY153-GH152,IF(A153&lt;'Données projet'!$A$244,$FW$205^A153,IF(A153='Données projet'!$A$244,'Données projet'!$B$244,FZ152+FY153-GH152)))</f>
        <v>375.99999999999989</v>
      </c>
      <c r="GA153" s="18">
        <f>FZ153*VLOOKUP('Données projet'!$B$17,Paramètres!$A$1:$I$89,3,0)*VLOOKUP('Données projet'!$B$17,Paramètres!$A$1:$I$89,5,0)</f>
        <v>363.66719999999987</v>
      </c>
      <c r="GB153" s="14">
        <f t="shared" si="157"/>
        <v>84.370424962226963</v>
      </c>
      <c r="GC153" s="22">
        <f t="shared" si="133"/>
        <v>780.33219680921172</v>
      </c>
      <c r="GD153" s="62">
        <f t="shared" si="134"/>
        <v>1073.6655301425451</v>
      </c>
      <c r="GE153" s="62">
        <f ca="1">AVERAGE(OFFSET($GD$3,0,0,'Données projet'!$E$17+1,1))-AVERAGE(OFFSET($H$3,0,0,'Données projet'!$E$17+1,1))</f>
        <v>562.69380557620775</v>
      </c>
      <c r="GF153" s="62">
        <f t="shared" si="158"/>
        <v>294.45557293177131</v>
      </c>
      <c r="GG153" s="16">
        <f>IF(ISNA(VLOOKUP(A153,'Données projet'!$A$243:$I$263,3,0)),0,VLOOKUP(A153,'Données projet'!$A$243:$I$263,3,0))</f>
        <v>10</v>
      </c>
      <c r="GH153" s="16">
        <f>IF(ISNA(VLOOKUP(A153,'Données projet'!$A$243:$I$263,4,0)),0,VLOOKUP(A153,'Données projet'!$A$243:$I$263,4,0))</f>
        <v>376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-1.0286385077051818E-13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529.25712986118265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-9.7543306765146564E-14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446.86777652265448</v>
      </c>
      <c r="AO154" s="62">
        <f t="shared" si="144"/>
        <v>230.82970731138215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-4.5224624045658861E-14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370.59298168107364</v>
      </c>
      <c r="BJ154" s="62">
        <f t="shared" si="146"/>
        <v>404.61777090709171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-4.1677594708744434E-14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344.45199703750711</v>
      </c>
      <c r="CE154" s="62">
        <f t="shared" si="148"/>
        <v>376.41441893222185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2.2737367544323206E-13</v>
      </c>
      <c r="CU154" s="18">
        <f>CT154*VLOOKUP('Données projet'!$B$13,Paramètres!$A$1:$I$89,3,0)*VLOOKUP('Données projet'!$B$13,Paramètres!$A$1:$I$89,5,0)</f>
        <v>1.4897523215040565E-13</v>
      </c>
      <c r="CV154" s="14">
        <f t="shared" ref="CV154:CV203" si="173">EXP(-1.0587+0.8836*LN(CU154)+0.284)</f>
        <v>2.136562777003313E-12</v>
      </c>
      <c r="CW154" s="22">
        <f t="shared" ref="CW154:CW203" si="174">(CU154+CV154)*0.475*44/12</f>
        <v>3.9806453659427267E-12</v>
      </c>
      <c r="CX154" s="62">
        <f t="shared" si="122"/>
        <v>293.33333333333729</v>
      </c>
      <c r="CY154" s="62">
        <f ca="1">AVERAGE(OFFSET($CX$3,0,0,'Données projet'!$E$13+1,1))-AVERAGE(OFFSET($H$3,0,0,'Données projet'!$E$13+1,1))</f>
        <v>311.53750850588153</v>
      </c>
      <c r="CZ154" s="62">
        <f t="shared" si="150"/>
        <v>304.84379909635476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-9.2222762759774927E-14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256.19915261735281</v>
      </c>
      <c r="DU154" s="62">
        <f t="shared" si="152"/>
        <v>297.47246687305056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5.4092197387944907E-14</v>
      </c>
      <c r="EL154" s="14">
        <f t="shared" ref="EL154:EL203" si="179">EXP(-1.0587+0.8836*LN(EK154)+0.284)</f>
        <v>8.7287050538073676E-13</v>
      </c>
      <c r="EM154" s="22">
        <f t="shared" ref="EM154:EM203" si="180">(EK154+EL154)*0.475*44/12</f>
        <v>1.6144600406554537E-12</v>
      </c>
      <c r="EN154" s="62">
        <f t="shared" si="128"/>
        <v>293.33333333333491</v>
      </c>
      <c r="EO154" s="62">
        <f ca="1">AVERAGE(OFFSET($EN$3,0,0,'Données projet'!$E$15+1,1))-AVERAGE(OFFSET($H$3,0,0,'Données projet'!$E$15+1,1))</f>
        <v>406.24139966722936</v>
      </c>
      <c r="EP154" s="62">
        <f t="shared" si="154"/>
        <v>295.95724296920577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1.1368683772161603E-13</v>
      </c>
      <c r="FF154" s="18">
        <f>FE154*VLOOKUP('Données projet'!$B$16,Paramètres!$A$1:$I$89,3,0)*VLOOKUP('Données projet'!$B$16,Paramètres!$A$1:$I$89,5,0)</f>
        <v>8.8675733422860506E-14</v>
      </c>
      <c r="FG154" s="14">
        <f t="shared" ref="FG154:FG203" si="182">EXP(-1.0587+0.8836*LN(FF154)+0.284)</f>
        <v>1.3509285393066301E-12</v>
      </c>
      <c r="FH154" s="22">
        <f t="shared" ref="FH154:FH203" si="183">(FF154+FG154)*0.475*44/12</f>
        <v>2.5073107750038623E-12</v>
      </c>
      <c r="FI154" s="62">
        <f t="shared" si="131"/>
        <v>293.33333333333582</v>
      </c>
      <c r="FJ154" s="62">
        <f ca="1">AVERAGE(OFFSET($FI$3,0,0,'Données projet'!$E$16+1,1))-AVERAGE(OFFSET($H$3,0,0,'Données projet'!$E$16+1,1))</f>
        <v>292.57482726862594</v>
      </c>
      <c r="FK154" s="62">
        <f t="shared" si="156"/>
        <v>283.48738729114024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-1.1368683772161603E-13</v>
      </c>
      <c r="GA154" s="18">
        <f>FZ154*VLOOKUP('Données projet'!$B$17,Paramètres!$A$1:$I$89,3,0)*VLOOKUP('Données projet'!$B$17,Paramètres!$A$1:$I$89,5,0)</f>
        <v>-1.0995790944434703E-13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2" t="e">
        <f t="shared" si="134"/>
        <v>#NUM!</v>
      </c>
      <c r="GE154" s="62">
        <f ca="1">AVERAGE(OFFSET($GD$3,0,0,'Données projet'!$E$17+1,1))-AVERAGE(OFFSET($H$3,0,0,'Données projet'!$E$17+1,1))</f>
        <v>562.69380557620775</v>
      </c>
      <c r="GF154" s="62">
        <f t="shared" si="158"/>
        <v>294.45557293177131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-1.0286385077051818E-13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529.25712986118265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-9.7543306765146564E-14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446.86777652265448</v>
      </c>
      <c r="AO155" s="62">
        <f t="shared" si="144"/>
        <v>230.82970731138215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-4.5224624045658861E-14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370.59298168107364</v>
      </c>
      <c r="BJ155" s="62">
        <f t="shared" si="146"/>
        <v>404.61777090709171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-4.1677594708744434E-14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344.45199703750711</v>
      </c>
      <c r="CE155" s="62">
        <f t="shared" si="148"/>
        <v>376.41441893222185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2.2737367544323206E-13</v>
      </c>
      <c r="CU155" s="18">
        <f>CT155*VLOOKUP('Données projet'!$B$13,Paramètres!$A$1:$I$89,3,0)*VLOOKUP('Données projet'!$B$13,Paramètres!$A$1:$I$89,5,0)</f>
        <v>1.4897523215040565E-13</v>
      </c>
      <c r="CV155" s="14">
        <f t="shared" si="173"/>
        <v>2.136562777003313E-12</v>
      </c>
      <c r="CW155" s="22">
        <f t="shared" si="174"/>
        <v>3.9806453659427267E-12</v>
      </c>
      <c r="CX155" s="62">
        <f t="shared" si="122"/>
        <v>293.33333333333729</v>
      </c>
      <c r="CY155" s="62">
        <f ca="1">AVERAGE(OFFSET($CX$3,0,0,'Données projet'!$E$13+1,1))-AVERAGE(OFFSET($H$3,0,0,'Données projet'!$E$13+1,1))</f>
        <v>311.53750850588153</v>
      </c>
      <c r="CZ155" s="62">
        <f t="shared" si="150"/>
        <v>304.84379909635476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-9.2222762759774927E-14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256.19915261735281</v>
      </c>
      <c r="DU155" s="62">
        <f t="shared" si="152"/>
        <v>297.47246687305056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5.4092197387944907E-14</v>
      </c>
      <c r="EL155" s="14">
        <f t="shared" si="179"/>
        <v>8.7287050538073676E-13</v>
      </c>
      <c r="EM155" s="22">
        <f t="shared" si="180"/>
        <v>1.6144600406554537E-12</v>
      </c>
      <c r="EN155" s="62">
        <f t="shared" si="128"/>
        <v>293.33333333333491</v>
      </c>
      <c r="EO155" s="62">
        <f ca="1">AVERAGE(OFFSET($EN$3,0,0,'Données projet'!$E$15+1,1))-AVERAGE(OFFSET($H$3,0,0,'Données projet'!$E$15+1,1))</f>
        <v>406.24139966722936</v>
      </c>
      <c r="EP155" s="62">
        <f t="shared" si="154"/>
        <v>295.95724296920577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1.1368683772161603E-13</v>
      </c>
      <c r="FF155" s="18">
        <f>FE155*VLOOKUP('Données projet'!$B$16,Paramètres!$A$1:$I$89,3,0)*VLOOKUP('Données projet'!$B$16,Paramètres!$A$1:$I$89,5,0)</f>
        <v>8.8675733422860506E-14</v>
      </c>
      <c r="FG155" s="14">
        <f t="shared" si="182"/>
        <v>1.3509285393066301E-12</v>
      </c>
      <c r="FH155" s="22">
        <f t="shared" si="183"/>
        <v>2.5073107750038623E-12</v>
      </c>
      <c r="FI155" s="62">
        <f t="shared" si="131"/>
        <v>293.33333333333582</v>
      </c>
      <c r="FJ155" s="62">
        <f ca="1">AVERAGE(OFFSET($FI$3,0,0,'Données projet'!$E$16+1,1))-AVERAGE(OFFSET($H$3,0,0,'Données projet'!$E$16+1,1))</f>
        <v>292.57482726862594</v>
      </c>
      <c r="FK155" s="62">
        <f t="shared" si="156"/>
        <v>283.48738729114024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-1.1368683772161603E-13</v>
      </c>
      <c r="GA155" s="18">
        <f>FZ155*VLOOKUP('Données projet'!$B$17,Paramètres!$A$1:$I$89,3,0)*VLOOKUP('Données projet'!$B$17,Paramètres!$A$1:$I$89,5,0)</f>
        <v>-1.0995790944434703E-13</v>
      </c>
      <c r="GB155" s="14" t="e">
        <f t="shared" si="185"/>
        <v>#NUM!</v>
      </c>
      <c r="GC155" s="22" t="e">
        <f t="shared" si="186"/>
        <v>#NUM!</v>
      </c>
      <c r="GD155" s="62" t="e">
        <f t="shared" si="134"/>
        <v>#NUM!</v>
      </c>
      <c r="GE155" s="62">
        <f ca="1">AVERAGE(OFFSET($GD$3,0,0,'Données projet'!$E$17+1,1))-AVERAGE(OFFSET($H$3,0,0,'Données projet'!$E$17+1,1))</f>
        <v>562.69380557620775</v>
      </c>
      <c r="GF155" s="62">
        <f t="shared" si="158"/>
        <v>294.45557293177131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-1.0286385077051818E-13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529.25712986118265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-9.7543306765146564E-14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446.86777652265448</v>
      </c>
      <c r="AO156" s="62">
        <f t="shared" si="144"/>
        <v>230.82970731138215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-4.5224624045658861E-14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370.59298168107364</v>
      </c>
      <c r="BJ156" s="62">
        <f t="shared" si="146"/>
        <v>404.61777090709171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-4.1677594708744434E-14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344.45199703750711</v>
      </c>
      <c r="CE156" s="62">
        <f t="shared" si="148"/>
        <v>376.41441893222185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2.2737367544323206E-13</v>
      </c>
      <c r="CU156" s="18">
        <f>CT156*VLOOKUP('Données projet'!$B$13,Paramètres!$A$1:$I$89,3,0)*VLOOKUP('Données projet'!$B$13,Paramètres!$A$1:$I$89,5,0)</f>
        <v>1.4897523215040565E-13</v>
      </c>
      <c r="CV156" s="14">
        <f t="shared" si="173"/>
        <v>2.136562777003313E-12</v>
      </c>
      <c r="CW156" s="22">
        <f t="shared" si="174"/>
        <v>3.9806453659427267E-12</v>
      </c>
      <c r="CX156" s="62">
        <f t="shared" si="122"/>
        <v>293.33333333333729</v>
      </c>
      <c r="CY156" s="62">
        <f ca="1">AVERAGE(OFFSET($CX$3,0,0,'Données projet'!$E$13+1,1))-AVERAGE(OFFSET($H$3,0,0,'Données projet'!$E$13+1,1))</f>
        <v>311.53750850588153</v>
      </c>
      <c r="CZ156" s="62">
        <f t="shared" si="150"/>
        <v>304.84379909635476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-9.2222762759774927E-14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256.19915261735281</v>
      </c>
      <c r="DU156" s="62">
        <f t="shared" si="152"/>
        <v>297.47246687305056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5.4092197387944907E-14</v>
      </c>
      <c r="EL156" s="14">
        <f t="shared" si="179"/>
        <v>8.7287050538073676E-13</v>
      </c>
      <c r="EM156" s="22">
        <f t="shared" si="180"/>
        <v>1.6144600406554537E-12</v>
      </c>
      <c r="EN156" s="62">
        <f t="shared" si="128"/>
        <v>293.33333333333491</v>
      </c>
      <c r="EO156" s="62">
        <f ca="1">AVERAGE(OFFSET($EN$3,0,0,'Données projet'!$E$15+1,1))-AVERAGE(OFFSET($H$3,0,0,'Données projet'!$E$15+1,1))</f>
        <v>406.24139966722936</v>
      </c>
      <c r="EP156" s="62">
        <f t="shared" si="154"/>
        <v>295.95724296920577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1.1368683772161603E-13</v>
      </c>
      <c r="FF156" s="18">
        <f>FE156*VLOOKUP('Données projet'!$B$16,Paramètres!$A$1:$I$89,3,0)*VLOOKUP('Données projet'!$B$16,Paramètres!$A$1:$I$89,5,0)</f>
        <v>8.8675733422860506E-14</v>
      </c>
      <c r="FG156" s="14">
        <f t="shared" si="182"/>
        <v>1.3509285393066301E-12</v>
      </c>
      <c r="FH156" s="22">
        <f t="shared" si="183"/>
        <v>2.5073107750038623E-12</v>
      </c>
      <c r="FI156" s="62">
        <f t="shared" si="131"/>
        <v>293.33333333333582</v>
      </c>
      <c r="FJ156" s="62">
        <f ca="1">AVERAGE(OFFSET($FI$3,0,0,'Données projet'!$E$16+1,1))-AVERAGE(OFFSET($H$3,0,0,'Données projet'!$E$16+1,1))</f>
        <v>292.57482726862594</v>
      </c>
      <c r="FK156" s="62">
        <f t="shared" si="156"/>
        <v>283.48738729114024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-1.1368683772161603E-13</v>
      </c>
      <c r="GA156" s="18">
        <f>FZ156*VLOOKUP('Données projet'!$B$17,Paramètres!$A$1:$I$89,3,0)*VLOOKUP('Données projet'!$B$17,Paramètres!$A$1:$I$89,5,0)</f>
        <v>-1.0995790944434703E-13</v>
      </c>
      <c r="GB156" s="14" t="e">
        <f t="shared" si="185"/>
        <v>#NUM!</v>
      </c>
      <c r="GC156" s="22" t="e">
        <f t="shared" si="186"/>
        <v>#NUM!</v>
      </c>
      <c r="GD156" s="62" t="e">
        <f t="shared" si="134"/>
        <v>#NUM!</v>
      </c>
      <c r="GE156" s="62">
        <f ca="1">AVERAGE(OFFSET($GD$3,0,0,'Données projet'!$E$17+1,1))-AVERAGE(OFFSET($H$3,0,0,'Données projet'!$E$17+1,1))</f>
        <v>562.69380557620775</v>
      </c>
      <c r="GF156" s="62">
        <f t="shared" si="158"/>
        <v>294.45557293177131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-1.0286385077051818E-13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529.25712986118265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-9.7543306765146564E-14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446.86777652265448</v>
      </c>
      <c r="AO157" s="62">
        <f t="shared" si="144"/>
        <v>230.82970731138215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-4.5224624045658861E-14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370.59298168107364</v>
      </c>
      <c r="BJ157" s="62">
        <f t="shared" si="146"/>
        <v>404.61777090709171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-4.1677594708744434E-14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344.45199703750711</v>
      </c>
      <c r="CE157" s="62">
        <f t="shared" si="148"/>
        <v>376.41441893222185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2.2737367544323206E-13</v>
      </c>
      <c r="CU157" s="18">
        <f>CT157*VLOOKUP('Données projet'!$B$13,Paramètres!$A$1:$I$89,3,0)*VLOOKUP('Données projet'!$B$13,Paramètres!$A$1:$I$89,5,0)</f>
        <v>1.4897523215040565E-13</v>
      </c>
      <c r="CV157" s="14">
        <f t="shared" si="173"/>
        <v>2.136562777003313E-12</v>
      </c>
      <c r="CW157" s="22">
        <f t="shared" si="174"/>
        <v>3.9806453659427267E-12</v>
      </c>
      <c r="CX157" s="62">
        <f t="shared" si="122"/>
        <v>293.33333333333729</v>
      </c>
      <c r="CY157" s="62">
        <f ca="1">AVERAGE(OFFSET($CX$3,0,0,'Données projet'!$E$13+1,1))-AVERAGE(OFFSET($H$3,0,0,'Données projet'!$E$13+1,1))</f>
        <v>311.53750850588153</v>
      </c>
      <c r="CZ157" s="62">
        <f t="shared" si="150"/>
        <v>304.84379909635476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-9.2222762759774927E-14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256.19915261735281</v>
      </c>
      <c r="DU157" s="62">
        <f t="shared" si="152"/>
        <v>297.47246687305056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5.4092197387944907E-14</v>
      </c>
      <c r="EL157" s="14">
        <f t="shared" si="179"/>
        <v>8.7287050538073676E-13</v>
      </c>
      <c r="EM157" s="22">
        <f t="shared" si="180"/>
        <v>1.6144600406554537E-12</v>
      </c>
      <c r="EN157" s="62">
        <f t="shared" si="128"/>
        <v>293.33333333333491</v>
      </c>
      <c r="EO157" s="62">
        <f ca="1">AVERAGE(OFFSET($EN$3,0,0,'Données projet'!$E$15+1,1))-AVERAGE(OFFSET($H$3,0,0,'Données projet'!$E$15+1,1))</f>
        <v>406.24139966722936</v>
      </c>
      <c r="EP157" s="62">
        <f t="shared" si="154"/>
        <v>295.95724296920577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1.1368683772161603E-13</v>
      </c>
      <c r="FF157" s="18">
        <f>FE157*VLOOKUP('Données projet'!$B$16,Paramètres!$A$1:$I$89,3,0)*VLOOKUP('Données projet'!$B$16,Paramètres!$A$1:$I$89,5,0)</f>
        <v>8.8675733422860506E-14</v>
      </c>
      <c r="FG157" s="14">
        <f t="shared" si="182"/>
        <v>1.3509285393066301E-12</v>
      </c>
      <c r="FH157" s="22">
        <f t="shared" si="183"/>
        <v>2.5073107750038623E-12</v>
      </c>
      <c r="FI157" s="62">
        <f t="shared" si="131"/>
        <v>293.33333333333582</v>
      </c>
      <c r="FJ157" s="62">
        <f ca="1">AVERAGE(OFFSET($FI$3,0,0,'Données projet'!$E$16+1,1))-AVERAGE(OFFSET($H$3,0,0,'Données projet'!$E$16+1,1))</f>
        <v>292.57482726862594</v>
      </c>
      <c r="FK157" s="62">
        <f t="shared" si="156"/>
        <v>283.48738729114024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-1.1368683772161603E-13</v>
      </c>
      <c r="GA157" s="18">
        <f>FZ157*VLOOKUP('Données projet'!$B$17,Paramètres!$A$1:$I$89,3,0)*VLOOKUP('Données projet'!$B$17,Paramètres!$A$1:$I$89,5,0)</f>
        <v>-1.0995790944434703E-13</v>
      </c>
      <c r="GB157" s="14" t="e">
        <f t="shared" si="185"/>
        <v>#NUM!</v>
      </c>
      <c r="GC157" s="22" t="e">
        <f t="shared" si="186"/>
        <v>#NUM!</v>
      </c>
      <c r="GD157" s="62" t="e">
        <f t="shared" si="134"/>
        <v>#NUM!</v>
      </c>
      <c r="GE157" s="62">
        <f ca="1">AVERAGE(OFFSET($GD$3,0,0,'Données projet'!$E$17+1,1))-AVERAGE(OFFSET($H$3,0,0,'Données projet'!$E$17+1,1))</f>
        <v>562.69380557620775</v>
      </c>
      <c r="GF157" s="62">
        <f t="shared" si="158"/>
        <v>294.45557293177131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-1.0286385077051818E-13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529.25712986118265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-9.7543306765146564E-14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446.86777652265448</v>
      </c>
      <c r="AO158" s="62">
        <f t="shared" si="144"/>
        <v>230.82970731138215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-4.5224624045658861E-14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370.59298168107364</v>
      </c>
      <c r="BJ158" s="62">
        <f t="shared" si="146"/>
        <v>404.61777090709171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-4.1677594708744434E-14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344.45199703750711</v>
      </c>
      <c r="CE158" s="62">
        <f t="shared" si="148"/>
        <v>376.41441893222185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2.2737367544323206E-13</v>
      </c>
      <c r="CU158" s="18">
        <f>CT158*VLOOKUP('Données projet'!$B$13,Paramètres!$A$1:$I$89,3,0)*VLOOKUP('Données projet'!$B$13,Paramètres!$A$1:$I$89,5,0)</f>
        <v>1.4897523215040565E-13</v>
      </c>
      <c r="CV158" s="14">
        <f t="shared" si="173"/>
        <v>2.136562777003313E-12</v>
      </c>
      <c r="CW158" s="22">
        <f t="shared" si="174"/>
        <v>3.9806453659427267E-12</v>
      </c>
      <c r="CX158" s="62">
        <f t="shared" si="122"/>
        <v>293.33333333333729</v>
      </c>
      <c r="CY158" s="62">
        <f ca="1">AVERAGE(OFFSET($CX$3,0,0,'Données projet'!$E$13+1,1))-AVERAGE(OFFSET($H$3,0,0,'Données projet'!$E$13+1,1))</f>
        <v>311.53750850588153</v>
      </c>
      <c r="CZ158" s="62">
        <f t="shared" si="150"/>
        <v>304.84379909635476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-9.2222762759774927E-14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256.19915261735281</v>
      </c>
      <c r="DU158" s="62">
        <f t="shared" si="152"/>
        <v>297.47246687305056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5.4092197387944907E-14</v>
      </c>
      <c r="EL158" s="14">
        <f t="shared" si="179"/>
        <v>8.7287050538073676E-13</v>
      </c>
      <c r="EM158" s="22">
        <f t="shared" si="180"/>
        <v>1.6144600406554537E-12</v>
      </c>
      <c r="EN158" s="62">
        <f t="shared" si="128"/>
        <v>293.33333333333491</v>
      </c>
      <c r="EO158" s="62">
        <f ca="1">AVERAGE(OFFSET($EN$3,0,0,'Données projet'!$E$15+1,1))-AVERAGE(OFFSET($H$3,0,0,'Données projet'!$E$15+1,1))</f>
        <v>406.24139966722936</v>
      </c>
      <c r="EP158" s="62">
        <f t="shared" si="154"/>
        <v>295.95724296920577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1.1368683772161603E-13</v>
      </c>
      <c r="FF158" s="18">
        <f>FE158*VLOOKUP('Données projet'!$B$16,Paramètres!$A$1:$I$89,3,0)*VLOOKUP('Données projet'!$B$16,Paramètres!$A$1:$I$89,5,0)</f>
        <v>8.8675733422860506E-14</v>
      </c>
      <c r="FG158" s="14">
        <f t="shared" si="182"/>
        <v>1.3509285393066301E-12</v>
      </c>
      <c r="FH158" s="22">
        <f t="shared" si="183"/>
        <v>2.5073107750038623E-12</v>
      </c>
      <c r="FI158" s="62">
        <f t="shared" si="131"/>
        <v>293.33333333333582</v>
      </c>
      <c r="FJ158" s="62">
        <f ca="1">AVERAGE(OFFSET($FI$3,0,0,'Données projet'!$E$16+1,1))-AVERAGE(OFFSET($H$3,0,0,'Données projet'!$E$16+1,1))</f>
        <v>292.57482726862594</v>
      </c>
      <c r="FK158" s="62">
        <f t="shared" si="156"/>
        <v>283.48738729114024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-1.1368683772161603E-13</v>
      </c>
      <c r="GA158" s="18">
        <f>FZ158*VLOOKUP('Données projet'!$B$17,Paramètres!$A$1:$I$89,3,0)*VLOOKUP('Données projet'!$B$17,Paramètres!$A$1:$I$89,5,0)</f>
        <v>-1.0995790944434703E-13</v>
      </c>
      <c r="GB158" s="14" t="e">
        <f t="shared" si="185"/>
        <v>#NUM!</v>
      </c>
      <c r="GC158" s="22" t="e">
        <f t="shared" si="186"/>
        <v>#NUM!</v>
      </c>
      <c r="GD158" s="62" t="e">
        <f t="shared" si="134"/>
        <v>#NUM!</v>
      </c>
      <c r="GE158" s="62">
        <f ca="1">AVERAGE(OFFSET($GD$3,0,0,'Données projet'!$E$17+1,1))-AVERAGE(OFFSET($H$3,0,0,'Données projet'!$E$17+1,1))</f>
        <v>562.69380557620775</v>
      </c>
      <c r="GF158" s="62">
        <f t="shared" si="158"/>
        <v>294.45557293177131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-1.0286385077051818E-13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529.25712986118265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-9.7543306765146564E-14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446.86777652265448</v>
      </c>
      <c r="AO159" s="62">
        <f t="shared" si="144"/>
        <v>230.82970731138215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-4.5224624045658861E-14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370.59298168107364</v>
      </c>
      <c r="BJ159" s="62">
        <f t="shared" si="146"/>
        <v>404.61777090709171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-4.1677594708744434E-14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344.45199703750711</v>
      </c>
      <c r="CE159" s="62">
        <f t="shared" si="148"/>
        <v>376.41441893222185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2.2737367544323206E-13</v>
      </c>
      <c r="CU159" s="18">
        <f>CT159*VLOOKUP('Données projet'!$B$13,Paramètres!$A$1:$I$89,3,0)*VLOOKUP('Données projet'!$B$13,Paramètres!$A$1:$I$89,5,0)</f>
        <v>1.4897523215040565E-13</v>
      </c>
      <c r="CV159" s="14">
        <f t="shared" si="173"/>
        <v>2.136562777003313E-12</v>
      </c>
      <c r="CW159" s="22">
        <f t="shared" si="174"/>
        <v>3.9806453659427267E-12</v>
      </c>
      <c r="CX159" s="62">
        <f t="shared" si="122"/>
        <v>293.33333333333729</v>
      </c>
      <c r="CY159" s="62">
        <f ca="1">AVERAGE(OFFSET($CX$3,0,0,'Données projet'!$E$13+1,1))-AVERAGE(OFFSET($H$3,0,0,'Données projet'!$E$13+1,1))</f>
        <v>311.53750850588153</v>
      </c>
      <c r="CZ159" s="62">
        <f t="shared" si="150"/>
        <v>304.84379909635476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-9.2222762759774927E-14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256.19915261735281</v>
      </c>
      <c r="DU159" s="62">
        <f t="shared" si="152"/>
        <v>297.47246687305056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5.4092197387944907E-14</v>
      </c>
      <c r="EL159" s="14">
        <f t="shared" si="179"/>
        <v>8.7287050538073676E-13</v>
      </c>
      <c r="EM159" s="22">
        <f t="shared" si="180"/>
        <v>1.6144600406554537E-12</v>
      </c>
      <c r="EN159" s="62">
        <f t="shared" si="128"/>
        <v>293.33333333333491</v>
      </c>
      <c r="EO159" s="62">
        <f ca="1">AVERAGE(OFFSET($EN$3,0,0,'Données projet'!$E$15+1,1))-AVERAGE(OFFSET($H$3,0,0,'Données projet'!$E$15+1,1))</f>
        <v>406.24139966722936</v>
      </c>
      <c r="EP159" s="62">
        <f t="shared" si="154"/>
        <v>295.95724296920577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1.1368683772161603E-13</v>
      </c>
      <c r="FF159" s="18">
        <f>FE159*VLOOKUP('Données projet'!$B$16,Paramètres!$A$1:$I$89,3,0)*VLOOKUP('Données projet'!$B$16,Paramètres!$A$1:$I$89,5,0)</f>
        <v>8.8675733422860506E-14</v>
      </c>
      <c r="FG159" s="14">
        <f t="shared" si="182"/>
        <v>1.3509285393066301E-12</v>
      </c>
      <c r="FH159" s="22">
        <f t="shared" si="183"/>
        <v>2.5073107750038623E-12</v>
      </c>
      <c r="FI159" s="62">
        <f t="shared" si="131"/>
        <v>293.33333333333582</v>
      </c>
      <c r="FJ159" s="62">
        <f ca="1">AVERAGE(OFFSET($FI$3,0,0,'Données projet'!$E$16+1,1))-AVERAGE(OFFSET($H$3,0,0,'Données projet'!$E$16+1,1))</f>
        <v>292.57482726862594</v>
      </c>
      <c r="FK159" s="62">
        <f t="shared" si="156"/>
        <v>283.48738729114024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-1.1368683772161603E-13</v>
      </c>
      <c r="GA159" s="18">
        <f>FZ159*VLOOKUP('Données projet'!$B$17,Paramètres!$A$1:$I$89,3,0)*VLOOKUP('Données projet'!$B$17,Paramètres!$A$1:$I$89,5,0)</f>
        <v>-1.0995790944434703E-13</v>
      </c>
      <c r="GB159" s="14" t="e">
        <f t="shared" si="185"/>
        <v>#NUM!</v>
      </c>
      <c r="GC159" s="22" t="e">
        <f t="shared" si="186"/>
        <v>#NUM!</v>
      </c>
      <c r="GD159" s="62" t="e">
        <f t="shared" si="134"/>
        <v>#NUM!</v>
      </c>
      <c r="GE159" s="62">
        <f ca="1">AVERAGE(OFFSET($GD$3,0,0,'Données projet'!$E$17+1,1))-AVERAGE(OFFSET($H$3,0,0,'Données projet'!$E$17+1,1))</f>
        <v>562.69380557620775</v>
      </c>
      <c r="GF159" s="62">
        <f t="shared" si="158"/>
        <v>294.45557293177131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-1.0286385077051818E-13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529.25712986118265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-9.7543306765146564E-14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446.86777652265448</v>
      </c>
      <c r="AO160" s="62">
        <f t="shared" si="144"/>
        <v>230.82970731138215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-4.5224624045658861E-14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370.59298168107364</v>
      </c>
      <c r="BJ160" s="62">
        <f t="shared" si="146"/>
        <v>404.61777090709171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-4.1677594708744434E-14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344.45199703750711</v>
      </c>
      <c r="CE160" s="62">
        <f t="shared" si="148"/>
        <v>376.41441893222185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2.2737367544323206E-13</v>
      </c>
      <c r="CU160" s="18">
        <f>CT160*VLOOKUP('Données projet'!$B$13,Paramètres!$A$1:$I$89,3,0)*VLOOKUP('Données projet'!$B$13,Paramètres!$A$1:$I$89,5,0)</f>
        <v>1.4897523215040565E-13</v>
      </c>
      <c r="CV160" s="14">
        <f t="shared" si="173"/>
        <v>2.136562777003313E-12</v>
      </c>
      <c r="CW160" s="22">
        <f t="shared" si="174"/>
        <v>3.9806453659427267E-12</v>
      </c>
      <c r="CX160" s="62">
        <f t="shared" si="122"/>
        <v>293.33333333333729</v>
      </c>
      <c r="CY160" s="62">
        <f ca="1">AVERAGE(OFFSET($CX$3,0,0,'Données projet'!$E$13+1,1))-AVERAGE(OFFSET($H$3,0,0,'Données projet'!$E$13+1,1))</f>
        <v>311.53750850588153</v>
      </c>
      <c r="CZ160" s="62">
        <f t="shared" si="150"/>
        <v>304.84379909635476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-9.2222762759774927E-14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256.19915261735281</v>
      </c>
      <c r="DU160" s="62">
        <f t="shared" si="152"/>
        <v>297.47246687305056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5.4092197387944907E-14</v>
      </c>
      <c r="EL160" s="14">
        <f t="shared" si="179"/>
        <v>8.7287050538073676E-13</v>
      </c>
      <c r="EM160" s="22">
        <f t="shared" si="180"/>
        <v>1.6144600406554537E-12</v>
      </c>
      <c r="EN160" s="62">
        <f t="shared" si="128"/>
        <v>293.33333333333491</v>
      </c>
      <c r="EO160" s="62">
        <f ca="1">AVERAGE(OFFSET($EN$3,0,0,'Données projet'!$E$15+1,1))-AVERAGE(OFFSET($H$3,0,0,'Données projet'!$E$15+1,1))</f>
        <v>406.24139966722936</v>
      </c>
      <c r="EP160" s="62">
        <f t="shared" si="154"/>
        <v>295.95724296920577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1.1368683772161603E-13</v>
      </c>
      <c r="FF160" s="18">
        <f>FE160*VLOOKUP('Données projet'!$B$16,Paramètres!$A$1:$I$89,3,0)*VLOOKUP('Données projet'!$B$16,Paramètres!$A$1:$I$89,5,0)</f>
        <v>8.8675733422860506E-14</v>
      </c>
      <c r="FG160" s="14">
        <f t="shared" si="182"/>
        <v>1.3509285393066301E-12</v>
      </c>
      <c r="FH160" s="22">
        <f t="shared" si="183"/>
        <v>2.5073107750038623E-12</v>
      </c>
      <c r="FI160" s="62">
        <f t="shared" si="131"/>
        <v>293.33333333333582</v>
      </c>
      <c r="FJ160" s="62">
        <f ca="1">AVERAGE(OFFSET($FI$3,0,0,'Données projet'!$E$16+1,1))-AVERAGE(OFFSET($H$3,0,0,'Données projet'!$E$16+1,1))</f>
        <v>292.57482726862594</v>
      </c>
      <c r="FK160" s="62">
        <f t="shared" si="156"/>
        <v>283.48738729114024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-1.1368683772161603E-13</v>
      </c>
      <c r="GA160" s="18">
        <f>FZ160*VLOOKUP('Données projet'!$B$17,Paramètres!$A$1:$I$89,3,0)*VLOOKUP('Données projet'!$B$17,Paramètres!$A$1:$I$89,5,0)</f>
        <v>-1.0995790944434703E-13</v>
      </c>
      <c r="GB160" s="14" t="e">
        <f t="shared" si="185"/>
        <v>#NUM!</v>
      </c>
      <c r="GC160" s="22" t="e">
        <f t="shared" si="186"/>
        <v>#NUM!</v>
      </c>
      <c r="GD160" s="62" t="e">
        <f t="shared" si="134"/>
        <v>#NUM!</v>
      </c>
      <c r="GE160" s="62">
        <f ca="1">AVERAGE(OFFSET($GD$3,0,0,'Données projet'!$E$17+1,1))-AVERAGE(OFFSET($H$3,0,0,'Données projet'!$E$17+1,1))</f>
        <v>562.69380557620775</v>
      </c>
      <c r="GF160" s="62">
        <f t="shared" si="158"/>
        <v>294.45557293177131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-1.0286385077051818E-13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529.25712986118265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-9.7543306765146564E-14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446.86777652265448</v>
      </c>
      <c r="AO161" s="62">
        <f t="shared" si="144"/>
        <v>230.82970731138215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-4.5224624045658861E-14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370.59298168107364</v>
      </c>
      <c r="BJ161" s="62">
        <f t="shared" si="146"/>
        <v>404.61777090709171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-4.1677594708744434E-14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344.45199703750711</v>
      </c>
      <c r="CE161" s="62">
        <f t="shared" si="148"/>
        <v>376.41441893222185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2.2737367544323206E-13</v>
      </c>
      <c r="CU161" s="18">
        <f>CT161*VLOOKUP('Données projet'!$B$13,Paramètres!$A$1:$I$89,3,0)*VLOOKUP('Données projet'!$B$13,Paramètres!$A$1:$I$89,5,0)</f>
        <v>1.4897523215040565E-13</v>
      </c>
      <c r="CV161" s="14">
        <f t="shared" si="173"/>
        <v>2.136562777003313E-12</v>
      </c>
      <c r="CW161" s="22">
        <f t="shared" si="174"/>
        <v>3.9806453659427267E-12</v>
      </c>
      <c r="CX161" s="62">
        <f t="shared" si="122"/>
        <v>293.33333333333729</v>
      </c>
      <c r="CY161" s="62">
        <f ca="1">AVERAGE(OFFSET($CX$3,0,0,'Données projet'!$E$13+1,1))-AVERAGE(OFFSET($H$3,0,0,'Données projet'!$E$13+1,1))</f>
        <v>311.53750850588153</v>
      </c>
      <c r="CZ161" s="62">
        <f t="shared" si="150"/>
        <v>304.84379909635476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-9.2222762759774927E-14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256.19915261735281</v>
      </c>
      <c r="DU161" s="62">
        <f t="shared" si="152"/>
        <v>297.47246687305056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5.4092197387944907E-14</v>
      </c>
      <c r="EL161" s="14">
        <f t="shared" si="179"/>
        <v>8.7287050538073676E-13</v>
      </c>
      <c r="EM161" s="22">
        <f t="shared" si="180"/>
        <v>1.6144600406554537E-12</v>
      </c>
      <c r="EN161" s="62">
        <f t="shared" si="128"/>
        <v>293.33333333333491</v>
      </c>
      <c r="EO161" s="62">
        <f ca="1">AVERAGE(OFFSET($EN$3,0,0,'Données projet'!$E$15+1,1))-AVERAGE(OFFSET($H$3,0,0,'Données projet'!$E$15+1,1))</f>
        <v>406.24139966722936</v>
      </c>
      <c r="EP161" s="62">
        <f t="shared" si="154"/>
        <v>295.95724296920577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1.1368683772161603E-13</v>
      </c>
      <c r="FF161" s="18">
        <f>FE161*VLOOKUP('Données projet'!$B$16,Paramètres!$A$1:$I$89,3,0)*VLOOKUP('Données projet'!$B$16,Paramètres!$A$1:$I$89,5,0)</f>
        <v>8.8675733422860506E-14</v>
      </c>
      <c r="FG161" s="14">
        <f t="shared" si="182"/>
        <v>1.3509285393066301E-12</v>
      </c>
      <c r="FH161" s="22">
        <f t="shared" si="183"/>
        <v>2.5073107750038623E-12</v>
      </c>
      <c r="FI161" s="62">
        <f t="shared" si="131"/>
        <v>293.33333333333582</v>
      </c>
      <c r="FJ161" s="62">
        <f ca="1">AVERAGE(OFFSET($FI$3,0,0,'Données projet'!$E$16+1,1))-AVERAGE(OFFSET($H$3,0,0,'Données projet'!$E$16+1,1))</f>
        <v>292.57482726862594</v>
      </c>
      <c r="FK161" s="62">
        <f t="shared" si="156"/>
        <v>283.48738729114024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-1.1368683772161603E-13</v>
      </c>
      <c r="GA161" s="18">
        <f>FZ161*VLOOKUP('Données projet'!$B$17,Paramètres!$A$1:$I$89,3,0)*VLOOKUP('Données projet'!$B$17,Paramètres!$A$1:$I$89,5,0)</f>
        <v>-1.0995790944434703E-13</v>
      </c>
      <c r="GB161" s="14" t="e">
        <f t="shared" si="185"/>
        <v>#NUM!</v>
      </c>
      <c r="GC161" s="22" t="e">
        <f t="shared" si="186"/>
        <v>#NUM!</v>
      </c>
      <c r="GD161" s="62" t="e">
        <f t="shared" si="134"/>
        <v>#NUM!</v>
      </c>
      <c r="GE161" s="62">
        <f ca="1">AVERAGE(OFFSET($GD$3,0,0,'Données projet'!$E$17+1,1))-AVERAGE(OFFSET($H$3,0,0,'Données projet'!$E$17+1,1))</f>
        <v>562.69380557620775</v>
      </c>
      <c r="GF161" s="62">
        <f t="shared" si="158"/>
        <v>294.45557293177131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-1.0286385077051818E-13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529.25712986118265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-9.7543306765146564E-14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446.86777652265448</v>
      </c>
      <c r="AO162" s="62">
        <f t="shared" si="144"/>
        <v>230.82970731138215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-4.5224624045658861E-14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370.59298168107364</v>
      </c>
      <c r="BJ162" s="62">
        <f t="shared" si="146"/>
        <v>404.61777090709171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-4.1677594708744434E-14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344.45199703750711</v>
      </c>
      <c r="CE162" s="62">
        <f t="shared" si="148"/>
        <v>376.41441893222185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2.2737367544323206E-13</v>
      </c>
      <c r="CU162" s="18">
        <f>CT162*VLOOKUP('Données projet'!$B$13,Paramètres!$A$1:$I$89,3,0)*VLOOKUP('Données projet'!$B$13,Paramètres!$A$1:$I$89,5,0)</f>
        <v>1.4897523215040565E-13</v>
      </c>
      <c r="CV162" s="14">
        <f t="shared" si="173"/>
        <v>2.136562777003313E-12</v>
      </c>
      <c r="CW162" s="22">
        <f t="shared" si="174"/>
        <v>3.9806453659427267E-12</v>
      </c>
      <c r="CX162" s="62">
        <f t="shared" si="122"/>
        <v>293.33333333333729</v>
      </c>
      <c r="CY162" s="62">
        <f ca="1">AVERAGE(OFFSET($CX$3,0,0,'Données projet'!$E$13+1,1))-AVERAGE(OFFSET($H$3,0,0,'Données projet'!$E$13+1,1))</f>
        <v>311.53750850588153</v>
      </c>
      <c r="CZ162" s="62">
        <f t="shared" si="150"/>
        <v>304.84379909635476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-9.2222762759774927E-14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256.19915261735281</v>
      </c>
      <c r="DU162" s="62">
        <f t="shared" si="152"/>
        <v>297.47246687305056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5.4092197387944907E-14</v>
      </c>
      <c r="EL162" s="14">
        <f t="shared" si="179"/>
        <v>8.7287050538073676E-13</v>
      </c>
      <c r="EM162" s="22">
        <f t="shared" si="180"/>
        <v>1.6144600406554537E-12</v>
      </c>
      <c r="EN162" s="62">
        <f t="shared" si="128"/>
        <v>293.33333333333491</v>
      </c>
      <c r="EO162" s="62">
        <f ca="1">AVERAGE(OFFSET($EN$3,0,0,'Données projet'!$E$15+1,1))-AVERAGE(OFFSET($H$3,0,0,'Données projet'!$E$15+1,1))</f>
        <v>406.24139966722936</v>
      </c>
      <c r="EP162" s="62">
        <f t="shared" si="154"/>
        <v>295.95724296920577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1.1368683772161603E-13</v>
      </c>
      <c r="FF162" s="18">
        <f>FE162*VLOOKUP('Données projet'!$B$16,Paramètres!$A$1:$I$89,3,0)*VLOOKUP('Données projet'!$B$16,Paramètres!$A$1:$I$89,5,0)</f>
        <v>8.8675733422860506E-14</v>
      </c>
      <c r="FG162" s="14">
        <f t="shared" si="182"/>
        <v>1.3509285393066301E-12</v>
      </c>
      <c r="FH162" s="22">
        <f t="shared" si="183"/>
        <v>2.5073107750038623E-12</v>
      </c>
      <c r="FI162" s="62">
        <f t="shared" si="131"/>
        <v>293.33333333333582</v>
      </c>
      <c r="FJ162" s="62">
        <f ca="1">AVERAGE(OFFSET($FI$3,0,0,'Données projet'!$E$16+1,1))-AVERAGE(OFFSET($H$3,0,0,'Données projet'!$E$16+1,1))</f>
        <v>292.57482726862594</v>
      </c>
      <c r="FK162" s="62">
        <f t="shared" si="156"/>
        <v>283.48738729114024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-1.1368683772161603E-13</v>
      </c>
      <c r="GA162" s="18">
        <f>FZ162*VLOOKUP('Données projet'!$B$17,Paramètres!$A$1:$I$89,3,0)*VLOOKUP('Données projet'!$B$17,Paramètres!$A$1:$I$89,5,0)</f>
        <v>-1.0995790944434703E-13</v>
      </c>
      <c r="GB162" s="14" t="e">
        <f t="shared" si="185"/>
        <v>#NUM!</v>
      </c>
      <c r="GC162" s="22" t="e">
        <f t="shared" si="186"/>
        <v>#NUM!</v>
      </c>
      <c r="GD162" s="62" t="e">
        <f t="shared" si="134"/>
        <v>#NUM!</v>
      </c>
      <c r="GE162" s="62">
        <f ca="1">AVERAGE(OFFSET($GD$3,0,0,'Données projet'!$E$17+1,1))-AVERAGE(OFFSET($H$3,0,0,'Données projet'!$E$17+1,1))</f>
        <v>562.69380557620775</v>
      </c>
      <c r="GF162" s="62">
        <f t="shared" si="158"/>
        <v>294.45557293177131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-1.0286385077051818E-13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529.25712986118265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-9.7543306765146564E-14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446.86777652265448</v>
      </c>
      <c r="AO163" s="62">
        <f t="shared" si="144"/>
        <v>230.82970731138215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-4.5224624045658861E-14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370.59298168107364</v>
      </c>
      <c r="BJ163" s="62">
        <f t="shared" si="146"/>
        <v>404.61777090709171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-4.1677594708744434E-14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344.45199703750711</v>
      </c>
      <c r="CE163" s="62">
        <f t="shared" si="148"/>
        <v>376.41441893222185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2.2737367544323206E-13</v>
      </c>
      <c r="CU163" s="18">
        <f>CT163*VLOOKUP('Données projet'!$B$13,Paramètres!$A$1:$I$89,3,0)*VLOOKUP('Données projet'!$B$13,Paramètres!$A$1:$I$89,5,0)</f>
        <v>1.4897523215040565E-13</v>
      </c>
      <c r="CV163" s="14">
        <f t="shared" si="173"/>
        <v>2.136562777003313E-12</v>
      </c>
      <c r="CW163" s="22">
        <f t="shared" si="174"/>
        <v>3.9806453659427267E-12</v>
      </c>
      <c r="CX163" s="62">
        <f t="shared" si="122"/>
        <v>293.33333333333729</v>
      </c>
      <c r="CY163" s="62">
        <f ca="1">AVERAGE(OFFSET($CX$3,0,0,'Données projet'!$E$13+1,1))-AVERAGE(OFFSET($H$3,0,0,'Données projet'!$E$13+1,1))</f>
        <v>311.53750850588153</v>
      </c>
      <c r="CZ163" s="62">
        <f t="shared" si="150"/>
        <v>304.84379909635476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-9.2222762759774927E-14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256.19915261735281</v>
      </c>
      <c r="DU163" s="62">
        <f t="shared" si="152"/>
        <v>297.47246687305056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5.4092197387944907E-14</v>
      </c>
      <c r="EL163" s="14">
        <f t="shared" si="179"/>
        <v>8.7287050538073676E-13</v>
      </c>
      <c r="EM163" s="22">
        <f t="shared" si="180"/>
        <v>1.6144600406554537E-12</v>
      </c>
      <c r="EN163" s="62">
        <f t="shared" si="128"/>
        <v>293.33333333333491</v>
      </c>
      <c r="EO163" s="62">
        <f ca="1">AVERAGE(OFFSET($EN$3,0,0,'Données projet'!$E$15+1,1))-AVERAGE(OFFSET($H$3,0,0,'Données projet'!$E$15+1,1))</f>
        <v>406.24139966722936</v>
      </c>
      <c r="EP163" s="62">
        <f t="shared" si="154"/>
        <v>295.95724296920577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1.1368683772161603E-13</v>
      </c>
      <c r="FF163" s="18">
        <f>FE163*VLOOKUP('Données projet'!$B$16,Paramètres!$A$1:$I$89,3,0)*VLOOKUP('Données projet'!$B$16,Paramètres!$A$1:$I$89,5,0)</f>
        <v>8.8675733422860506E-14</v>
      </c>
      <c r="FG163" s="14">
        <f t="shared" si="182"/>
        <v>1.3509285393066301E-12</v>
      </c>
      <c r="FH163" s="22">
        <f t="shared" si="183"/>
        <v>2.5073107750038623E-12</v>
      </c>
      <c r="FI163" s="62">
        <f t="shared" si="131"/>
        <v>293.33333333333582</v>
      </c>
      <c r="FJ163" s="62">
        <f ca="1">AVERAGE(OFFSET($FI$3,0,0,'Données projet'!$E$16+1,1))-AVERAGE(OFFSET($H$3,0,0,'Données projet'!$E$16+1,1))</f>
        <v>292.57482726862594</v>
      </c>
      <c r="FK163" s="62">
        <f t="shared" si="156"/>
        <v>283.48738729114024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-1.1368683772161603E-13</v>
      </c>
      <c r="GA163" s="18">
        <f>FZ163*VLOOKUP('Données projet'!$B$17,Paramètres!$A$1:$I$89,3,0)*VLOOKUP('Données projet'!$B$17,Paramètres!$A$1:$I$89,5,0)</f>
        <v>-1.0995790944434703E-13</v>
      </c>
      <c r="GB163" s="14" t="e">
        <f t="shared" si="185"/>
        <v>#NUM!</v>
      </c>
      <c r="GC163" s="22" t="e">
        <f t="shared" si="186"/>
        <v>#NUM!</v>
      </c>
      <c r="GD163" s="62" t="e">
        <f t="shared" si="134"/>
        <v>#NUM!</v>
      </c>
      <c r="GE163" s="62">
        <f ca="1">AVERAGE(OFFSET($GD$3,0,0,'Données projet'!$E$17+1,1))-AVERAGE(OFFSET($H$3,0,0,'Données projet'!$E$17+1,1))</f>
        <v>562.69380557620775</v>
      </c>
      <c r="GF163" s="62">
        <f t="shared" si="158"/>
        <v>294.45557293177131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-1.0286385077051818E-13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529.25712986118265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-9.7543306765146564E-14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446.86777652265448</v>
      </c>
      <c r="AO164" s="62">
        <f t="shared" si="144"/>
        <v>230.82970731138215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-4.5224624045658861E-14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370.59298168107364</v>
      </c>
      <c r="BJ164" s="62">
        <f t="shared" si="146"/>
        <v>404.61777090709171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-4.1677594708744434E-14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344.45199703750711</v>
      </c>
      <c r="CE164" s="62">
        <f t="shared" si="148"/>
        <v>376.41441893222185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2.2737367544323206E-13</v>
      </c>
      <c r="CU164" s="18">
        <f>CT164*VLOOKUP('Données projet'!$B$13,Paramètres!$A$1:$I$89,3,0)*VLOOKUP('Données projet'!$B$13,Paramètres!$A$1:$I$89,5,0)</f>
        <v>1.4897523215040565E-13</v>
      </c>
      <c r="CV164" s="14">
        <f t="shared" si="173"/>
        <v>2.136562777003313E-12</v>
      </c>
      <c r="CW164" s="22">
        <f t="shared" si="174"/>
        <v>3.9806453659427267E-12</v>
      </c>
      <c r="CX164" s="62">
        <f t="shared" si="122"/>
        <v>293.33333333333729</v>
      </c>
      <c r="CY164" s="62">
        <f ca="1">AVERAGE(OFFSET($CX$3,0,0,'Données projet'!$E$13+1,1))-AVERAGE(OFFSET($H$3,0,0,'Données projet'!$E$13+1,1))</f>
        <v>311.53750850588153</v>
      </c>
      <c r="CZ164" s="62">
        <f t="shared" si="150"/>
        <v>304.84379909635476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-9.2222762759774927E-14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256.19915261735281</v>
      </c>
      <c r="DU164" s="62">
        <f t="shared" si="152"/>
        <v>297.47246687305056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5.4092197387944907E-14</v>
      </c>
      <c r="EL164" s="14">
        <f t="shared" si="179"/>
        <v>8.7287050538073676E-13</v>
      </c>
      <c r="EM164" s="22">
        <f t="shared" si="180"/>
        <v>1.6144600406554537E-12</v>
      </c>
      <c r="EN164" s="62">
        <f t="shared" si="128"/>
        <v>293.33333333333491</v>
      </c>
      <c r="EO164" s="62">
        <f ca="1">AVERAGE(OFFSET($EN$3,0,0,'Données projet'!$E$15+1,1))-AVERAGE(OFFSET($H$3,0,0,'Données projet'!$E$15+1,1))</f>
        <v>406.24139966722936</v>
      </c>
      <c r="EP164" s="62">
        <f t="shared" si="154"/>
        <v>295.95724296920577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1.1368683772161603E-13</v>
      </c>
      <c r="FF164" s="18">
        <f>FE164*VLOOKUP('Données projet'!$B$16,Paramètres!$A$1:$I$89,3,0)*VLOOKUP('Données projet'!$B$16,Paramètres!$A$1:$I$89,5,0)</f>
        <v>8.8675733422860506E-14</v>
      </c>
      <c r="FG164" s="14">
        <f t="shared" si="182"/>
        <v>1.3509285393066301E-12</v>
      </c>
      <c r="FH164" s="22">
        <f t="shared" si="183"/>
        <v>2.5073107750038623E-12</v>
      </c>
      <c r="FI164" s="62">
        <f t="shared" si="131"/>
        <v>293.33333333333582</v>
      </c>
      <c r="FJ164" s="62">
        <f ca="1">AVERAGE(OFFSET($FI$3,0,0,'Données projet'!$E$16+1,1))-AVERAGE(OFFSET($H$3,0,0,'Données projet'!$E$16+1,1))</f>
        <v>292.57482726862594</v>
      </c>
      <c r="FK164" s="62">
        <f t="shared" si="156"/>
        <v>283.48738729114024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-1.1368683772161603E-13</v>
      </c>
      <c r="GA164" s="18">
        <f>FZ164*VLOOKUP('Données projet'!$B$17,Paramètres!$A$1:$I$89,3,0)*VLOOKUP('Données projet'!$B$17,Paramètres!$A$1:$I$89,5,0)</f>
        <v>-1.0995790944434703E-13</v>
      </c>
      <c r="GB164" s="14" t="e">
        <f t="shared" si="185"/>
        <v>#NUM!</v>
      </c>
      <c r="GC164" s="22" t="e">
        <f t="shared" si="186"/>
        <v>#NUM!</v>
      </c>
      <c r="GD164" s="62" t="e">
        <f t="shared" si="134"/>
        <v>#NUM!</v>
      </c>
      <c r="GE164" s="62">
        <f ca="1">AVERAGE(OFFSET($GD$3,0,0,'Données projet'!$E$17+1,1))-AVERAGE(OFFSET($H$3,0,0,'Données projet'!$E$17+1,1))</f>
        <v>562.69380557620775</v>
      </c>
      <c r="GF164" s="62">
        <f t="shared" si="158"/>
        <v>294.45557293177131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-1.0286385077051818E-13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529.25712986118265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-9.7543306765146564E-14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446.86777652265448</v>
      </c>
      <c r="AO165" s="62">
        <f t="shared" si="144"/>
        <v>230.82970731138215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-4.5224624045658861E-14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370.59298168107364</v>
      </c>
      <c r="BJ165" s="62">
        <f t="shared" si="146"/>
        <v>404.61777090709171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-4.1677594708744434E-14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344.45199703750711</v>
      </c>
      <c r="CE165" s="62">
        <f t="shared" si="148"/>
        <v>376.41441893222185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2.2737367544323206E-13</v>
      </c>
      <c r="CU165" s="18">
        <f>CT165*VLOOKUP('Données projet'!$B$13,Paramètres!$A$1:$I$89,3,0)*VLOOKUP('Données projet'!$B$13,Paramètres!$A$1:$I$89,5,0)</f>
        <v>1.4897523215040565E-13</v>
      </c>
      <c r="CV165" s="14">
        <f t="shared" si="173"/>
        <v>2.136562777003313E-12</v>
      </c>
      <c r="CW165" s="22">
        <f t="shared" si="174"/>
        <v>3.9806453659427267E-12</v>
      </c>
      <c r="CX165" s="62">
        <f t="shared" si="122"/>
        <v>293.33333333333729</v>
      </c>
      <c r="CY165" s="62">
        <f ca="1">AVERAGE(OFFSET($CX$3,0,0,'Données projet'!$E$13+1,1))-AVERAGE(OFFSET($H$3,0,0,'Données projet'!$E$13+1,1))</f>
        <v>311.53750850588153</v>
      </c>
      <c r="CZ165" s="62">
        <f t="shared" si="150"/>
        <v>304.84379909635476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-9.2222762759774927E-14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256.19915261735281</v>
      </c>
      <c r="DU165" s="62">
        <f t="shared" si="152"/>
        <v>297.47246687305056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5.4092197387944907E-14</v>
      </c>
      <c r="EL165" s="14">
        <f t="shared" si="179"/>
        <v>8.7287050538073676E-13</v>
      </c>
      <c r="EM165" s="22">
        <f t="shared" si="180"/>
        <v>1.6144600406554537E-12</v>
      </c>
      <c r="EN165" s="62">
        <f t="shared" si="128"/>
        <v>293.33333333333491</v>
      </c>
      <c r="EO165" s="62">
        <f ca="1">AVERAGE(OFFSET($EN$3,0,0,'Données projet'!$E$15+1,1))-AVERAGE(OFFSET($H$3,0,0,'Données projet'!$E$15+1,1))</f>
        <v>406.24139966722936</v>
      </c>
      <c r="EP165" s="62">
        <f t="shared" si="154"/>
        <v>295.95724296920577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1.1368683772161603E-13</v>
      </c>
      <c r="FF165" s="18">
        <f>FE165*VLOOKUP('Données projet'!$B$16,Paramètres!$A$1:$I$89,3,0)*VLOOKUP('Données projet'!$B$16,Paramètres!$A$1:$I$89,5,0)</f>
        <v>8.8675733422860506E-14</v>
      </c>
      <c r="FG165" s="14">
        <f t="shared" si="182"/>
        <v>1.3509285393066301E-12</v>
      </c>
      <c r="FH165" s="22">
        <f t="shared" si="183"/>
        <v>2.5073107750038623E-12</v>
      </c>
      <c r="FI165" s="62">
        <f t="shared" si="131"/>
        <v>293.33333333333582</v>
      </c>
      <c r="FJ165" s="62">
        <f ca="1">AVERAGE(OFFSET($FI$3,0,0,'Données projet'!$E$16+1,1))-AVERAGE(OFFSET($H$3,0,0,'Données projet'!$E$16+1,1))</f>
        <v>292.57482726862594</v>
      </c>
      <c r="FK165" s="62">
        <f t="shared" si="156"/>
        <v>283.48738729114024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-1.1368683772161603E-13</v>
      </c>
      <c r="GA165" s="18">
        <f>FZ165*VLOOKUP('Données projet'!$B$17,Paramètres!$A$1:$I$89,3,0)*VLOOKUP('Données projet'!$B$17,Paramètres!$A$1:$I$89,5,0)</f>
        <v>-1.0995790944434703E-13</v>
      </c>
      <c r="GB165" s="14" t="e">
        <f t="shared" si="185"/>
        <v>#NUM!</v>
      </c>
      <c r="GC165" s="22" t="e">
        <f t="shared" si="186"/>
        <v>#NUM!</v>
      </c>
      <c r="GD165" s="62" t="e">
        <f t="shared" si="134"/>
        <v>#NUM!</v>
      </c>
      <c r="GE165" s="62">
        <f ca="1">AVERAGE(OFFSET($GD$3,0,0,'Données projet'!$E$17+1,1))-AVERAGE(OFFSET($H$3,0,0,'Données projet'!$E$17+1,1))</f>
        <v>562.69380557620775</v>
      </c>
      <c r="GF165" s="62">
        <f t="shared" si="158"/>
        <v>294.45557293177131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-1.0286385077051818E-13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529.25712986118265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-9.7543306765146564E-14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446.86777652265448</v>
      </c>
      <c r="AO166" s="62">
        <f t="shared" si="144"/>
        <v>230.82970731138215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-4.5224624045658861E-14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370.59298168107364</v>
      </c>
      <c r="BJ166" s="62">
        <f t="shared" si="146"/>
        <v>404.61777090709171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-4.1677594708744434E-14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344.45199703750711</v>
      </c>
      <c r="CE166" s="62">
        <f t="shared" si="148"/>
        <v>376.41441893222185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2.2737367544323206E-13</v>
      </c>
      <c r="CU166" s="18">
        <f>CT166*VLOOKUP('Données projet'!$B$13,Paramètres!$A$1:$I$89,3,0)*VLOOKUP('Données projet'!$B$13,Paramètres!$A$1:$I$89,5,0)</f>
        <v>1.4897523215040565E-13</v>
      </c>
      <c r="CV166" s="14">
        <f t="shared" si="173"/>
        <v>2.136562777003313E-12</v>
      </c>
      <c r="CW166" s="22">
        <f t="shared" si="174"/>
        <v>3.9806453659427267E-12</v>
      </c>
      <c r="CX166" s="62">
        <f t="shared" si="122"/>
        <v>293.33333333333729</v>
      </c>
      <c r="CY166" s="62">
        <f ca="1">AVERAGE(OFFSET($CX$3,0,0,'Données projet'!$E$13+1,1))-AVERAGE(OFFSET($H$3,0,0,'Données projet'!$E$13+1,1))</f>
        <v>311.53750850588153</v>
      </c>
      <c r="CZ166" s="62">
        <f t="shared" si="150"/>
        <v>304.84379909635476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-9.2222762759774927E-14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256.19915261735281</v>
      </c>
      <c r="DU166" s="62">
        <f t="shared" si="152"/>
        <v>297.47246687305056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5.4092197387944907E-14</v>
      </c>
      <c r="EL166" s="14">
        <f t="shared" si="179"/>
        <v>8.7287050538073676E-13</v>
      </c>
      <c r="EM166" s="22">
        <f t="shared" si="180"/>
        <v>1.6144600406554537E-12</v>
      </c>
      <c r="EN166" s="62">
        <f t="shared" si="128"/>
        <v>293.33333333333491</v>
      </c>
      <c r="EO166" s="62">
        <f ca="1">AVERAGE(OFFSET($EN$3,0,0,'Données projet'!$E$15+1,1))-AVERAGE(OFFSET($H$3,0,0,'Données projet'!$E$15+1,1))</f>
        <v>406.24139966722936</v>
      </c>
      <c r="EP166" s="62">
        <f t="shared" si="154"/>
        <v>295.95724296920577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1.1368683772161603E-13</v>
      </c>
      <c r="FF166" s="18">
        <f>FE166*VLOOKUP('Données projet'!$B$16,Paramètres!$A$1:$I$89,3,0)*VLOOKUP('Données projet'!$B$16,Paramètres!$A$1:$I$89,5,0)</f>
        <v>8.8675733422860506E-14</v>
      </c>
      <c r="FG166" s="14">
        <f t="shared" si="182"/>
        <v>1.3509285393066301E-12</v>
      </c>
      <c r="FH166" s="22">
        <f t="shared" si="183"/>
        <v>2.5073107750038623E-12</v>
      </c>
      <c r="FI166" s="62">
        <f t="shared" si="131"/>
        <v>293.33333333333582</v>
      </c>
      <c r="FJ166" s="62">
        <f ca="1">AVERAGE(OFFSET($FI$3,0,0,'Données projet'!$E$16+1,1))-AVERAGE(OFFSET($H$3,0,0,'Données projet'!$E$16+1,1))</f>
        <v>292.57482726862594</v>
      </c>
      <c r="FK166" s="62">
        <f t="shared" si="156"/>
        <v>283.48738729114024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-1.1368683772161603E-13</v>
      </c>
      <c r="GA166" s="18">
        <f>FZ166*VLOOKUP('Données projet'!$B$17,Paramètres!$A$1:$I$89,3,0)*VLOOKUP('Données projet'!$B$17,Paramètres!$A$1:$I$89,5,0)</f>
        <v>-1.0995790944434703E-13</v>
      </c>
      <c r="GB166" s="14" t="e">
        <f t="shared" si="185"/>
        <v>#NUM!</v>
      </c>
      <c r="GC166" s="22" t="e">
        <f t="shared" si="186"/>
        <v>#NUM!</v>
      </c>
      <c r="GD166" s="62" t="e">
        <f t="shared" si="134"/>
        <v>#NUM!</v>
      </c>
      <c r="GE166" s="62">
        <f ca="1">AVERAGE(OFFSET($GD$3,0,0,'Données projet'!$E$17+1,1))-AVERAGE(OFFSET($H$3,0,0,'Données projet'!$E$17+1,1))</f>
        <v>562.69380557620775</v>
      </c>
      <c r="GF166" s="62">
        <f t="shared" si="158"/>
        <v>294.45557293177131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-1.0286385077051818E-13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529.25712986118265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-9.7543306765146564E-14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446.86777652265448</v>
      </c>
      <c r="AO167" s="62">
        <f t="shared" si="144"/>
        <v>230.82970731138215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-4.5224624045658861E-14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370.59298168107364</v>
      </c>
      <c r="BJ167" s="62">
        <f t="shared" si="146"/>
        <v>404.61777090709171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-4.1677594708744434E-14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344.45199703750711</v>
      </c>
      <c r="CE167" s="62">
        <f t="shared" si="148"/>
        <v>376.41441893222185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2.2737367544323206E-13</v>
      </c>
      <c r="CU167" s="18">
        <f>CT167*VLOOKUP('Données projet'!$B$13,Paramètres!$A$1:$I$89,3,0)*VLOOKUP('Données projet'!$B$13,Paramètres!$A$1:$I$89,5,0)</f>
        <v>1.4897523215040565E-13</v>
      </c>
      <c r="CV167" s="14">
        <f t="shared" si="173"/>
        <v>2.136562777003313E-12</v>
      </c>
      <c r="CW167" s="22">
        <f t="shared" si="174"/>
        <v>3.9806453659427267E-12</v>
      </c>
      <c r="CX167" s="62">
        <f t="shared" si="122"/>
        <v>293.33333333333729</v>
      </c>
      <c r="CY167" s="62">
        <f ca="1">AVERAGE(OFFSET($CX$3,0,0,'Données projet'!$E$13+1,1))-AVERAGE(OFFSET($H$3,0,0,'Données projet'!$E$13+1,1))</f>
        <v>311.53750850588153</v>
      </c>
      <c r="CZ167" s="62">
        <f t="shared" si="150"/>
        <v>304.84379909635476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-9.2222762759774927E-14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256.19915261735281</v>
      </c>
      <c r="DU167" s="62">
        <f t="shared" si="152"/>
        <v>297.47246687305056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5.4092197387944907E-14</v>
      </c>
      <c r="EL167" s="14">
        <f t="shared" si="179"/>
        <v>8.7287050538073676E-13</v>
      </c>
      <c r="EM167" s="22">
        <f t="shared" si="180"/>
        <v>1.6144600406554537E-12</v>
      </c>
      <c r="EN167" s="62">
        <f t="shared" si="128"/>
        <v>293.33333333333491</v>
      </c>
      <c r="EO167" s="62">
        <f ca="1">AVERAGE(OFFSET($EN$3,0,0,'Données projet'!$E$15+1,1))-AVERAGE(OFFSET($H$3,0,0,'Données projet'!$E$15+1,1))</f>
        <v>406.24139966722936</v>
      </c>
      <c r="EP167" s="62">
        <f t="shared" si="154"/>
        <v>295.95724296920577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1.1368683772161603E-13</v>
      </c>
      <c r="FF167" s="18">
        <f>FE167*VLOOKUP('Données projet'!$B$16,Paramètres!$A$1:$I$89,3,0)*VLOOKUP('Données projet'!$B$16,Paramètres!$A$1:$I$89,5,0)</f>
        <v>8.8675733422860506E-14</v>
      </c>
      <c r="FG167" s="14">
        <f t="shared" si="182"/>
        <v>1.3509285393066301E-12</v>
      </c>
      <c r="FH167" s="22">
        <f t="shared" si="183"/>
        <v>2.5073107750038623E-12</v>
      </c>
      <c r="FI167" s="62">
        <f t="shared" si="131"/>
        <v>293.33333333333582</v>
      </c>
      <c r="FJ167" s="62">
        <f ca="1">AVERAGE(OFFSET($FI$3,0,0,'Données projet'!$E$16+1,1))-AVERAGE(OFFSET($H$3,0,0,'Données projet'!$E$16+1,1))</f>
        <v>292.57482726862594</v>
      </c>
      <c r="FK167" s="62">
        <f t="shared" si="156"/>
        <v>283.48738729114024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-1.1368683772161603E-13</v>
      </c>
      <c r="GA167" s="18">
        <f>FZ167*VLOOKUP('Données projet'!$B$17,Paramètres!$A$1:$I$89,3,0)*VLOOKUP('Données projet'!$B$17,Paramètres!$A$1:$I$89,5,0)</f>
        <v>-1.0995790944434703E-13</v>
      </c>
      <c r="GB167" s="14" t="e">
        <f t="shared" si="185"/>
        <v>#NUM!</v>
      </c>
      <c r="GC167" s="22" t="e">
        <f t="shared" si="186"/>
        <v>#NUM!</v>
      </c>
      <c r="GD167" s="62" t="e">
        <f t="shared" si="134"/>
        <v>#NUM!</v>
      </c>
      <c r="GE167" s="62">
        <f ca="1">AVERAGE(OFFSET($GD$3,0,0,'Données projet'!$E$17+1,1))-AVERAGE(OFFSET($H$3,0,0,'Données projet'!$E$17+1,1))</f>
        <v>562.69380557620775</v>
      </c>
      <c r="GF167" s="62">
        <f t="shared" si="158"/>
        <v>294.45557293177131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-1.0286385077051818E-13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529.25712986118265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-9.7543306765146564E-14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446.86777652265448</v>
      </c>
      <c r="AO168" s="62">
        <f t="shared" si="144"/>
        <v>230.82970731138215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-4.5224624045658861E-14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370.59298168107364</v>
      </c>
      <c r="BJ168" s="62">
        <f t="shared" si="146"/>
        <v>404.61777090709171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-4.1677594708744434E-14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344.45199703750711</v>
      </c>
      <c r="CE168" s="62">
        <f t="shared" si="148"/>
        <v>376.41441893222185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2.2737367544323206E-13</v>
      </c>
      <c r="CU168" s="18">
        <f>CT168*VLOOKUP('Données projet'!$B$13,Paramètres!$A$1:$I$89,3,0)*VLOOKUP('Données projet'!$B$13,Paramètres!$A$1:$I$89,5,0)</f>
        <v>1.4897523215040565E-13</v>
      </c>
      <c r="CV168" s="14">
        <f t="shared" si="173"/>
        <v>2.136562777003313E-12</v>
      </c>
      <c r="CW168" s="22">
        <f t="shared" si="174"/>
        <v>3.9806453659427267E-12</v>
      </c>
      <c r="CX168" s="62">
        <f t="shared" si="122"/>
        <v>293.33333333333729</v>
      </c>
      <c r="CY168" s="62">
        <f ca="1">AVERAGE(OFFSET($CX$3,0,0,'Données projet'!$E$13+1,1))-AVERAGE(OFFSET($H$3,0,0,'Données projet'!$E$13+1,1))</f>
        <v>311.53750850588153</v>
      </c>
      <c r="CZ168" s="62">
        <f t="shared" si="150"/>
        <v>304.84379909635476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-9.2222762759774927E-14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256.19915261735281</v>
      </c>
      <c r="DU168" s="62">
        <f t="shared" si="152"/>
        <v>297.47246687305056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5.4092197387944907E-14</v>
      </c>
      <c r="EL168" s="14">
        <f t="shared" si="179"/>
        <v>8.7287050538073676E-13</v>
      </c>
      <c r="EM168" s="22">
        <f t="shared" si="180"/>
        <v>1.6144600406554537E-12</v>
      </c>
      <c r="EN168" s="62">
        <f t="shared" si="128"/>
        <v>293.33333333333491</v>
      </c>
      <c r="EO168" s="62">
        <f ca="1">AVERAGE(OFFSET($EN$3,0,0,'Données projet'!$E$15+1,1))-AVERAGE(OFFSET($H$3,0,0,'Données projet'!$E$15+1,1))</f>
        <v>406.24139966722936</v>
      </c>
      <c r="EP168" s="62">
        <f t="shared" si="154"/>
        <v>295.95724296920577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1.1368683772161603E-13</v>
      </c>
      <c r="FF168" s="18">
        <f>FE168*VLOOKUP('Données projet'!$B$16,Paramètres!$A$1:$I$89,3,0)*VLOOKUP('Données projet'!$B$16,Paramètres!$A$1:$I$89,5,0)</f>
        <v>8.8675733422860506E-14</v>
      </c>
      <c r="FG168" s="14">
        <f t="shared" si="182"/>
        <v>1.3509285393066301E-12</v>
      </c>
      <c r="FH168" s="22">
        <f t="shared" si="183"/>
        <v>2.5073107750038623E-12</v>
      </c>
      <c r="FI168" s="62">
        <f t="shared" si="131"/>
        <v>293.33333333333582</v>
      </c>
      <c r="FJ168" s="62">
        <f ca="1">AVERAGE(OFFSET($FI$3,0,0,'Données projet'!$E$16+1,1))-AVERAGE(OFFSET($H$3,0,0,'Données projet'!$E$16+1,1))</f>
        <v>292.57482726862594</v>
      </c>
      <c r="FK168" s="62">
        <f t="shared" si="156"/>
        <v>283.48738729114024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-1.1368683772161603E-13</v>
      </c>
      <c r="GA168" s="18">
        <f>FZ168*VLOOKUP('Données projet'!$B$17,Paramètres!$A$1:$I$89,3,0)*VLOOKUP('Données projet'!$B$17,Paramètres!$A$1:$I$89,5,0)</f>
        <v>-1.0995790944434703E-13</v>
      </c>
      <c r="GB168" s="14" t="e">
        <f t="shared" si="185"/>
        <v>#NUM!</v>
      </c>
      <c r="GC168" s="22" t="e">
        <f t="shared" si="186"/>
        <v>#NUM!</v>
      </c>
      <c r="GD168" s="62" t="e">
        <f t="shared" si="134"/>
        <v>#NUM!</v>
      </c>
      <c r="GE168" s="62">
        <f ca="1">AVERAGE(OFFSET($GD$3,0,0,'Données projet'!$E$17+1,1))-AVERAGE(OFFSET($H$3,0,0,'Données projet'!$E$17+1,1))</f>
        <v>562.69380557620775</v>
      </c>
      <c r="GF168" s="62">
        <f t="shared" si="158"/>
        <v>294.45557293177131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-1.0286385077051818E-13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529.25712986118265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-9.7543306765146564E-14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446.86777652265448</v>
      </c>
      <c r="AO169" s="62">
        <f t="shared" si="144"/>
        <v>230.82970731138215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-4.5224624045658861E-14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370.59298168107364</v>
      </c>
      <c r="BJ169" s="62">
        <f t="shared" si="146"/>
        <v>404.61777090709171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-4.1677594708744434E-14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344.45199703750711</v>
      </c>
      <c r="CE169" s="62">
        <f t="shared" si="148"/>
        <v>376.41441893222185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2.2737367544323206E-13</v>
      </c>
      <c r="CU169" s="18">
        <f>CT169*VLOOKUP('Données projet'!$B$13,Paramètres!$A$1:$I$89,3,0)*VLOOKUP('Données projet'!$B$13,Paramètres!$A$1:$I$89,5,0)</f>
        <v>1.4897523215040565E-13</v>
      </c>
      <c r="CV169" s="14">
        <f t="shared" si="173"/>
        <v>2.136562777003313E-12</v>
      </c>
      <c r="CW169" s="22">
        <f t="shared" si="174"/>
        <v>3.9806453659427267E-12</v>
      </c>
      <c r="CX169" s="62">
        <f t="shared" si="122"/>
        <v>293.33333333333729</v>
      </c>
      <c r="CY169" s="62">
        <f ca="1">AVERAGE(OFFSET($CX$3,0,0,'Données projet'!$E$13+1,1))-AVERAGE(OFFSET($H$3,0,0,'Données projet'!$E$13+1,1))</f>
        <v>311.53750850588153</v>
      </c>
      <c r="CZ169" s="62">
        <f t="shared" si="150"/>
        <v>304.84379909635476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-9.2222762759774927E-14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256.19915261735281</v>
      </c>
      <c r="DU169" s="62">
        <f t="shared" si="152"/>
        <v>297.47246687305056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5.4092197387944907E-14</v>
      </c>
      <c r="EL169" s="14">
        <f t="shared" si="179"/>
        <v>8.7287050538073676E-13</v>
      </c>
      <c r="EM169" s="22">
        <f t="shared" si="180"/>
        <v>1.6144600406554537E-12</v>
      </c>
      <c r="EN169" s="62">
        <f t="shared" si="128"/>
        <v>293.33333333333491</v>
      </c>
      <c r="EO169" s="62">
        <f ca="1">AVERAGE(OFFSET($EN$3,0,0,'Données projet'!$E$15+1,1))-AVERAGE(OFFSET($H$3,0,0,'Données projet'!$E$15+1,1))</f>
        <v>406.24139966722936</v>
      </c>
      <c r="EP169" s="62">
        <f t="shared" si="154"/>
        <v>295.95724296920577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1.1368683772161603E-13</v>
      </c>
      <c r="FF169" s="18">
        <f>FE169*VLOOKUP('Données projet'!$B$16,Paramètres!$A$1:$I$89,3,0)*VLOOKUP('Données projet'!$B$16,Paramètres!$A$1:$I$89,5,0)</f>
        <v>8.8675733422860506E-14</v>
      </c>
      <c r="FG169" s="14">
        <f t="shared" si="182"/>
        <v>1.3509285393066301E-12</v>
      </c>
      <c r="FH169" s="22">
        <f t="shared" si="183"/>
        <v>2.5073107750038623E-12</v>
      </c>
      <c r="FI169" s="62">
        <f t="shared" si="131"/>
        <v>293.33333333333582</v>
      </c>
      <c r="FJ169" s="62">
        <f ca="1">AVERAGE(OFFSET($FI$3,0,0,'Données projet'!$E$16+1,1))-AVERAGE(OFFSET($H$3,0,0,'Données projet'!$E$16+1,1))</f>
        <v>292.57482726862594</v>
      </c>
      <c r="FK169" s="62">
        <f t="shared" si="156"/>
        <v>283.48738729114024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-1.1368683772161603E-13</v>
      </c>
      <c r="GA169" s="18">
        <f>FZ169*VLOOKUP('Données projet'!$B$17,Paramètres!$A$1:$I$89,3,0)*VLOOKUP('Données projet'!$B$17,Paramètres!$A$1:$I$89,5,0)</f>
        <v>-1.0995790944434703E-13</v>
      </c>
      <c r="GB169" s="14" t="e">
        <f t="shared" si="185"/>
        <v>#NUM!</v>
      </c>
      <c r="GC169" s="22" t="e">
        <f t="shared" si="186"/>
        <v>#NUM!</v>
      </c>
      <c r="GD169" s="62" t="e">
        <f t="shared" si="134"/>
        <v>#NUM!</v>
      </c>
      <c r="GE169" s="62">
        <f ca="1">AVERAGE(OFFSET($GD$3,0,0,'Données projet'!$E$17+1,1))-AVERAGE(OFFSET($H$3,0,0,'Données projet'!$E$17+1,1))</f>
        <v>562.69380557620775</v>
      </c>
      <c r="GF169" s="62">
        <f t="shared" si="158"/>
        <v>294.45557293177131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-1.0286385077051818E-13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529.25712986118265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-9.7543306765146564E-14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446.86777652265448</v>
      </c>
      <c r="AO170" s="62">
        <f t="shared" si="144"/>
        <v>230.82970731138215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-4.5224624045658861E-14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370.59298168107364</v>
      </c>
      <c r="BJ170" s="62">
        <f t="shared" si="146"/>
        <v>404.61777090709171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-4.1677594708744434E-14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344.45199703750711</v>
      </c>
      <c r="CE170" s="62">
        <f t="shared" si="148"/>
        <v>376.41441893222185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2.2737367544323206E-13</v>
      </c>
      <c r="CU170" s="18">
        <f>CT170*VLOOKUP('Données projet'!$B$13,Paramètres!$A$1:$I$89,3,0)*VLOOKUP('Données projet'!$B$13,Paramètres!$A$1:$I$89,5,0)</f>
        <v>1.4897523215040565E-13</v>
      </c>
      <c r="CV170" s="14">
        <f t="shared" si="173"/>
        <v>2.136562777003313E-12</v>
      </c>
      <c r="CW170" s="22">
        <f t="shared" si="174"/>
        <v>3.9806453659427267E-12</v>
      </c>
      <c r="CX170" s="62">
        <f t="shared" si="122"/>
        <v>293.33333333333729</v>
      </c>
      <c r="CY170" s="62">
        <f ca="1">AVERAGE(OFFSET($CX$3,0,0,'Données projet'!$E$13+1,1))-AVERAGE(OFFSET($H$3,0,0,'Données projet'!$E$13+1,1))</f>
        <v>311.53750850588153</v>
      </c>
      <c r="CZ170" s="62">
        <f t="shared" si="150"/>
        <v>304.84379909635476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-9.2222762759774927E-14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256.19915261735281</v>
      </c>
      <c r="DU170" s="62">
        <f t="shared" si="152"/>
        <v>297.47246687305056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5.4092197387944907E-14</v>
      </c>
      <c r="EL170" s="14">
        <f t="shared" si="179"/>
        <v>8.7287050538073676E-13</v>
      </c>
      <c r="EM170" s="22">
        <f t="shared" si="180"/>
        <v>1.6144600406554537E-12</v>
      </c>
      <c r="EN170" s="62">
        <f t="shared" si="128"/>
        <v>293.33333333333491</v>
      </c>
      <c r="EO170" s="62">
        <f ca="1">AVERAGE(OFFSET($EN$3,0,0,'Données projet'!$E$15+1,1))-AVERAGE(OFFSET($H$3,0,0,'Données projet'!$E$15+1,1))</f>
        <v>406.24139966722936</v>
      </c>
      <c r="EP170" s="62">
        <f t="shared" si="154"/>
        <v>295.95724296920577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1.1368683772161603E-13</v>
      </c>
      <c r="FF170" s="18">
        <f>FE170*VLOOKUP('Données projet'!$B$16,Paramètres!$A$1:$I$89,3,0)*VLOOKUP('Données projet'!$B$16,Paramètres!$A$1:$I$89,5,0)</f>
        <v>8.8675733422860506E-14</v>
      </c>
      <c r="FG170" s="14">
        <f t="shared" si="182"/>
        <v>1.3509285393066301E-12</v>
      </c>
      <c r="FH170" s="22">
        <f t="shared" si="183"/>
        <v>2.5073107750038623E-12</v>
      </c>
      <c r="FI170" s="62">
        <f t="shared" si="131"/>
        <v>293.33333333333582</v>
      </c>
      <c r="FJ170" s="62">
        <f ca="1">AVERAGE(OFFSET($FI$3,0,0,'Données projet'!$E$16+1,1))-AVERAGE(OFFSET($H$3,0,0,'Données projet'!$E$16+1,1))</f>
        <v>292.57482726862594</v>
      </c>
      <c r="FK170" s="62">
        <f t="shared" si="156"/>
        <v>283.48738729114024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-1.1368683772161603E-13</v>
      </c>
      <c r="GA170" s="18">
        <f>FZ170*VLOOKUP('Données projet'!$B$17,Paramètres!$A$1:$I$89,3,0)*VLOOKUP('Données projet'!$B$17,Paramètres!$A$1:$I$89,5,0)</f>
        <v>-1.0995790944434703E-13</v>
      </c>
      <c r="GB170" s="14" t="e">
        <f t="shared" si="185"/>
        <v>#NUM!</v>
      </c>
      <c r="GC170" s="22" t="e">
        <f t="shared" si="186"/>
        <v>#NUM!</v>
      </c>
      <c r="GD170" s="62" t="e">
        <f t="shared" si="134"/>
        <v>#NUM!</v>
      </c>
      <c r="GE170" s="62">
        <f ca="1">AVERAGE(OFFSET($GD$3,0,0,'Données projet'!$E$17+1,1))-AVERAGE(OFFSET($H$3,0,0,'Données projet'!$E$17+1,1))</f>
        <v>562.69380557620775</v>
      </c>
      <c r="GF170" s="62">
        <f t="shared" si="158"/>
        <v>294.45557293177131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-1.0286385077051818E-13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529.25712986118265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-9.7543306765146564E-14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446.86777652265448</v>
      </c>
      <c r="AO171" s="62">
        <f t="shared" si="144"/>
        <v>230.82970731138215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-4.5224624045658861E-14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370.59298168107364</v>
      </c>
      <c r="BJ171" s="62">
        <f t="shared" si="146"/>
        <v>404.61777090709171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-4.1677594708744434E-14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344.45199703750711</v>
      </c>
      <c r="CE171" s="62">
        <f t="shared" si="148"/>
        <v>376.41441893222185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2.2737367544323206E-13</v>
      </c>
      <c r="CU171" s="18">
        <f>CT171*VLOOKUP('Données projet'!$B$13,Paramètres!$A$1:$I$89,3,0)*VLOOKUP('Données projet'!$B$13,Paramètres!$A$1:$I$89,5,0)</f>
        <v>1.4897523215040565E-13</v>
      </c>
      <c r="CV171" s="14">
        <f t="shared" si="173"/>
        <v>2.136562777003313E-12</v>
      </c>
      <c r="CW171" s="22">
        <f t="shared" si="174"/>
        <v>3.9806453659427267E-12</v>
      </c>
      <c r="CX171" s="62">
        <f t="shared" si="122"/>
        <v>293.33333333333729</v>
      </c>
      <c r="CY171" s="62">
        <f ca="1">AVERAGE(OFFSET($CX$3,0,0,'Données projet'!$E$13+1,1))-AVERAGE(OFFSET($H$3,0,0,'Données projet'!$E$13+1,1))</f>
        <v>311.53750850588153</v>
      </c>
      <c r="CZ171" s="62">
        <f t="shared" si="150"/>
        <v>304.84379909635476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-9.2222762759774927E-14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256.19915261735281</v>
      </c>
      <c r="DU171" s="62">
        <f t="shared" si="152"/>
        <v>297.47246687305056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5.4092197387944907E-14</v>
      </c>
      <c r="EL171" s="14">
        <f t="shared" si="179"/>
        <v>8.7287050538073676E-13</v>
      </c>
      <c r="EM171" s="22">
        <f t="shared" si="180"/>
        <v>1.6144600406554537E-12</v>
      </c>
      <c r="EN171" s="62">
        <f t="shared" si="128"/>
        <v>293.33333333333491</v>
      </c>
      <c r="EO171" s="62">
        <f ca="1">AVERAGE(OFFSET($EN$3,0,0,'Données projet'!$E$15+1,1))-AVERAGE(OFFSET($H$3,0,0,'Données projet'!$E$15+1,1))</f>
        <v>406.24139966722936</v>
      </c>
      <c r="EP171" s="62">
        <f t="shared" si="154"/>
        <v>295.95724296920577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1.1368683772161603E-13</v>
      </c>
      <c r="FF171" s="18">
        <f>FE171*VLOOKUP('Données projet'!$B$16,Paramètres!$A$1:$I$89,3,0)*VLOOKUP('Données projet'!$B$16,Paramètres!$A$1:$I$89,5,0)</f>
        <v>8.8675733422860506E-14</v>
      </c>
      <c r="FG171" s="14">
        <f t="shared" si="182"/>
        <v>1.3509285393066301E-12</v>
      </c>
      <c r="FH171" s="22">
        <f t="shared" si="183"/>
        <v>2.5073107750038623E-12</v>
      </c>
      <c r="FI171" s="62">
        <f t="shared" si="131"/>
        <v>293.33333333333582</v>
      </c>
      <c r="FJ171" s="62">
        <f ca="1">AVERAGE(OFFSET($FI$3,0,0,'Données projet'!$E$16+1,1))-AVERAGE(OFFSET($H$3,0,0,'Données projet'!$E$16+1,1))</f>
        <v>292.57482726862594</v>
      </c>
      <c r="FK171" s="62">
        <f t="shared" si="156"/>
        <v>283.48738729114024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-1.1368683772161603E-13</v>
      </c>
      <c r="GA171" s="18">
        <f>FZ171*VLOOKUP('Données projet'!$B$17,Paramètres!$A$1:$I$89,3,0)*VLOOKUP('Données projet'!$B$17,Paramètres!$A$1:$I$89,5,0)</f>
        <v>-1.0995790944434703E-13</v>
      </c>
      <c r="GB171" s="14" t="e">
        <f t="shared" si="185"/>
        <v>#NUM!</v>
      </c>
      <c r="GC171" s="22" t="e">
        <f t="shared" si="186"/>
        <v>#NUM!</v>
      </c>
      <c r="GD171" s="62" t="e">
        <f t="shared" si="134"/>
        <v>#NUM!</v>
      </c>
      <c r="GE171" s="62">
        <f ca="1">AVERAGE(OFFSET($GD$3,0,0,'Données projet'!$E$17+1,1))-AVERAGE(OFFSET($H$3,0,0,'Données projet'!$E$17+1,1))</f>
        <v>562.69380557620775</v>
      </c>
      <c r="GF171" s="62">
        <f t="shared" si="158"/>
        <v>294.45557293177131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-1.0286385077051818E-13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529.25712986118265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-9.7543306765146564E-14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446.86777652265448</v>
      </c>
      <c r="AO172" s="62">
        <f t="shared" si="144"/>
        <v>230.82970731138215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-4.5224624045658861E-14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370.59298168107364</v>
      </c>
      <c r="BJ172" s="62">
        <f t="shared" si="146"/>
        <v>404.61777090709171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-4.1677594708744434E-14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344.45199703750711</v>
      </c>
      <c r="CE172" s="62">
        <f t="shared" si="148"/>
        <v>376.41441893222185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2.2737367544323206E-13</v>
      </c>
      <c r="CU172" s="18">
        <f>CT172*VLOOKUP('Données projet'!$B$13,Paramètres!$A$1:$I$89,3,0)*VLOOKUP('Données projet'!$B$13,Paramètres!$A$1:$I$89,5,0)</f>
        <v>1.4897523215040565E-13</v>
      </c>
      <c r="CV172" s="14">
        <f t="shared" si="173"/>
        <v>2.136562777003313E-12</v>
      </c>
      <c r="CW172" s="22">
        <f t="shared" si="174"/>
        <v>3.9806453659427267E-12</v>
      </c>
      <c r="CX172" s="62">
        <f t="shared" si="122"/>
        <v>293.33333333333729</v>
      </c>
      <c r="CY172" s="62">
        <f ca="1">AVERAGE(OFFSET($CX$3,0,0,'Données projet'!$E$13+1,1))-AVERAGE(OFFSET($H$3,0,0,'Données projet'!$E$13+1,1))</f>
        <v>311.53750850588153</v>
      </c>
      <c r="CZ172" s="62">
        <f t="shared" si="150"/>
        <v>304.84379909635476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-9.2222762759774927E-14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256.19915261735281</v>
      </c>
      <c r="DU172" s="62">
        <f t="shared" si="152"/>
        <v>297.47246687305056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5.4092197387944907E-14</v>
      </c>
      <c r="EL172" s="14">
        <f t="shared" si="179"/>
        <v>8.7287050538073676E-13</v>
      </c>
      <c r="EM172" s="22">
        <f t="shared" si="180"/>
        <v>1.6144600406554537E-12</v>
      </c>
      <c r="EN172" s="62">
        <f t="shared" si="128"/>
        <v>293.33333333333491</v>
      </c>
      <c r="EO172" s="62">
        <f ca="1">AVERAGE(OFFSET($EN$3,0,0,'Données projet'!$E$15+1,1))-AVERAGE(OFFSET($H$3,0,0,'Données projet'!$E$15+1,1))</f>
        <v>406.24139966722936</v>
      </c>
      <c r="EP172" s="62">
        <f t="shared" si="154"/>
        <v>295.95724296920577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1.1368683772161603E-13</v>
      </c>
      <c r="FF172" s="18">
        <f>FE172*VLOOKUP('Données projet'!$B$16,Paramètres!$A$1:$I$89,3,0)*VLOOKUP('Données projet'!$B$16,Paramètres!$A$1:$I$89,5,0)</f>
        <v>8.8675733422860506E-14</v>
      </c>
      <c r="FG172" s="14">
        <f t="shared" si="182"/>
        <v>1.3509285393066301E-12</v>
      </c>
      <c r="FH172" s="22">
        <f t="shared" si="183"/>
        <v>2.5073107750038623E-12</v>
      </c>
      <c r="FI172" s="62">
        <f t="shared" si="131"/>
        <v>293.33333333333582</v>
      </c>
      <c r="FJ172" s="62">
        <f ca="1">AVERAGE(OFFSET($FI$3,0,0,'Données projet'!$E$16+1,1))-AVERAGE(OFFSET($H$3,0,0,'Données projet'!$E$16+1,1))</f>
        <v>292.57482726862594</v>
      </c>
      <c r="FK172" s="62">
        <f t="shared" si="156"/>
        <v>283.48738729114024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-1.1368683772161603E-13</v>
      </c>
      <c r="GA172" s="18">
        <f>FZ172*VLOOKUP('Données projet'!$B$17,Paramètres!$A$1:$I$89,3,0)*VLOOKUP('Données projet'!$B$17,Paramètres!$A$1:$I$89,5,0)</f>
        <v>-1.0995790944434703E-13</v>
      </c>
      <c r="GB172" s="14" t="e">
        <f t="shared" si="185"/>
        <v>#NUM!</v>
      </c>
      <c r="GC172" s="22" t="e">
        <f t="shared" si="186"/>
        <v>#NUM!</v>
      </c>
      <c r="GD172" s="62" t="e">
        <f t="shared" si="134"/>
        <v>#NUM!</v>
      </c>
      <c r="GE172" s="62">
        <f ca="1">AVERAGE(OFFSET($GD$3,0,0,'Données projet'!$E$17+1,1))-AVERAGE(OFFSET($H$3,0,0,'Données projet'!$E$17+1,1))</f>
        <v>562.69380557620775</v>
      </c>
      <c r="GF172" s="62">
        <f t="shared" si="158"/>
        <v>294.45557293177131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-1.0286385077051818E-13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529.25712986118265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-9.7543306765146564E-14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446.86777652265448</v>
      </c>
      <c r="AO173" s="62">
        <f t="shared" si="144"/>
        <v>230.82970731138215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-4.5224624045658861E-14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370.59298168107364</v>
      </c>
      <c r="BJ173" s="62">
        <f t="shared" si="146"/>
        <v>404.61777090709171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-4.1677594708744434E-14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344.45199703750711</v>
      </c>
      <c r="CE173" s="62">
        <f t="shared" si="148"/>
        <v>376.41441893222185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2.2737367544323206E-13</v>
      </c>
      <c r="CU173" s="18">
        <f>CT173*VLOOKUP('Données projet'!$B$13,Paramètres!$A$1:$I$89,3,0)*VLOOKUP('Données projet'!$B$13,Paramètres!$A$1:$I$89,5,0)</f>
        <v>1.4897523215040565E-13</v>
      </c>
      <c r="CV173" s="14">
        <f t="shared" si="173"/>
        <v>2.136562777003313E-12</v>
      </c>
      <c r="CW173" s="22">
        <f t="shared" si="174"/>
        <v>3.9806453659427267E-12</v>
      </c>
      <c r="CX173" s="62">
        <f t="shared" si="122"/>
        <v>293.33333333333729</v>
      </c>
      <c r="CY173" s="62">
        <f ca="1">AVERAGE(OFFSET($CX$3,0,0,'Données projet'!$E$13+1,1))-AVERAGE(OFFSET($H$3,0,0,'Données projet'!$E$13+1,1))</f>
        <v>311.53750850588153</v>
      </c>
      <c r="CZ173" s="62">
        <f t="shared" si="150"/>
        <v>304.84379909635476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-9.2222762759774927E-14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256.19915261735281</v>
      </c>
      <c r="DU173" s="62">
        <f t="shared" si="152"/>
        <v>297.47246687305056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5.4092197387944907E-14</v>
      </c>
      <c r="EL173" s="14">
        <f t="shared" si="179"/>
        <v>8.7287050538073676E-13</v>
      </c>
      <c r="EM173" s="22">
        <f t="shared" si="180"/>
        <v>1.6144600406554537E-12</v>
      </c>
      <c r="EN173" s="62">
        <f t="shared" si="128"/>
        <v>293.33333333333491</v>
      </c>
      <c r="EO173" s="62">
        <f ca="1">AVERAGE(OFFSET($EN$3,0,0,'Données projet'!$E$15+1,1))-AVERAGE(OFFSET($H$3,0,0,'Données projet'!$E$15+1,1))</f>
        <v>406.24139966722936</v>
      </c>
      <c r="EP173" s="62">
        <f t="shared" si="154"/>
        <v>295.95724296920577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1.1368683772161603E-13</v>
      </c>
      <c r="FF173" s="18">
        <f>FE173*VLOOKUP('Données projet'!$B$16,Paramètres!$A$1:$I$89,3,0)*VLOOKUP('Données projet'!$B$16,Paramètres!$A$1:$I$89,5,0)</f>
        <v>8.8675733422860506E-14</v>
      </c>
      <c r="FG173" s="14">
        <f t="shared" si="182"/>
        <v>1.3509285393066301E-12</v>
      </c>
      <c r="FH173" s="22">
        <f t="shared" si="183"/>
        <v>2.5073107750038623E-12</v>
      </c>
      <c r="FI173" s="62">
        <f t="shared" si="131"/>
        <v>293.33333333333582</v>
      </c>
      <c r="FJ173" s="62">
        <f ca="1">AVERAGE(OFFSET($FI$3,0,0,'Données projet'!$E$16+1,1))-AVERAGE(OFFSET($H$3,0,0,'Données projet'!$E$16+1,1))</f>
        <v>292.57482726862594</v>
      </c>
      <c r="FK173" s="62">
        <f t="shared" si="156"/>
        <v>283.48738729114024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-1.1368683772161603E-13</v>
      </c>
      <c r="GA173" s="18">
        <f>FZ173*VLOOKUP('Données projet'!$B$17,Paramètres!$A$1:$I$89,3,0)*VLOOKUP('Données projet'!$B$17,Paramètres!$A$1:$I$89,5,0)</f>
        <v>-1.0995790944434703E-13</v>
      </c>
      <c r="GB173" s="14" t="e">
        <f t="shared" si="185"/>
        <v>#NUM!</v>
      </c>
      <c r="GC173" s="22" t="e">
        <f t="shared" si="186"/>
        <v>#NUM!</v>
      </c>
      <c r="GD173" s="62" t="e">
        <f t="shared" si="134"/>
        <v>#NUM!</v>
      </c>
      <c r="GE173" s="62">
        <f ca="1">AVERAGE(OFFSET($GD$3,0,0,'Données projet'!$E$17+1,1))-AVERAGE(OFFSET($H$3,0,0,'Données projet'!$E$17+1,1))</f>
        <v>562.69380557620775</v>
      </c>
      <c r="GF173" s="62">
        <f t="shared" si="158"/>
        <v>294.45557293177131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-1.0286385077051818E-13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529.25712986118265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-9.7543306765146564E-14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446.86777652265448</v>
      </c>
      <c r="AO174" s="62">
        <f t="shared" si="144"/>
        <v>230.82970731138215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-4.5224624045658861E-14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370.59298168107364</v>
      </c>
      <c r="BJ174" s="62">
        <f t="shared" si="146"/>
        <v>404.61777090709171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-4.1677594708744434E-14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344.45199703750711</v>
      </c>
      <c r="CE174" s="62">
        <f t="shared" si="148"/>
        <v>376.41441893222185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2.2737367544323206E-13</v>
      </c>
      <c r="CU174" s="18">
        <f>CT174*VLOOKUP('Données projet'!$B$13,Paramètres!$A$1:$I$89,3,0)*VLOOKUP('Données projet'!$B$13,Paramètres!$A$1:$I$89,5,0)</f>
        <v>1.4897523215040565E-13</v>
      </c>
      <c r="CV174" s="14">
        <f t="shared" si="173"/>
        <v>2.136562777003313E-12</v>
      </c>
      <c r="CW174" s="22">
        <f t="shared" si="174"/>
        <v>3.9806453659427267E-12</v>
      </c>
      <c r="CX174" s="62">
        <f t="shared" si="122"/>
        <v>293.33333333333729</v>
      </c>
      <c r="CY174" s="62">
        <f ca="1">AVERAGE(OFFSET($CX$3,0,0,'Données projet'!$E$13+1,1))-AVERAGE(OFFSET($H$3,0,0,'Données projet'!$E$13+1,1))</f>
        <v>311.53750850588153</v>
      </c>
      <c r="CZ174" s="62">
        <f t="shared" si="150"/>
        <v>304.84379909635476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-9.2222762759774927E-14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256.19915261735281</v>
      </c>
      <c r="DU174" s="62">
        <f t="shared" si="152"/>
        <v>297.47246687305056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5.4092197387944907E-14</v>
      </c>
      <c r="EL174" s="14">
        <f t="shared" si="179"/>
        <v>8.7287050538073676E-13</v>
      </c>
      <c r="EM174" s="22">
        <f t="shared" si="180"/>
        <v>1.6144600406554537E-12</v>
      </c>
      <c r="EN174" s="62">
        <f t="shared" si="128"/>
        <v>293.33333333333491</v>
      </c>
      <c r="EO174" s="62">
        <f ca="1">AVERAGE(OFFSET($EN$3,0,0,'Données projet'!$E$15+1,1))-AVERAGE(OFFSET($H$3,0,0,'Données projet'!$E$15+1,1))</f>
        <v>406.24139966722936</v>
      </c>
      <c r="EP174" s="62">
        <f t="shared" si="154"/>
        <v>295.95724296920577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1.1368683772161603E-13</v>
      </c>
      <c r="FF174" s="18">
        <f>FE174*VLOOKUP('Données projet'!$B$16,Paramètres!$A$1:$I$89,3,0)*VLOOKUP('Données projet'!$B$16,Paramètres!$A$1:$I$89,5,0)</f>
        <v>8.8675733422860506E-14</v>
      </c>
      <c r="FG174" s="14">
        <f t="shared" si="182"/>
        <v>1.3509285393066301E-12</v>
      </c>
      <c r="FH174" s="22">
        <f t="shared" si="183"/>
        <v>2.5073107750038623E-12</v>
      </c>
      <c r="FI174" s="62">
        <f t="shared" si="131"/>
        <v>293.33333333333582</v>
      </c>
      <c r="FJ174" s="62">
        <f ca="1">AVERAGE(OFFSET($FI$3,0,0,'Données projet'!$E$16+1,1))-AVERAGE(OFFSET($H$3,0,0,'Données projet'!$E$16+1,1))</f>
        <v>292.57482726862594</v>
      </c>
      <c r="FK174" s="62">
        <f t="shared" si="156"/>
        <v>283.48738729114024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-1.1368683772161603E-13</v>
      </c>
      <c r="GA174" s="18">
        <f>FZ174*VLOOKUP('Données projet'!$B$17,Paramètres!$A$1:$I$89,3,0)*VLOOKUP('Données projet'!$B$17,Paramètres!$A$1:$I$89,5,0)</f>
        <v>-1.0995790944434703E-13</v>
      </c>
      <c r="GB174" s="14" t="e">
        <f t="shared" si="185"/>
        <v>#NUM!</v>
      </c>
      <c r="GC174" s="22" t="e">
        <f t="shared" si="186"/>
        <v>#NUM!</v>
      </c>
      <c r="GD174" s="62" t="e">
        <f t="shared" si="134"/>
        <v>#NUM!</v>
      </c>
      <c r="GE174" s="62">
        <f ca="1">AVERAGE(OFFSET($GD$3,0,0,'Données projet'!$E$17+1,1))-AVERAGE(OFFSET($H$3,0,0,'Données projet'!$E$17+1,1))</f>
        <v>562.69380557620775</v>
      </c>
      <c r="GF174" s="62">
        <f t="shared" si="158"/>
        <v>294.45557293177131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-1.0286385077051818E-13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529.25712986118265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-9.7543306765146564E-14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446.86777652265448</v>
      </c>
      <c r="AO175" s="62">
        <f t="shared" si="144"/>
        <v>230.82970731138215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-4.5224624045658861E-14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370.59298168107364</v>
      </c>
      <c r="BJ175" s="62">
        <f t="shared" si="146"/>
        <v>404.61777090709171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-4.1677594708744434E-14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344.45199703750711</v>
      </c>
      <c r="CE175" s="62">
        <f t="shared" si="148"/>
        <v>376.41441893222185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2.2737367544323206E-13</v>
      </c>
      <c r="CU175" s="18">
        <f>CT175*VLOOKUP('Données projet'!$B$13,Paramètres!$A$1:$I$89,3,0)*VLOOKUP('Données projet'!$B$13,Paramètres!$A$1:$I$89,5,0)</f>
        <v>1.4897523215040565E-13</v>
      </c>
      <c r="CV175" s="14">
        <f t="shared" si="173"/>
        <v>2.136562777003313E-12</v>
      </c>
      <c r="CW175" s="22">
        <f t="shared" si="174"/>
        <v>3.9806453659427267E-12</v>
      </c>
      <c r="CX175" s="62">
        <f t="shared" si="122"/>
        <v>293.33333333333729</v>
      </c>
      <c r="CY175" s="62">
        <f ca="1">AVERAGE(OFFSET($CX$3,0,0,'Données projet'!$E$13+1,1))-AVERAGE(OFFSET($H$3,0,0,'Données projet'!$E$13+1,1))</f>
        <v>311.53750850588153</v>
      </c>
      <c r="CZ175" s="62">
        <f t="shared" si="150"/>
        <v>304.84379909635476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-9.2222762759774927E-14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256.19915261735281</v>
      </c>
      <c r="DU175" s="62">
        <f t="shared" si="152"/>
        <v>297.47246687305056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5.4092197387944907E-14</v>
      </c>
      <c r="EL175" s="14">
        <f t="shared" si="179"/>
        <v>8.7287050538073676E-13</v>
      </c>
      <c r="EM175" s="22">
        <f t="shared" si="180"/>
        <v>1.6144600406554537E-12</v>
      </c>
      <c r="EN175" s="62">
        <f t="shared" si="128"/>
        <v>293.33333333333491</v>
      </c>
      <c r="EO175" s="62">
        <f ca="1">AVERAGE(OFFSET($EN$3,0,0,'Données projet'!$E$15+1,1))-AVERAGE(OFFSET($H$3,0,0,'Données projet'!$E$15+1,1))</f>
        <v>406.24139966722936</v>
      </c>
      <c r="EP175" s="62">
        <f t="shared" si="154"/>
        <v>295.95724296920577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1.1368683772161603E-13</v>
      </c>
      <c r="FF175" s="18">
        <f>FE175*VLOOKUP('Données projet'!$B$16,Paramètres!$A$1:$I$89,3,0)*VLOOKUP('Données projet'!$B$16,Paramètres!$A$1:$I$89,5,0)</f>
        <v>8.8675733422860506E-14</v>
      </c>
      <c r="FG175" s="14">
        <f t="shared" si="182"/>
        <v>1.3509285393066301E-12</v>
      </c>
      <c r="FH175" s="22">
        <f t="shared" si="183"/>
        <v>2.5073107750038623E-12</v>
      </c>
      <c r="FI175" s="62">
        <f t="shared" si="131"/>
        <v>293.33333333333582</v>
      </c>
      <c r="FJ175" s="62">
        <f ca="1">AVERAGE(OFFSET($FI$3,0,0,'Données projet'!$E$16+1,1))-AVERAGE(OFFSET($H$3,0,0,'Données projet'!$E$16+1,1))</f>
        <v>292.57482726862594</v>
      </c>
      <c r="FK175" s="62">
        <f t="shared" si="156"/>
        <v>283.48738729114024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-1.1368683772161603E-13</v>
      </c>
      <c r="GA175" s="18">
        <f>FZ175*VLOOKUP('Données projet'!$B$17,Paramètres!$A$1:$I$89,3,0)*VLOOKUP('Données projet'!$B$17,Paramètres!$A$1:$I$89,5,0)</f>
        <v>-1.0995790944434703E-13</v>
      </c>
      <c r="GB175" s="14" t="e">
        <f t="shared" si="185"/>
        <v>#NUM!</v>
      </c>
      <c r="GC175" s="22" t="e">
        <f t="shared" si="186"/>
        <v>#NUM!</v>
      </c>
      <c r="GD175" s="62" t="e">
        <f t="shared" si="134"/>
        <v>#NUM!</v>
      </c>
      <c r="GE175" s="62">
        <f ca="1">AVERAGE(OFFSET($GD$3,0,0,'Données projet'!$E$17+1,1))-AVERAGE(OFFSET($H$3,0,0,'Données projet'!$E$17+1,1))</f>
        <v>562.69380557620775</v>
      </c>
      <c r="GF175" s="62">
        <f t="shared" si="158"/>
        <v>294.45557293177131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-1.0286385077051818E-13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529.25712986118265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-9.7543306765146564E-14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446.86777652265448</v>
      </c>
      <c r="AO176" s="62">
        <f t="shared" si="144"/>
        <v>230.82970731138215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-4.5224624045658861E-14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370.59298168107364</v>
      </c>
      <c r="BJ176" s="62">
        <f t="shared" si="146"/>
        <v>404.61777090709171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-4.1677594708744434E-14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344.45199703750711</v>
      </c>
      <c r="CE176" s="62">
        <f t="shared" si="148"/>
        <v>376.41441893222185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2.2737367544323206E-13</v>
      </c>
      <c r="CU176" s="18">
        <f>CT176*VLOOKUP('Données projet'!$B$13,Paramètres!$A$1:$I$89,3,0)*VLOOKUP('Données projet'!$B$13,Paramètres!$A$1:$I$89,5,0)</f>
        <v>1.4897523215040565E-13</v>
      </c>
      <c r="CV176" s="14">
        <f t="shared" si="173"/>
        <v>2.136562777003313E-12</v>
      </c>
      <c r="CW176" s="22">
        <f t="shared" si="174"/>
        <v>3.9806453659427267E-12</v>
      </c>
      <c r="CX176" s="62">
        <f t="shared" si="122"/>
        <v>293.33333333333729</v>
      </c>
      <c r="CY176" s="62">
        <f ca="1">AVERAGE(OFFSET($CX$3,0,0,'Données projet'!$E$13+1,1))-AVERAGE(OFFSET($H$3,0,0,'Données projet'!$E$13+1,1))</f>
        <v>311.53750850588153</v>
      </c>
      <c r="CZ176" s="62">
        <f t="shared" si="150"/>
        <v>304.84379909635476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-9.2222762759774927E-14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256.19915261735281</v>
      </c>
      <c r="DU176" s="62">
        <f t="shared" si="152"/>
        <v>297.47246687305056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5.4092197387944907E-14</v>
      </c>
      <c r="EL176" s="14">
        <f t="shared" si="179"/>
        <v>8.7287050538073676E-13</v>
      </c>
      <c r="EM176" s="22">
        <f t="shared" si="180"/>
        <v>1.6144600406554537E-12</v>
      </c>
      <c r="EN176" s="62">
        <f t="shared" si="128"/>
        <v>293.33333333333491</v>
      </c>
      <c r="EO176" s="62">
        <f ca="1">AVERAGE(OFFSET($EN$3,0,0,'Données projet'!$E$15+1,1))-AVERAGE(OFFSET($H$3,0,0,'Données projet'!$E$15+1,1))</f>
        <v>406.24139966722936</v>
      </c>
      <c r="EP176" s="62">
        <f t="shared" si="154"/>
        <v>295.95724296920577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1.1368683772161603E-13</v>
      </c>
      <c r="FF176" s="18">
        <f>FE176*VLOOKUP('Données projet'!$B$16,Paramètres!$A$1:$I$89,3,0)*VLOOKUP('Données projet'!$B$16,Paramètres!$A$1:$I$89,5,0)</f>
        <v>8.8675733422860506E-14</v>
      </c>
      <c r="FG176" s="14">
        <f t="shared" si="182"/>
        <v>1.3509285393066301E-12</v>
      </c>
      <c r="FH176" s="22">
        <f t="shared" si="183"/>
        <v>2.5073107750038623E-12</v>
      </c>
      <c r="FI176" s="62">
        <f t="shared" si="131"/>
        <v>293.33333333333582</v>
      </c>
      <c r="FJ176" s="62">
        <f ca="1">AVERAGE(OFFSET($FI$3,0,0,'Données projet'!$E$16+1,1))-AVERAGE(OFFSET($H$3,0,0,'Données projet'!$E$16+1,1))</f>
        <v>292.57482726862594</v>
      </c>
      <c r="FK176" s="62">
        <f t="shared" si="156"/>
        <v>283.48738729114024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-1.1368683772161603E-13</v>
      </c>
      <c r="GA176" s="18">
        <f>FZ176*VLOOKUP('Données projet'!$B$17,Paramètres!$A$1:$I$89,3,0)*VLOOKUP('Données projet'!$B$17,Paramètres!$A$1:$I$89,5,0)</f>
        <v>-1.0995790944434703E-13</v>
      </c>
      <c r="GB176" s="14" t="e">
        <f t="shared" si="185"/>
        <v>#NUM!</v>
      </c>
      <c r="GC176" s="22" t="e">
        <f t="shared" si="186"/>
        <v>#NUM!</v>
      </c>
      <c r="GD176" s="62" t="e">
        <f t="shared" si="134"/>
        <v>#NUM!</v>
      </c>
      <c r="GE176" s="62">
        <f ca="1">AVERAGE(OFFSET($GD$3,0,0,'Données projet'!$E$17+1,1))-AVERAGE(OFFSET($H$3,0,0,'Données projet'!$E$17+1,1))</f>
        <v>562.69380557620775</v>
      </c>
      <c r="GF176" s="62">
        <f t="shared" si="158"/>
        <v>294.45557293177131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-1.0286385077051818E-13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529.25712986118265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-9.7543306765146564E-14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446.86777652265448</v>
      </c>
      <c r="AO177" s="62">
        <f t="shared" si="144"/>
        <v>230.82970731138215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-4.5224624045658861E-14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370.59298168107364</v>
      </c>
      <c r="BJ177" s="62">
        <f t="shared" si="146"/>
        <v>404.61777090709171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-4.1677594708744434E-14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344.45199703750711</v>
      </c>
      <c r="CE177" s="62">
        <f t="shared" si="148"/>
        <v>376.41441893222185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2.2737367544323206E-13</v>
      </c>
      <c r="CU177" s="18">
        <f>CT177*VLOOKUP('Données projet'!$B$13,Paramètres!$A$1:$I$89,3,0)*VLOOKUP('Données projet'!$B$13,Paramètres!$A$1:$I$89,5,0)</f>
        <v>1.4897523215040565E-13</v>
      </c>
      <c r="CV177" s="14">
        <f t="shared" si="173"/>
        <v>2.136562777003313E-12</v>
      </c>
      <c r="CW177" s="22">
        <f t="shared" si="174"/>
        <v>3.9806453659427267E-12</v>
      </c>
      <c r="CX177" s="62">
        <f t="shared" si="122"/>
        <v>293.33333333333729</v>
      </c>
      <c r="CY177" s="62">
        <f ca="1">AVERAGE(OFFSET($CX$3,0,0,'Données projet'!$E$13+1,1))-AVERAGE(OFFSET($H$3,0,0,'Données projet'!$E$13+1,1))</f>
        <v>311.53750850588153</v>
      </c>
      <c r="CZ177" s="62">
        <f t="shared" si="150"/>
        <v>304.84379909635476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-9.2222762759774927E-14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256.19915261735281</v>
      </c>
      <c r="DU177" s="62">
        <f t="shared" si="152"/>
        <v>297.47246687305056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5.4092197387944907E-14</v>
      </c>
      <c r="EL177" s="14">
        <f t="shared" si="179"/>
        <v>8.7287050538073676E-13</v>
      </c>
      <c r="EM177" s="22">
        <f t="shared" si="180"/>
        <v>1.6144600406554537E-12</v>
      </c>
      <c r="EN177" s="62">
        <f t="shared" si="128"/>
        <v>293.33333333333491</v>
      </c>
      <c r="EO177" s="62">
        <f ca="1">AVERAGE(OFFSET($EN$3,0,0,'Données projet'!$E$15+1,1))-AVERAGE(OFFSET($H$3,0,0,'Données projet'!$E$15+1,1))</f>
        <v>406.24139966722936</v>
      </c>
      <c r="EP177" s="62">
        <f t="shared" si="154"/>
        <v>295.95724296920577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1.1368683772161603E-13</v>
      </c>
      <c r="FF177" s="18">
        <f>FE177*VLOOKUP('Données projet'!$B$16,Paramètres!$A$1:$I$89,3,0)*VLOOKUP('Données projet'!$B$16,Paramètres!$A$1:$I$89,5,0)</f>
        <v>8.8675733422860506E-14</v>
      </c>
      <c r="FG177" s="14">
        <f t="shared" si="182"/>
        <v>1.3509285393066301E-12</v>
      </c>
      <c r="FH177" s="22">
        <f t="shared" si="183"/>
        <v>2.5073107750038623E-12</v>
      </c>
      <c r="FI177" s="62">
        <f t="shared" si="131"/>
        <v>293.33333333333582</v>
      </c>
      <c r="FJ177" s="62">
        <f ca="1">AVERAGE(OFFSET($FI$3,0,0,'Données projet'!$E$16+1,1))-AVERAGE(OFFSET($H$3,0,0,'Données projet'!$E$16+1,1))</f>
        <v>292.57482726862594</v>
      </c>
      <c r="FK177" s="62">
        <f t="shared" si="156"/>
        <v>283.48738729114024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-1.1368683772161603E-13</v>
      </c>
      <c r="GA177" s="18">
        <f>FZ177*VLOOKUP('Données projet'!$B$17,Paramètres!$A$1:$I$89,3,0)*VLOOKUP('Données projet'!$B$17,Paramètres!$A$1:$I$89,5,0)</f>
        <v>-1.0995790944434703E-13</v>
      </c>
      <c r="GB177" s="14" t="e">
        <f t="shared" si="185"/>
        <v>#NUM!</v>
      </c>
      <c r="GC177" s="22" t="e">
        <f t="shared" si="186"/>
        <v>#NUM!</v>
      </c>
      <c r="GD177" s="62" t="e">
        <f t="shared" si="134"/>
        <v>#NUM!</v>
      </c>
      <c r="GE177" s="62">
        <f ca="1">AVERAGE(OFFSET($GD$3,0,0,'Données projet'!$E$17+1,1))-AVERAGE(OFFSET($H$3,0,0,'Données projet'!$E$17+1,1))</f>
        <v>562.69380557620775</v>
      </c>
      <c r="GF177" s="62">
        <f t="shared" si="158"/>
        <v>294.45557293177131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-1.0286385077051818E-13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529.25712986118265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-9.7543306765146564E-14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446.86777652265448</v>
      </c>
      <c r="AO178" s="62">
        <f t="shared" si="144"/>
        <v>230.82970731138215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-4.5224624045658861E-14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370.59298168107364</v>
      </c>
      <c r="BJ178" s="62">
        <f t="shared" si="146"/>
        <v>404.61777090709171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-4.1677594708744434E-14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344.45199703750711</v>
      </c>
      <c r="CE178" s="62">
        <f t="shared" si="148"/>
        <v>376.41441893222185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2.2737367544323206E-13</v>
      </c>
      <c r="CU178" s="18">
        <f>CT178*VLOOKUP('Données projet'!$B$13,Paramètres!$A$1:$I$89,3,0)*VLOOKUP('Données projet'!$B$13,Paramètres!$A$1:$I$89,5,0)</f>
        <v>1.4897523215040565E-13</v>
      </c>
      <c r="CV178" s="14">
        <f t="shared" si="173"/>
        <v>2.136562777003313E-12</v>
      </c>
      <c r="CW178" s="22">
        <f t="shared" si="174"/>
        <v>3.9806453659427267E-12</v>
      </c>
      <c r="CX178" s="62">
        <f t="shared" si="122"/>
        <v>293.33333333333729</v>
      </c>
      <c r="CY178" s="62">
        <f ca="1">AVERAGE(OFFSET($CX$3,0,0,'Données projet'!$E$13+1,1))-AVERAGE(OFFSET($H$3,0,0,'Données projet'!$E$13+1,1))</f>
        <v>311.53750850588153</v>
      </c>
      <c r="CZ178" s="62">
        <f t="shared" si="150"/>
        <v>304.84379909635476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-9.2222762759774927E-14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256.19915261735281</v>
      </c>
      <c r="DU178" s="62">
        <f t="shared" si="152"/>
        <v>297.47246687305056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5.4092197387944907E-14</v>
      </c>
      <c r="EL178" s="14">
        <f t="shared" si="179"/>
        <v>8.7287050538073676E-13</v>
      </c>
      <c r="EM178" s="22">
        <f t="shared" si="180"/>
        <v>1.6144600406554537E-12</v>
      </c>
      <c r="EN178" s="62">
        <f t="shared" si="128"/>
        <v>293.33333333333491</v>
      </c>
      <c r="EO178" s="62">
        <f ca="1">AVERAGE(OFFSET($EN$3,0,0,'Données projet'!$E$15+1,1))-AVERAGE(OFFSET($H$3,0,0,'Données projet'!$E$15+1,1))</f>
        <v>406.24139966722936</v>
      </c>
      <c r="EP178" s="62">
        <f t="shared" si="154"/>
        <v>295.95724296920577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1.1368683772161603E-13</v>
      </c>
      <c r="FF178" s="18">
        <f>FE178*VLOOKUP('Données projet'!$B$16,Paramètres!$A$1:$I$89,3,0)*VLOOKUP('Données projet'!$B$16,Paramètres!$A$1:$I$89,5,0)</f>
        <v>8.8675733422860506E-14</v>
      </c>
      <c r="FG178" s="14">
        <f t="shared" si="182"/>
        <v>1.3509285393066301E-12</v>
      </c>
      <c r="FH178" s="22">
        <f t="shared" si="183"/>
        <v>2.5073107750038623E-12</v>
      </c>
      <c r="FI178" s="62">
        <f t="shared" si="131"/>
        <v>293.33333333333582</v>
      </c>
      <c r="FJ178" s="62">
        <f ca="1">AVERAGE(OFFSET($FI$3,0,0,'Données projet'!$E$16+1,1))-AVERAGE(OFFSET($H$3,0,0,'Données projet'!$E$16+1,1))</f>
        <v>292.57482726862594</v>
      </c>
      <c r="FK178" s="62">
        <f t="shared" si="156"/>
        <v>283.48738729114024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-1.1368683772161603E-13</v>
      </c>
      <c r="GA178" s="18">
        <f>FZ178*VLOOKUP('Données projet'!$B$17,Paramètres!$A$1:$I$89,3,0)*VLOOKUP('Données projet'!$B$17,Paramètres!$A$1:$I$89,5,0)</f>
        <v>-1.0995790944434703E-13</v>
      </c>
      <c r="GB178" s="14" t="e">
        <f t="shared" si="185"/>
        <v>#NUM!</v>
      </c>
      <c r="GC178" s="22" t="e">
        <f t="shared" si="186"/>
        <v>#NUM!</v>
      </c>
      <c r="GD178" s="62" t="e">
        <f t="shared" si="134"/>
        <v>#NUM!</v>
      </c>
      <c r="GE178" s="62">
        <f ca="1">AVERAGE(OFFSET($GD$3,0,0,'Données projet'!$E$17+1,1))-AVERAGE(OFFSET($H$3,0,0,'Données projet'!$E$17+1,1))</f>
        <v>562.69380557620775</v>
      </c>
      <c r="GF178" s="62">
        <f t="shared" si="158"/>
        <v>294.45557293177131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-1.0286385077051818E-13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529.25712986118265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-9.7543306765146564E-14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446.86777652265448</v>
      </c>
      <c r="AO179" s="62">
        <f t="shared" si="144"/>
        <v>230.82970731138215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-4.5224624045658861E-14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370.59298168107364</v>
      </c>
      <c r="BJ179" s="62">
        <f t="shared" si="146"/>
        <v>404.61777090709171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-4.1677594708744434E-14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344.45199703750711</v>
      </c>
      <c r="CE179" s="62">
        <f t="shared" si="148"/>
        <v>376.41441893222185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2.2737367544323206E-13</v>
      </c>
      <c r="CU179" s="18">
        <f>CT179*VLOOKUP('Données projet'!$B$13,Paramètres!$A$1:$I$89,3,0)*VLOOKUP('Données projet'!$B$13,Paramètres!$A$1:$I$89,5,0)</f>
        <v>1.4897523215040565E-13</v>
      </c>
      <c r="CV179" s="14">
        <f t="shared" si="173"/>
        <v>2.136562777003313E-12</v>
      </c>
      <c r="CW179" s="22">
        <f t="shared" si="174"/>
        <v>3.9806453659427267E-12</v>
      </c>
      <c r="CX179" s="62">
        <f t="shared" si="122"/>
        <v>293.33333333333729</v>
      </c>
      <c r="CY179" s="62">
        <f ca="1">AVERAGE(OFFSET($CX$3,0,0,'Données projet'!$E$13+1,1))-AVERAGE(OFFSET($H$3,0,0,'Données projet'!$E$13+1,1))</f>
        <v>311.53750850588153</v>
      </c>
      <c r="CZ179" s="62">
        <f t="shared" si="150"/>
        <v>304.84379909635476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-9.2222762759774927E-14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256.19915261735281</v>
      </c>
      <c r="DU179" s="62">
        <f t="shared" si="152"/>
        <v>297.47246687305056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5.4092197387944907E-14</v>
      </c>
      <c r="EL179" s="14">
        <f t="shared" si="179"/>
        <v>8.7287050538073676E-13</v>
      </c>
      <c r="EM179" s="22">
        <f t="shared" si="180"/>
        <v>1.6144600406554537E-12</v>
      </c>
      <c r="EN179" s="62">
        <f t="shared" si="128"/>
        <v>293.33333333333491</v>
      </c>
      <c r="EO179" s="62">
        <f ca="1">AVERAGE(OFFSET($EN$3,0,0,'Données projet'!$E$15+1,1))-AVERAGE(OFFSET($H$3,0,0,'Données projet'!$E$15+1,1))</f>
        <v>406.24139966722936</v>
      </c>
      <c r="EP179" s="62">
        <f t="shared" si="154"/>
        <v>295.95724296920577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1.1368683772161603E-13</v>
      </c>
      <c r="FF179" s="18">
        <f>FE179*VLOOKUP('Données projet'!$B$16,Paramètres!$A$1:$I$89,3,0)*VLOOKUP('Données projet'!$B$16,Paramètres!$A$1:$I$89,5,0)</f>
        <v>8.8675733422860506E-14</v>
      </c>
      <c r="FG179" s="14">
        <f t="shared" si="182"/>
        <v>1.3509285393066301E-12</v>
      </c>
      <c r="FH179" s="22">
        <f t="shared" si="183"/>
        <v>2.5073107750038623E-12</v>
      </c>
      <c r="FI179" s="62">
        <f t="shared" si="131"/>
        <v>293.33333333333582</v>
      </c>
      <c r="FJ179" s="62">
        <f ca="1">AVERAGE(OFFSET($FI$3,0,0,'Données projet'!$E$16+1,1))-AVERAGE(OFFSET($H$3,0,0,'Données projet'!$E$16+1,1))</f>
        <v>292.57482726862594</v>
      </c>
      <c r="FK179" s="62">
        <f t="shared" si="156"/>
        <v>283.48738729114024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-1.1368683772161603E-13</v>
      </c>
      <c r="GA179" s="18">
        <f>FZ179*VLOOKUP('Données projet'!$B$17,Paramètres!$A$1:$I$89,3,0)*VLOOKUP('Données projet'!$B$17,Paramètres!$A$1:$I$89,5,0)</f>
        <v>-1.0995790944434703E-13</v>
      </c>
      <c r="GB179" s="14" t="e">
        <f t="shared" si="185"/>
        <v>#NUM!</v>
      </c>
      <c r="GC179" s="22" t="e">
        <f t="shared" si="186"/>
        <v>#NUM!</v>
      </c>
      <c r="GD179" s="62" t="e">
        <f t="shared" si="134"/>
        <v>#NUM!</v>
      </c>
      <c r="GE179" s="62">
        <f ca="1">AVERAGE(OFFSET($GD$3,0,0,'Données projet'!$E$17+1,1))-AVERAGE(OFFSET($H$3,0,0,'Données projet'!$E$17+1,1))</f>
        <v>562.69380557620775</v>
      </c>
      <c r="GF179" s="62">
        <f t="shared" si="158"/>
        <v>294.45557293177131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-1.0286385077051818E-13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529.25712986118265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-9.7543306765146564E-14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446.86777652265448</v>
      </c>
      <c r="AO180" s="62">
        <f t="shared" si="144"/>
        <v>230.82970731138215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-4.5224624045658861E-14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370.59298168107364</v>
      </c>
      <c r="BJ180" s="62">
        <f t="shared" si="146"/>
        <v>404.61777090709171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-4.1677594708744434E-14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344.45199703750711</v>
      </c>
      <c r="CE180" s="62">
        <f t="shared" si="148"/>
        <v>376.41441893222185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2.2737367544323206E-13</v>
      </c>
      <c r="CU180" s="18">
        <f>CT180*VLOOKUP('Données projet'!$B$13,Paramètres!$A$1:$I$89,3,0)*VLOOKUP('Données projet'!$B$13,Paramètres!$A$1:$I$89,5,0)</f>
        <v>1.4897523215040565E-13</v>
      </c>
      <c r="CV180" s="14">
        <f t="shared" si="173"/>
        <v>2.136562777003313E-12</v>
      </c>
      <c r="CW180" s="22">
        <f t="shared" si="174"/>
        <v>3.9806453659427267E-12</v>
      </c>
      <c r="CX180" s="62">
        <f t="shared" si="122"/>
        <v>293.33333333333729</v>
      </c>
      <c r="CY180" s="62">
        <f ca="1">AVERAGE(OFFSET($CX$3,0,0,'Données projet'!$E$13+1,1))-AVERAGE(OFFSET($H$3,0,0,'Données projet'!$E$13+1,1))</f>
        <v>311.53750850588153</v>
      </c>
      <c r="CZ180" s="62">
        <f t="shared" si="150"/>
        <v>304.84379909635476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-9.2222762759774927E-14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256.19915261735281</v>
      </c>
      <c r="DU180" s="62">
        <f t="shared" si="152"/>
        <v>297.47246687305056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5.4092197387944907E-14</v>
      </c>
      <c r="EL180" s="14">
        <f t="shared" si="179"/>
        <v>8.7287050538073676E-13</v>
      </c>
      <c r="EM180" s="22">
        <f t="shared" si="180"/>
        <v>1.6144600406554537E-12</v>
      </c>
      <c r="EN180" s="62">
        <f t="shared" si="128"/>
        <v>293.33333333333491</v>
      </c>
      <c r="EO180" s="62">
        <f ca="1">AVERAGE(OFFSET($EN$3,0,0,'Données projet'!$E$15+1,1))-AVERAGE(OFFSET($H$3,0,0,'Données projet'!$E$15+1,1))</f>
        <v>406.24139966722936</v>
      </c>
      <c r="EP180" s="62">
        <f t="shared" si="154"/>
        <v>295.95724296920577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1.1368683772161603E-13</v>
      </c>
      <c r="FF180" s="18">
        <f>FE180*VLOOKUP('Données projet'!$B$16,Paramètres!$A$1:$I$89,3,0)*VLOOKUP('Données projet'!$B$16,Paramètres!$A$1:$I$89,5,0)</f>
        <v>8.8675733422860506E-14</v>
      </c>
      <c r="FG180" s="14">
        <f t="shared" si="182"/>
        <v>1.3509285393066301E-12</v>
      </c>
      <c r="FH180" s="22">
        <f t="shared" si="183"/>
        <v>2.5073107750038623E-12</v>
      </c>
      <c r="FI180" s="62">
        <f t="shared" si="131"/>
        <v>293.33333333333582</v>
      </c>
      <c r="FJ180" s="62">
        <f ca="1">AVERAGE(OFFSET($FI$3,0,0,'Données projet'!$E$16+1,1))-AVERAGE(OFFSET($H$3,0,0,'Données projet'!$E$16+1,1))</f>
        <v>292.57482726862594</v>
      </c>
      <c r="FK180" s="62">
        <f t="shared" si="156"/>
        <v>283.48738729114024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-1.1368683772161603E-13</v>
      </c>
      <c r="GA180" s="18">
        <f>FZ180*VLOOKUP('Données projet'!$B$17,Paramètres!$A$1:$I$89,3,0)*VLOOKUP('Données projet'!$B$17,Paramètres!$A$1:$I$89,5,0)</f>
        <v>-1.0995790944434703E-13</v>
      </c>
      <c r="GB180" s="14" t="e">
        <f t="shared" si="185"/>
        <v>#NUM!</v>
      </c>
      <c r="GC180" s="22" t="e">
        <f t="shared" si="186"/>
        <v>#NUM!</v>
      </c>
      <c r="GD180" s="62" t="e">
        <f t="shared" si="134"/>
        <v>#NUM!</v>
      </c>
      <c r="GE180" s="62">
        <f ca="1">AVERAGE(OFFSET($GD$3,0,0,'Données projet'!$E$17+1,1))-AVERAGE(OFFSET($H$3,0,0,'Données projet'!$E$17+1,1))</f>
        <v>562.69380557620775</v>
      </c>
      <c r="GF180" s="62">
        <f t="shared" si="158"/>
        <v>294.45557293177131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-1.0286385077051818E-13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529.25712986118265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-9.7543306765146564E-14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446.86777652265448</v>
      </c>
      <c r="AO181" s="62">
        <f t="shared" si="144"/>
        <v>230.82970731138215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-4.5224624045658861E-14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370.59298168107364</v>
      </c>
      <c r="BJ181" s="62">
        <f t="shared" si="146"/>
        <v>404.61777090709171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-4.1677594708744434E-14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344.45199703750711</v>
      </c>
      <c r="CE181" s="62">
        <f t="shared" si="148"/>
        <v>376.41441893222185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2.2737367544323206E-13</v>
      </c>
      <c r="CU181" s="18">
        <f>CT181*VLOOKUP('Données projet'!$B$13,Paramètres!$A$1:$I$89,3,0)*VLOOKUP('Données projet'!$B$13,Paramètres!$A$1:$I$89,5,0)</f>
        <v>1.4897523215040565E-13</v>
      </c>
      <c r="CV181" s="14">
        <f t="shared" si="173"/>
        <v>2.136562777003313E-12</v>
      </c>
      <c r="CW181" s="22">
        <f t="shared" si="174"/>
        <v>3.9806453659427267E-12</v>
      </c>
      <c r="CX181" s="62">
        <f t="shared" si="122"/>
        <v>293.33333333333729</v>
      </c>
      <c r="CY181" s="62">
        <f ca="1">AVERAGE(OFFSET($CX$3,0,0,'Données projet'!$E$13+1,1))-AVERAGE(OFFSET($H$3,0,0,'Données projet'!$E$13+1,1))</f>
        <v>311.53750850588153</v>
      </c>
      <c r="CZ181" s="62">
        <f t="shared" si="150"/>
        <v>304.84379909635476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-9.2222762759774927E-14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256.19915261735281</v>
      </c>
      <c r="DU181" s="62">
        <f t="shared" si="152"/>
        <v>297.47246687305056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5.4092197387944907E-14</v>
      </c>
      <c r="EL181" s="14">
        <f t="shared" si="179"/>
        <v>8.7287050538073676E-13</v>
      </c>
      <c r="EM181" s="22">
        <f t="shared" si="180"/>
        <v>1.6144600406554537E-12</v>
      </c>
      <c r="EN181" s="62">
        <f t="shared" si="128"/>
        <v>293.33333333333491</v>
      </c>
      <c r="EO181" s="62">
        <f ca="1">AVERAGE(OFFSET($EN$3,0,0,'Données projet'!$E$15+1,1))-AVERAGE(OFFSET($H$3,0,0,'Données projet'!$E$15+1,1))</f>
        <v>406.24139966722936</v>
      </c>
      <c r="EP181" s="62">
        <f t="shared" si="154"/>
        <v>295.95724296920577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1.1368683772161603E-13</v>
      </c>
      <c r="FF181" s="18">
        <f>FE181*VLOOKUP('Données projet'!$B$16,Paramètres!$A$1:$I$89,3,0)*VLOOKUP('Données projet'!$B$16,Paramètres!$A$1:$I$89,5,0)</f>
        <v>8.8675733422860506E-14</v>
      </c>
      <c r="FG181" s="14">
        <f t="shared" si="182"/>
        <v>1.3509285393066301E-12</v>
      </c>
      <c r="FH181" s="22">
        <f t="shared" si="183"/>
        <v>2.5073107750038623E-12</v>
      </c>
      <c r="FI181" s="62">
        <f t="shared" si="131"/>
        <v>293.33333333333582</v>
      </c>
      <c r="FJ181" s="62">
        <f ca="1">AVERAGE(OFFSET($FI$3,0,0,'Données projet'!$E$16+1,1))-AVERAGE(OFFSET($H$3,0,0,'Données projet'!$E$16+1,1))</f>
        <v>292.57482726862594</v>
      </c>
      <c r="FK181" s="62">
        <f t="shared" si="156"/>
        <v>283.48738729114024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-1.1368683772161603E-13</v>
      </c>
      <c r="GA181" s="18">
        <f>FZ181*VLOOKUP('Données projet'!$B$17,Paramètres!$A$1:$I$89,3,0)*VLOOKUP('Données projet'!$B$17,Paramètres!$A$1:$I$89,5,0)</f>
        <v>-1.0995790944434703E-13</v>
      </c>
      <c r="GB181" s="14" t="e">
        <f t="shared" si="185"/>
        <v>#NUM!</v>
      </c>
      <c r="GC181" s="22" t="e">
        <f t="shared" si="186"/>
        <v>#NUM!</v>
      </c>
      <c r="GD181" s="62" t="e">
        <f t="shared" si="134"/>
        <v>#NUM!</v>
      </c>
      <c r="GE181" s="62">
        <f ca="1">AVERAGE(OFFSET($GD$3,0,0,'Données projet'!$E$17+1,1))-AVERAGE(OFFSET($H$3,0,0,'Données projet'!$E$17+1,1))</f>
        <v>562.69380557620775</v>
      </c>
      <c r="GF181" s="62">
        <f t="shared" si="158"/>
        <v>294.45557293177131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-1.0286385077051818E-13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529.25712986118265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-9.7543306765146564E-14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446.86777652265448</v>
      </c>
      <c r="AO182" s="62">
        <f t="shared" si="144"/>
        <v>230.82970731138215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-4.5224624045658861E-14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370.59298168107364</v>
      </c>
      <c r="BJ182" s="62">
        <f t="shared" si="146"/>
        <v>404.61777090709171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-4.1677594708744434E-14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344.45199703750711</v>
      </c>
      <c r="CE182" s="62">
        <f t="shared" si="148"/>
        <v>376.41441893222185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2.2737367544323206E-13</v>
      </c>
      <c r="CU182" s="18">
        <f>CT182*VLOOKUP('Données projet'!$B$13,Paramètres!$A$1:$I$89,3,0)*VLOOKUP('Données projet'!$B$13,Paramètres!$A$1:$I$89,5,0)</f>
        <v>1.4897523215040565E-13</v>
      </c>
      <c r="CV182" s="14">
        <f t="shared" si="173"/>
        <v>2.136562777003313E-12</v>
      </c>
      <c r="CW182" s="22">
        <f t="shared" si="174"/>
        <v>3.9806453659427267E-12</v>
      </c>
      <c r="CX182" s="62">
        <f t="shared" si="122"/>
        <v>293.33333333333729</v>
      </c>
      <c r="CY182" s="62">
        <f ca="1">AVERAGE(OFFSET($CX$3,0,0,'Données projet'!$E$13+1,1))-AVERAGE(OFFSET($H$3,0,0,'Données projet'!$E$13+1,1))</f>
        <v>311.53750850588153</v>
      </c>
      <c r="CZ182" s="62">
        <f t="shared" si="150"/>
        <v>304.84379909635476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-9.2222762759774927E-14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256.19915261735281</v>
      </c>
      <c r="DU182" s="62">
        <f t="shared" si="152"/>
        <v>297.47246687305056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5.4092197387944907E-14</v>
      </c>
      <c r="EL182" s="14">
        <f t="shared" si="179"/>
        <v>8.7287050538073676E-13</v>
      </c>
      <c r="EM182" s="22">
        <f t="shared" si="180"/>
        <v>1.6144600406554537E-12</v>
      </c>
      <c r="EN182" s="62">
        <f t="shared" si="128"/>
        <v>293.33333333333491</v>
      </c>
      <c r="EO182" s="62">
        <f ca="1">AVERAGE(OFFSET($EN$3,0,0,'Données projet'!$E$15+1,1))-AVERAGE(OFFSET($H$3,0,0,'Données projet'!$E$15+1,1))</f>
        <v>406.24139966722936</v>
      </c>
      <c r="EP182" s="62">
        <f t="shared" si="154"/>
        <v>295.95724296920577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1.1368683772161603E-13</v>
      </c>
      <c r="FF182" s="18">
        <f>FE182*VLOOKUP('Données projet'!$B$16,Paramètres!$A$1:$I$89,3,0)*VLOOKUP('Données projet'!$B$16,Paramètres!$A$1:$I$89,5,0)</f>
        <v>8.8675733422860506E-14</v>
      </c>
      <c r="FG182" s="14">
        <f t="shared" si="182"/>
        <v>1.3509285393066301E-12</v>
      </c>
      <c r="FH182" s="22">
        <f t="shared" si="183"/>
        <v>2.5073107750038623E-12</v>
      </c>
      <c r="FI182" s="62">
        <f t="shared" si="131"/>
        <v>293.33333333333582</v>
      </c>
      <c r="FJ182" s="62">
        <f ca="1">AVERAGE(OFFSET($FI$3,0,0,'Données projet'!$E$16+1,1))-AVERAGE(OFFSET($H$3,0,0,'Données projet'!$E$16+1,1))</f>
        <v>292.57482726862594</v>
      </c>
      <c r="FK182" s="62">
        <f t="shared" si="156"/>
        <v>283.48738729114024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-1.1368683772161603E-13</v>
      </c>
      <c r="GA182" s="18">
        <f>FZ182*VLOOKUP('Données projet'!$B$17,Paramètres!$A$1:$I$89,3,0)*VLOOKUP('Données projet'!$B$17,Paramètres!$A$1:$I$89,5,0)</f>
        <v>-1.0995790944434703E-13</v>
      </c>
      <c r="GB182" s="14" t="e">
        <f t="shared" si="185"/>
        <v>#NUM!</v>
      </c>
      <c r="GC182" s="22" t="e">
        <f t="shared" si="186"/>
        <v>#NUM!</v>
      </c>
      <c r="GD182" s="62" t="e">
        <f t="shared" si="134"/>
        <v>#NUM!</v>
      </c>
      <c r="GE182" s="62">
        <f ca="1">AVERAGE(OFFSET($GD$3,0,0,'Données projet'!$E$17+1,1))-AVERAGE(OFFSET($H$3,0,0,'Données projet'!$E$17+1,1))</f>
        <v>562.69380557620775</v>
      </c>
      <c r="GF182" s="62">
        <f t="shared" si="158"/>
        <v>294.45557293177131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-1.0286385077051818E-13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529.25712986118265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-9.7543306765146564E-14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446.86777652265448</v>
      </c>
      <c r="AO183" s="62">
        <f t="shared" si="144"/>
        <v>230.82970731138215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-4.5224624045658861E-14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370.59298168107364</v>
      </c>
      <c r="BJ183" s="62">
        <f t="shared" si="146"/>
        <v>404.61777090709171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-4.1677594708744434E-14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344.45199703750711</v>
      </c>
      <c r="CE183" s="62">
        <f t="shared" si="148"/>
        <v>376.41441893222185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2.2737367544323206E-13</v>
      </c>
      <c r="CU183" s="18">
        <f>CT183*VLOOKUP('Données projet'!$B$13,Paramètres!$A$1:$I$89,3,0)*VLOOKUP('Données projet'!$B$13,Paramètres!$A$1:$I$89,5,0)</f>
        <v>1.4897523215040565E-13</v>
      </c>
      <c r="CV183" s="14">
        <f t="shared" si="173"/>
        <v>2.136562777003313E-12</v>
      </c>
      <c r="CW183" s="22">
        <f t="shared" si="174"/>
        <v>3.9806453659427267E-12</v>
      </c>
      <c r="CX183" s="62">
        <f t="shared" si="122"/>
        <v>293.33333333333729</v>
      </c>
      <c r="CY183" s="62">
        <f ca="1">AVERAGE(OFFSET($CX$3,0,0,'Données projet'!$E$13+1,1))-AVERAGE(OFFSET($H$3,0,0,'Données projet'!$E$13+1,1))</f>
        <v>311.53750850588153</v>
      </c>
      <c r="CZ183" s="62">
        <f t="shared" si="150"/>
        <v>304.84379909635476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-9.2222762759774927E-14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256.19915261735281</v>
      </c>
      <c r="DU183" s="62">
        <f t="shared" si="152"/>
        <v>297.47246687305056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5.4092197387944907E-14</v>
      </c>
      <c r="EL183" s="14">
        <f t="shared" si="179"/>
        <v>8.7287050538073676E-13</v>
      </c>
      <c r="EM183" s="22">
        <f t="shared" si="180"/>
        <v>1.6144600406554537E-12</v>
      </c>
      <c r="EN183" s="62">
        <f t="shared" si="128"/>
        <v>293.33333333333491</v>
      </c>
      <c r="EO183" s="62">
        <f ca="1">AVERAGE(OFFSET($EN$3,0,0,'Données projet'!$E$15+1,1))-AVERAGE(OFFSET($H$3,0,0,'Données projet'!$E$15+1,1))</f>
        <v>406.24139966722936</v>
      </c>
      <c r="EP183" s="62">
        <f t="shared" si="154"/>
        <v>295.95724296920577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1.1368683772161603E-13</v>
      </c>
      <c r="FF183" s="18">
        <f>FE183*VLOOKUP('Données projet'!$B$16,Paramètres!$A$1:$I$89,3,0)*VLOOKUP('Données projet'!$B$16,Paramètres!$A$1:$I$89,5,0)</f>
        <v>8.8675733422860506E-14</v>
      </c>
      <c r="FG183" s="14">
        <f t="shared" si="182"/>
        <v>1.3509285393066301E-12</v>
      </c>
      <c r="FH183" s="22">
        <f t="shared" si="183"/>
        <v>2.5073107750038623E-12</v>
      </c>
      <c r="FI183" s="62">
        <f t="shared" si="131"/>
        <v>293.33333333333582</v>
      </c>
      <c r="FJ183" s="62">
        <f ca="1">AVERAGE(OFFSET($FI$3,0,0,'Données projet'!$E$16+1,1))-AVERAGE(OFFSET($H$3,0,0,'Données projet'!$E$16+1,1))</f>
        <v>292.57482726862594</v>
      </c>
      <c r="FK183" s="62">
        <f t="shared" si="156"/>
        <v>283.48738729114024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-1.1368683772161603E-13</v>
      </c>
      <c r="GA183" s="18">
        <f>FZ183*VLOOKUP('Données projet'!$B$17,Paramètres!$A$1:$I$89,3,0)*VLOOKUP('Données projet'!$B$17,Paramètres!$A$1:$I$89,5,0)</f>
        <v>-1.0995790944434703E-13</v>
      </c>
      <c r="GB183" s="14" t="e">
        <f t="shared" si="185"/>
        <v>#NUM!</v>
      </c>
      <c r="GC183" s="22" t="e">
        <f t="shared" si="186"/>
        <v>#NUM!</v>
      </c>
      <c r="GD183" s="62" t="e">
        <f t="shared" si="134"/>
        <v>#NUM!</v>
      </c>
      <c r="GE183" s="62">
        <f ca="1">AVERAGE(OFFSET($GD$3,0,0,'Données projet'!$E$17+1,1))-AVERAGE(OFFSET($H$3,0,0,'Données projet'!$E$17+1,1))</f>
        <v>562.69380557620775</v>
      </c>
      <c r="GF183" s="62">
        <f t="shared" si="158"/>
        <v>294.45557293177131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-1.0286385077051818E-13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529.25712986118265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-9.7543306765146564E-14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446.86777652265448</v>
      </c>
      <c r="AO184" s="62">
        <f t="shared" si="144"/>
        <v>230.82970731138215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-4.5224624045658861E-14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370.59298168107364</v>
      </c>
      <c r="BJ184" s="62">
        <f t="shared" si="146"/>
        <v>404.61777090709171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-4.1677594708744434E-14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344.45199703750711</v>
      </c>
      <c r="CE184" s="62">
        <f t="shared" si="148"/>
        <v>376.41441893222185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2.2737367544323206E-13</v>
      </c>
      <c r="CU184" s="18">
        <f>CT184*VLOOKUP('Données projet'!$B$13,Paramètres!$A$1:$I$89,3,0)*VLOOKUP('Données projet'!$B$13,Paramètres!$A$1:$I$89,5,0)</f>
        <v>1.4897523215040565E-13</v>
      </c>
      <c r="CV184" s="14">
        <f t="shared" si="173"/>
        <v>2.136562777003313E-12</v>
      </c>
      <c r="CW184" s="22">
        <f t="shared" si="174"/>
        <v>3.9806453659427267E-12</v>
      </c>
      <c r="CX184" s="62">
        <f t="shared" si="122"/>
        <v>293.33333333333729</v>
      </c>
      <c r="CY184" s="62">
        <f ca="1">AVERAGE(OFFSET($CX$3,0,0,'Données projet'!$E$13+1,1))-AVERAGE(OFFSET($H$3,0,0,'Données projet'!$E$13+1,1))</f>
        <v>311.53750850588153</v>
      </c>
      <c r="CZ184" s="62">
        <f t="shared" si="150"/>
        <v>304.84379909635476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-9.2222762759774927E-14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256.19915261735281</v>
      </c>
      <c r="DU184" s="62">
        <f t="shared" si="152"/>
        <v>297.47246687305056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5.4092197387944907E-14</v>
      </c>
      <c r="EL184" s="14">
        <f t="shared" si="179"/>
        <v>8.7287050538073676E-13</v>
      </c>
      <c r="EM184" s="22">
        <f t="shared" si="180"/>
        <v>1.6144600406554537E-12</v>
      </c>
      <c r="EN184" s="62">
        <f t="shared" si="128"/>
        <v>293.33333333333491</v>
      </c>
      <c r="EO184" s="62">
        <f ca="1">AVERAGE(OFFSET($EN$3,0,0,'Données projet'!$E$15+1,1))-AVERAGE(OFFSET($H$3,0,0,'Données projet'!$E$15+1,1))</f>
        <v>406.24139966722936</v>
      </c>
      <c r="EP184" s="62">
        <f t="shared" si="154"/>
        <v>295.95724296920577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1.1368683772161603E-13</v>
      </c>
      <c r="FF184" s="18">
        <f>FE184*VLOOKUP('Données projet'!$B$16,Paramètres!$A$1:$I$89,3,0)*VLOOKUP('Données projet'!$B$16,Paramètres!$A$1:$I$89,5,0)</f>
        <v>8.8675733422860506E-14</v>
      </c>
      <c r="FG184" s="14">
        <f t="shared" si="182"/>
        <v>1.3509285393066301E-12</v>
      </c>
      <c r="FH184" s="22">
        <f t="shared" si="183"/>
        <v>2.5073107750038623E-12</v>
      </c>
      <c r="FI184" s="62">
        <f t="shared" si="131"/>
        <v>293.33333333333582</v>
      </c>
      <c r="FJ184" s="62">
        <f ca="1">AVERAGE(OFFSET($FI$3,0,0,'Données projet'!$E$16+1,1))-AVERAGE(OFFSET($H$3,0,0,'Données projet'!$E$16+1,1))</f>
        <v>292.57482726862594</v>
      </c>
      <c r="FK184" s="62">
        <f t="shared" si="156"/>
        <v>283.48738729114024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-1.1368683772161603E-13</v>
      </c>
      <c r="GA184" s="18">
        <f>FZ184*VLOOKUP('Données projet'!$B$17,Paramètres!$A$1:$I$89,3,0)*VLOOKUP('Données projet'!$B$17,Paramètres!$A$1:$I$89,5,0)</f>
        <v>-1.0995790944434703E-13</v>
      </c>
      <c r="GB184" s="14" t="e">
        <f t="shared" si="185"/>
        <v>#NUM!</v>
      </c>
      <c r="GC184" s="22" t="e">
        <f t="shared" si="186"/>
        <v>#NUM!</v>
      </c>
      <c r="GD184" s="62" t="e">
        <f t="shared" si="134"/>
        <v>#NUM!</v>
      </c>
      <c r="GE184" s="62">
        <f ca="1">AVERAGE(OFFSET($GD$3,0,0,'Données projet'!$E$17+1,1))-AVERAGE(OFFSET($H$3,0,0,'Données projet'!$E$17+1,1))</f>
        <v>562.69380557620775</v>
      </c>
      <c r="GF184" s="62">
        <f t="shared" si="158"/>
        <v>294.45557293177131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-1.0286385077051818E-13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529.25712986118265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-9.7543306765146564E-14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446.86777652265448</v>
      </c>
      <c r="AO185" s="62">
        <f t="shared" si="144"/>
        <v>230.82970731138215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-4.5224624045658861E-14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370.59298168107364</v>
      </c>
      <c r="BJ185" s="62">
        <f t="shared" si="146"/>
        <v>404.61777090709171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-4.1677594708744434E-14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344.45199703750711</v>
      </c>
      <c r="CE185" s="62">
        <f t="shared" si="148"/>
        <v>376.41441893222185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2.2737367544323206E-13</v>
      </c>
      <c r="CU185" s="18">
        <f>CT185*VLOOKUP('Données projet'!$B$13,Paramètres!$A$1:$I$89,3,0)*VLOOKUP('Données projet'!$B$13,Paramètres!$A$1:$I$89,5,0)</f>
        <v>1.4897523215040565E-13</v>
      </c>
      <c r="CV185" s="14">
        <f t="shared" si="173"/>
        <v>2.136562777003313E-12</v>
      </c>
      <c r="CW185" s="22">
        <f t="shared" si="174"/>
        <v>3.9806453659427267E-12</v>
      </c>
      <c r="CX185" s="62">
        <f t="shared" si="122"/>
        <v>293.33333333333729</v>
      </c>
      <c r="CY185" s="62">
        <f ca="1">AVERAGE(OFFSET($CX$3,0,0,'Données projet'!$E$13+1,1))-AVERAGE(OFFSET($H$3,0,0,'Données projet'!$E$13+1,1))</f>
        <v>311.53750850588153</v>
      </c>
      <c r="CZ185" s="62">
        <f t="shared" si="150"/>
        <v>304.84379909635476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-9.2222762759774927E-14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256.19915261735281</v>
      </c>
      <c r="DU185" s="62">
        <f t="shared" si="152"/>
        <v>297.47246687305056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5.4092197387944907E-14</v>
      </c>
      <c r="EL185" s="14">
        <f t="shared" si="179"/>
        <v>8.7287050538073676E-13</v>
      </c>
      <c r="EM185" s="22">
        <f t="shared" si="180"/>
        <v>1.6144600406554537E-12</v>
      </c>
      <c r="EN185" s="62">
        <f t="shared" si="128"/>
        <v>293.33333333333491</v>
      </c>
      <c r="EO185" s="62">
        <f ca="1">AVERAGE(OFFSET($EN$3,0,0,'Données projet'!$E$15+1,1))-AVERAGE(OFFSET($H$3,0,0,'Données projet'!$E$15+1,1))</f>
        <v>406.24139966722936</v>
      </c>
      <c r="EP185" s="62">
        <f t="shared" si="154"/>
        <v>295.95724296920577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1.1368683772161603E-13</v>
      </c>
      <c r="FF185" s="18">
        <f>FE185*VLOOKUP('Données projet'!$B$16,Paramètres!$A$1:$I$89,3,0)*VLOOKUP('Données projet'!$B$16,Paramètres!$A$1:$I$89,5,0)</f>
        <v>8.8675733422860506E-14</v>
      </c>
      <c r="FG185" s="14">
        <f t="shared" si="182"/>
        <v>1.3509285393066301E-12</v>
      </c>
      <c r="FH185" s="22">
        <f t="shared" si="183"/>
        <v>2.5073107750038623E-12</v>
      </c>
      <c r="FI185" s="62">
        <f t="shared" si="131"/>
        <v>293.33333333333582</v>
      </c>
      <c r="FJ185" s="62">
        <f ca="1">AVERAGE(OFFSET($FI$3,0,0,'Données projet'!$E$16+1,1))-AVERAGE(OFFSET($H$3,0,0,'Données projet'!$E$16+1,1))</f>
        <v>292.57482726862594</v>
      </c>
      <c r="FK185" s="62">
        <f t="shared" si="156"/>
        <v>283.48738729114024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-1.1368683772161603E-13</v>
      </c>
      <c r="GA185" s="18">
        <f>FZ185*VLOOKUP('Données projet'!$B$17,Paramètres!$A$1:$I$89,3,0)*VLOOKUP('Données projet'!$B$17,Paramètres!$A$1:$I$89,5,0)</f>
        <v>-1.0995790944434703E-13</v>
      </c>
      <c r="GB185" s="14" t="e">
        <f t="shared" si="185"/>
        <v>#NUM!</v>
      </c>
      <c r="GC185" s="22" t="e">
        <f t="shared" si="186"/>
        <v>#NUM!</v>
      </c>
      <c r="GD185" s="62" t="e">
        <f t="shared" si="134"/>
        <v>#NUM!</v>
      </c>
      <c r="GE185" s="62">
        <f ca="1">AVERAGE(OFFSET($GD$3,0,0,'Données projet'!$E$17+1,1))-AVERAGE(OFFSET($H$3,0,0,'Données projet'!$E$17+1,1))</f>
        <v>562.69380557620775</v>
      </c>
      <c r="GF185" s="62">
        <f t="shared" si="158"/>
        <v>294.45557293177131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-1.0286385077051818E-13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529.25712986118265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-9.7543306765146564E-14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446.86777652265448</v>
      </c>
      <c r="AO186" s="62">
        <f t="shared" si="144"/>
        <v>230.82970731138215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-4.5224624045658861E-14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370.59298168107364</v>
      </c>
      <c r="BJ186" s="62">
        <f t="shared" si="146"/>
        <v>404.61777090709171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-4.1677594708744434E-14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344.45199703750711</v>
      </c>
      <c r="CE186" s="62">
        <f t="shared" si="148"/>
        <v>376.41441893222185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2.2737367544323206E-13</v>
      </c>
      <c r="CU186" s="18">
        <f>CT186*VLOOKUP('Données projet'!$B$13,Paramètres!$A$1:$I$89,3,0)*VLOOKUP('Données projet'!$B$13,Paramètres!$A$1:$I$89,5,0)</f>
        <v>1.4897523215040565E-13</v>
      </c>
      <c r="CV186" s="14">
        <f t="shared" si="173"/>
        <v>2.136562777003313E-12</v>
      </c>
      <c r="CW186" s="22">
        <f t="shared" si="174"/>
        <v>3.9806453659427267E-12</v>
      </c>
      <c r="CX186" s="62">
        <f t="shared" si="122"/>
        <v>293.33333333333729</v>
      </c>
      <c r="CY186" s="62">
        <f ca="1">AVERAGE(OFFSET($CX$3,0,0,'Données projet'!$E$13+1,1))-AVERAGE(OFFSET($H$3,0,0,'Données projet'!$E$13+1,1))</f>
        <v>311.53750850588153</v>
      </c>
      <c r="CZ186" s="62">
        <f t="shared" si="150"/>
        <v>304.84379909635476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-9.2222762759774927E-14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256.19915261735281</v>
      </c>
      <c r="DU186" s="62">
        <f t="shared" si="152"/>
        <v>297.47246687305056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5.4092197387944907E-14</v>
      </c>
      <c r="EL186" s="14">
        <f t="shared" si="179"/>
        <v>8.7287050538073676E-13</v>
      </c>
      <c r="EM186" s="22">
        <f t="shared" si="180"/>
        <v>1.6144600406554537E-12</v>
      </c>
      <c r="EN186" s="62">
        <f t="shared" si="128"/>
        <v>293.33333333333491</v>
      </c>
      <c r="EO186" s="62">
        <f ca="1">AVERAGE(OFFSET($EN$3,0,0,'Données projet'!$E$15+1,1))-AVERAGE(OFFSET($H$3,0,0,'Données projet'!$E$15+1,1))</f>
        <v>406.24139966722936</v>
      </c>
      <c r="EP186" s="62">
        <f t="shared" si="154"/>
        <v>295.95724296920577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1.1368683772161603E-13</v>
      </c>
      <c r="FF186" s="18">
        <f>FE186*VLOOKUP('Données projet'!$B$16,Paramètres!$A$1:$I$89,3,0)*VLOOKUP('Données projet'!$B$16,Paramètres!$A$1:$I$89,5,0)</f>
        <v>8.8675733422860506E-14</v>
      </c>
      <c r="FG186" s="14">
        <f t="shared" si="182"/>
        <v>1.3509285393066301E-12</v>
      </c>
      <c r="FH186" s="22">
        <f t="shared" si="183"/>
        <v>2.5073107750038623E-12</v>
      </c>
      <c r="FI186" s="62">
        <f t="shared" si="131"/>
        <v>293.33333333333582</v>
      </c>
      <c r="FJ186" s="62">
        <f ca="1">AVERAGE(OFFSET($FI$3,0,0,'Données projet'!$E$16+1,1))-AVERAGE(OFFSET($H$3,0,0,'Données projet'!$E$16+1,1))</f>
        <v>292.57482726862594</v>
      </c>
      <c r="FK186" s="62">
        <f t="shared" si="156"/>
        <v>283.48738729114024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-1.1368683772161603E-13</v>
      </c>
      <c r="GA186" s="18">
        <f>FZ186*VLOOKUP('Données projet'!$B$17,Paramètres!$A$1:$I$89,3,0)*VLOOKUP('Données projet'!$B$17,Paramètres!$A$1:$I$89,5,0)</f>
        <v>-1.0995790944434703E-13</v>
      </c>
      <c r="GB186" s="14" t="e">
        <f t="shared" si="185"/>
        <v>#NUM!</v>
      </c>
      <c r="GC186" s="22" t="e">
        <f t="shared" si="186"/>
        <v>#NUM!</v>
      </c>
      <c r="GD186" s="62" t="e">
        <f t="shared" si="134"/>
        <v>#NUM!</v>
      </c>
      <c r="GE186" s="62">
        <f ca="1">AVERAGE(OFFSET($GD$3,0,0,'Données projet'!$E$17+1,1))-AVERAGE(OFFSET($H$3,0,0,'Données projet'!$E$17+1,1))</f>
        <v>562.69380557620775</v>
      </c>
      <c r="GF186" s="62">
        <f t="shared" si="158"/>
        <v>294.45557293177131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-1.0286385077051818E-13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529.25712986118265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-9.7543306765146564E-14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446.86777652265448</v>
      </c>
      <c r="AO187" s="62">
        <f t="shared" si="144"/>
        <v>230.82970731138215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-4.5224624045658861E-14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370.59298168107364</v>
      </c>
      <c r="BJ187" s="62">
        <f t="shared" si="146"/>
        <v>404.61777090709171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-4.1677594708744434E-14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344.45199703750711</v>
      </c>
      <c r="CE187" s="62">
        <f t="shared" si="148"/>
        <v>376.41441893222185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2.2737367544323206E-13</v>
      </c>
      <c r="CU187" s="18">
        <f>CT187*VLOOKUP('Données projet'!$B$13,Paramètres!$A$1:$I$89,3,0)*VLOOKUP('Données projet'!$B$13,Paramètres!$A$1:$I$89,5,0)</f>
        <v>1.4897523215040565E-13</v>
      </c>
      <c r="CV187" s="14">
        <f t="shared" si="173"/>
        <v>2.136562777003313E-12</v>
      </c>
      <c r="CW187" s="22">
        <f t="shared" si="174"/>
        <v>3.9806453659427267E-12</v>
      </c>
      <c r="CX187" s="62">
        <f t="shared" si="122"/>
        <v>293.33333333333729</v>
      </c>
      <c r="CY187" s="62">
        <f ca="1">AVERAGE(OFFSET($CX$3,0,0,'Données projet'!$E$13+1,1))-AVERAGE(OFFSET($H$3,0,0,'Données projet'!$E$13+1,1))</f>
        <v>311.53750850588153</v>
      </c>
      <c r="CZ187" s="62">
        <f t="shared" si="150"/>
        <v>304.84379909635476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-9.2222762759774927E-14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256.19915261735281</v>
      </c>
      <c r="DU187" s="62">
        <f t="shared" si="152"/>
        <v>297.47246687305056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5.4092197387944907E-14</v>
      </c>
      <c r="EL187" s="14">
        <f t="shared" si="179"/>
        <v>8.7287050538073676E-13</v>
      </c>
      <c r="EM187" s="22">
        <f t="shared" si="180"/>
        <v>1.6144600406554537E-12</v>
      </c>
      <c r="EN187" s="62">
        <f t="shared" si="128"/>
        <v>293.33333333333491</v>
      </c>
      <c r="EO187" s="62">
        <f ca="1">AVERAGE(OFFSET($EN$3,0,0,'Données projet'!$E$15+1,1))-AVERAGE(OFFSET($H$3,0,0,'Données projet'!$E$15+1,1))</f>
        <v>406.24139966722936</v>
      </c>
      <c r="EP187" s="62">
        <f t="shared" si="154"/>
        <v>295.95724296920577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1.1368683772161603E-13</v>
      </c>
      <c r="FF187" s="18">
        <f>FE187*VLOOKUP('Données projet'!$B$16,Paramètres!$A$1:$I$89,3,0)*VLOOKUP('Données projet'!$B$16,Paramètres!$A$1:$I$89,5,0)</f>
        <v>8.8675733422860506E-14</v>
      </c>
      <c r="FG187" s="14">
        <f t="shared" si="182"/>
        <v>1.3509285393066301E-12</v>
      </c>
      <c r="FH187" s="22">
        <f t="shared" si="183"/>
        <v>2.5073107750038623E-12</v>
      </c>
      <c r="FI187" s="62">
        <f t="shared" si="131"/>
        <v>293.33333333333582</v>
      </c>
      <c r="FJ187" s="62">
        <f ca="1">AVERAGE(OFFSET($FI$3,0,0,'Données projet'!$E$16+1,1))-AVERAGE(OFFSET($H$3,0,0,'Données projet'!$E$16+1,1))</f>
        <v>292.57482726862594</v>
      </c>
      <c r="FK187" s="62">
        <f t="shared" si="156"/>
        <v>283.48738729114024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-1.1368683772161603E-13</v>
      </c>
      <c r="GA187" s="18">
        <f>FZ187*VLOOKUP('Données projet'!$B$17,Paramètres!$A$1:$I$89,3,0)*VLOOKUP('Données projet'!$B$17,Paramètres!$A$1:$I$89,5,0)</f>
        <v>-1.0995790944434703E-13</v>
      </c>
      <c r="GB187" s="14" t="e">
        <f t="shared" si="185"/>
        <v>#NUM!</v>
      </c>
      <c r="GC187" s="22" t="e">
        <f t="shared" si="186"/>
        <v>#NUM!</v>
      </c>
      <c r="GD187" s="62" t="e">
        <f t="shared" si="134"/>
        <v>#NUM!</v>
      </c>
      <c r="GE187" s="62">
        <f ca="1">AVERAGE(OFFSET($GD$3,0,0,'Données projet'!$E$17+1,1))-AVERAGE(OFFSET($H$3,0,0,'Données projet'!$E$17+1,1))</f>
        <v>562.69380557620775</v>
      </c>
      <c r="GF187" s="62">
        <f t="shared" si="158"/>
        <v>294.45557293177131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-1.0286385077051818E-13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529.25712986118265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-9.7543306765146564E-14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446.86777652265448</v>
      </c>
      <c r="AO188" s="62">
        <f t="shared" si="144"/>
        <v>230.82970731138215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-4.5224624045658861E-14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370.59298168107364</v>
      </c>
      <c r="BJ188" s="62">
        <f t="shared" si="146"/>
        <v>404.61777090709171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-4.1677594708744434E-14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344.45199703750711</v>
      </c>
      <c r="CE188" s="62">
        <f t="shared" si="148"/>
        <v>376.41441893222185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2.2737367544323206E-13</v>
      </c>
      <c r="CU188" s="18">
        <f>CT188*VLOOKUP('Données projet'!$B$13,Paramètres!$A$1:$I$89,3,0)*VLOOKUP('Données projet'!$B$13,Paramètres!$A$1:$I$89,5,0)</f>
        <v>1.4897523215040565E-13</v>
      </c>
      <c r="CV188" s="14">
        <f t="shared" si="173"/>
        <v>2.136562777003313E-12</v>
      </c>
      <c r="CW188" s="22">
        <f t="shared" si="174"/>
        <v>3.9806453659427267E-12</v>
      </c>
      <c r="CX188" s="62">
        <f t="shared" si="122"/>
        <v>293.33333333333729</v>
      </c>
      <c r="CY188" s="62">
        <f ca="1">AVERAGE(OFFSET($CX$3,0,0,'Données projet'!$E$13+1,1))-AVERAGE(OFFSET($H$3,0,0,'Données projet'!$E$13+1,1))</f>
        <v>311.53750850588153</v>
      </c>
      <c r="CZ188" s="62">
        <f t="shared" si="150"/>
        <v>304.84379909635476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-9.2222762759774927E-14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256.19915261735281</v>
      </c>
      <c r="DU188" s="62">
        <f t="shared" si="152"/>
        <v>297.47246687305056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5.4092197387944907E-14</v>
      </c>
      <c r="EL188" s="14">
        <f t="shared" si="179"/>
        <v>8.7287050538073676E-13</v>
      </c>
      <c r="EM188" s="22">
        <f t="shared" si="180"/>
        <v>1.6144600406554537E-12</v>
      </c>
      <c r="EN188" s="62">
        <f t="shared" si="128"/>
        <v>293.33333333333491</v>
      </c>
      <c r="EO188" s="62">
        <f ca="1">AVERAGE(OFFSET($EN$3,0,0,'Données projet'!$E$15+1,1))-AVERAGE(OFFSET($H$3,0,0,'Données projet'!$E$15+1,1))</f>
        <v>406.24139966722936</v>
      </c>
      <c r="EP188" s="62">
        <f t="shared" si="154"/>
        <v>295.95724296920577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1.1368683772161603E-13</v>
      </c>
      <c r="FF188" s="18">
        <f>FE188*VLOOKUP('Données projet'!$B$16,Paramètres!$A$1:$I$89,3,0)*VLOOKUP('Données projet'!$B$16,Paramètres!$A$1:$I$89,5,0)</f>
        <v>8.8675733422860506E-14</v>
      </c>
      <c r="FG188" s="14">
        <f t="shared" si="182"/>
        <v>1.3509285393066301E-12</v>
      </c>
      <c r="FH188" s="22">
        <f t="shared" si="183"/>
        <v>2.5073107750038623E-12</v>
      </c>
      <c r="FI188" s="62">
        <f t="shared" si="131"/>
        <v>293.33333333333582</v>
      </c>
      <c r="FJ188" s="62">
        <f ca="1">AVERAGE(OFFSET($FI$3,0,0,'Données projet'!$E$16+1,1))-AVERAGE(OFFSET($H$3,0,0,'Données projet'!$E$16+1,1))</f>
        <v>292.57482726862594</v>
      </c>
      <c r="FK188" s="62">
        <f t="shared" si="156"/>
        <v>283.48738729114024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-1.1368683772161603E-13</v>
      </c>
      <c r="GA188" s="18">
        <f>FZ188*VLOOKUP('Données projet'!$B$17,Paramètres!$A$1:$I$89,3,0)*VLOOKUP('Données projet'!$B$17,Paramètres!$A$1:$I$89,5,0)</f>
        <v>-1.0995790944434703E-13</v>
      </c>
      <c r="GB188" s="14" t="e">
        <f t="shared" si="185"/>
        <v>#NUM!</v>
      </c>
      <c r="GC188" s="22" t="e">
        <f t="shared" si="186"/>
        <v>#NUM!</v>
      </c>
      <c r="GD188" s="62" t="e">
        <f t="shared" si="134"/>
        <v>#NUM!</v>
      </c>
      <c r="GE188" s="62">
        <f ca="1">AVERAGE(OFFSET($GD$3,0,0,'Données projet'!$E$17+1,1))-AVERAGE(OFFSET($H$3,0,0,'Données projet'!$E$17+1,1))</f>
        <v>562.69380557620775</v>
      </c>
      <c r="GF188" s="62">
        <f t="shared" si="158"/>
        <v>294.45557293177131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-1.0286385077051818E-13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529.25712986118265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-9.7543306765146564E-14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446.86777652265448</v>
      </c>
      <c r="AO189" s="62">
        <f t="shared" si="144"/>
        <v>230.82970731138215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-4.5224624045658861E-14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370.59298168107364</v>
      </c>
      <c r="BJ189" s="62">
        <f t="shared" si="146"/>
        <v>404.61777090709171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-4.1677594708744434E-14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344.45199703750711</v>
      </c>
      <c r="CE189" s="62">
        <f t="shared" si="148"/>
        <v>376.41441893222185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2.2737367544323206E-13</v>
      </c>
      <c r="CU189" s="18">
        <f>CT189*VLOOKUP('Données projet'!$B$13,Paramètres!$A$1:$I$89,3,0)*VLOOKUP('Données projet'!$B$13,Paramètres!$A$1:$I$89,5,0)</f>
        <v>1.4897523215040565E-13</v>
      </c>
      <c r="CV189" s="14">
        <f t="shared" si="173"/>
        <v>2.136562777003313E-12</v>
      </c>
      <c r="CW189" s="22">
        <f t="shared" si="174"/>
        <v>3.9806453659427267E-12</v>
      </c>
      <c r="CX189" s="62">
        <f t="shared" si="122"/>
        <v>293.33333333333729</v>
      </c>
      <c r="CY189" s="62">
        <f ca="1">AVERAGE(OFFSET($CX$3,0,0,'Données projet'!$E$13+1,1))-AVERAGE(OFFSET($H$3,0,0,'Données projet'!$E$13+1,1))</f>
        <v>311.53750850588153</v>
      </c>
      <c r="CZ189" s="62">
        <f t="shared" si="150"/>
        <v>304.84379909635476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-9.2222762759774927E-14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256.19915261735281</v>
      </c>
      <c r="DU189" s="62">
        <f t="shared" si="152"/>
        <v>297.47246687305056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5.4092197387944907E-14</v>
      </c>
      <c r="EL189" s="14">
        <f t="shared" si="179"/>
        <v>8.7287050538073676E-13</v>
      </c>
      <c r="EM189" s="22">
        <f t="shared" si="180"/>
        <v>1.6144600406554537E-12</v>
      </c>
      <c r="EN189" s="62">
        <f t="shared" si="128"/>
        <v>293.33333333333491</v>
      </c>
      <c r="EO189" s="62">
        <f ca="1">AVERAGE(OFFSET($EN$3,0,0,'Données projet'!$E$15+1,1))-AVERAGE(OFFSET($H$3,0,0,'Données projet'!$E$15+1,1))</f>
        <v>406.24139966722936</v>
      </c>
      <c r="EP189" s="62">
        <f t="shared" si="154"/>
        <v>295.95724296920577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1.1368683772161603E-13</v>
      </c>
      <c r="FF189" s="18">
        <f>FE189*VLOOKUP('Données projet'!$B$16,Paramètres!$A$1:$I$89,3,0)*VLOOKUP('Données projet'!$B$16,Paramètres!$A$1:$I$89,5,0)</f>
        <v>8.8675733422860506E-14</v>
      </c>
      <c r="FG189" s="14">
        <f t="shared" si="182"/>
        <v>1.3509285393066301E-12</v>
      </c>
      <c r="FH189" s="22">
        <f t="shared" si="183"/>
        <v>2.5073107750038623E-12</v>
      </c>
      <c r="FI189" s="62">
        <f t="shared" si="131"/>
        <v>293.33333333333582</v>
      </c>
      <c r="FJ189" s="62">
        <f ca="1">AVERAGE(OFFSET($FI$3,0,0,'Données projet'!$E$16+1,1))-AVERAGE(OFFSET($H$3,0,0,'Données projet'!$E$16+1,1))</f>
        <v>292.57482726862594</v>
      </c>
      <c r="FK189" s="62">
        <f t="shared" si="156"/>
        <v>283.48738729114024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-1.1368683772161603E-13</v>
      </c>
      <c r="GA189" s="18">
        <f>FZ189*VLOOKUP('Données projet'!$B$17,Paramètres!$A$1:$I$89,3,0)*VLOOKUP('Données projet'!$B$17,Paramètres!$A$1:$I$89,5,0)</f>
        <v>-1.0995790944434703E-13</v>
      </c>
      <c r="GB189" s="14" t="e">
        <f t="shared" si="185"/>
        <v>#NUM!</v>
      </c>
      <c r="GC189" s="22" t="e">
        <f t="shared" si="186"/>
        <v>#NUM!</v>
      </c>
      <c r="GD189" s="62" t="e">
        <f t="shared" si="134"/>
        <v>#NUM!</v>
      </c>
      <c r="GE189" s="62">
        <f ca="1">AVERAGE(OFFSET($GD$3,0,0,'Données projet'!$E$17+1,1))-AVERAGE(OFFSET($H$3,0,0,'Données projet'!$E$17+1,1))</f>
        <v>562.69380557620775</v>
      </c>
      <c r="GF189" s="62">
        <f t="shared" si="158"/>
        <v>294.45557293177131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-1.0286385077051818E-13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529.25712986118265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-9.7543306765146564E-14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446.86777652265448</v>
      </c>
      <c r="AO190" s="62">
        <f t="shared" si="144"/>
        <v>230.82970731138215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-4.5224624045658861E-14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370.59298168107364</v>
      </c>
      <c r="BJ190" s="62">
        <f t="shared" si="146"/>
        <v>404.61777090709171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-4.1677594708744434E-14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344.45199703750711</v>
      </c>
      <c r="CE190" s="62">
        <f t="shared" si="148"/>
        <v>376.41441893222185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2.2737367544323206E-13</v>
      </c>
      <c r="CU190" s="18">
        <f>CT190*VLOOKUP('Données projet'!$B$13,Paramètres!$A$1:$I$89,3,0)*VLOOKUP('Données projet'!$B$13,Paramètres!$A$1:$I$89,5,0)</f>
        <v>1.4897523215040565E-13</v>
      </c>
      <c r="CV190" s="14">
        <f t="shared" si="173"/>
        <v>2.136562777003313E-12</v>
      </c>
      <c r="CW190" s="22">
        <f t="shared" si="174"/>
        <v>3.9806453659427267E-12</v>
      </c>
      <c r="CX190" s="62">
        <f t="shared" si="122"/>
        <v>293.33333333333729</v>
      </c>
      <c r="CY190" s="62">
        <f ca="1">AVERAGE(OFFSET($CX$3,0,0,'Données projet'!$E$13+1,1))-AVERAGE(OFFSET($H$3,0,0,'Données projet'!$E$13+1,1))</f>
        <v>311.53750850588153</v>
      </c>
      <c r="CZ190" s="62">
        <f t="shared" si="150"/>
        <v>304.84379909635476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-9.2222762759774927E-14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256.19915261735281</v>
      </c>
      <c r="DU190" s="62">
        <f t="shared" si="152"/>
        <v>297.47246687305056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5.4092197387944907E-14</v>
      </c>
      <c r="EL190" s="14">
        <f t="shared" si="179"/>
        <v>8.7287050538073676E-13</v>
      </c>
      <c r="EM190" s="22">
        <f t="shared" si="180"/>
        <v>1.6144600406554537E-12</v>
      </c>
      <c r="EN190" s="62">
        <f t="shared" si="128"/>
        <v>293.33333333333491</v>
      </c>
      <c r="EO190" s="62">
        <f ca="1">AVERAGE(OFFSET($EN$3,0,0,'Données projet'!$E$15+1,1))-AVERAGE(OFFSET($H$3,0,0,'Données projet'!$E$15+1,1))</f>
        <v>406.24139966722936</v>
      </c>
      <c r="EP190" s="62">
        <f t="shared" si="154"/>
        <v>295.95724296920577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1.1368683772161603E-13</v>
      </c>
      <c r="FF190" s="18">
        <f>FE190*VLOOKUP('Données projet'!$B$16,Paramètres!$A$1:$I$89,3,0)*VLOOKUP('Données projet'!$B$16,Paramètres!$A$1:$I$89,5,0)</f>
        <v>8.8675733422860506E-14</v>
      </c>
      <c r="FG190" s="14">
        <f t="shared" si="182"/>
        <v>1.3509285393066301E-12</v>
      </c>
      <c r="FH190" s="22">
        <f t="shared" si="183"/>
        <v>2.5073107750038623E-12</v>
      </c>
      <c r="FI190" s="62">
        <f t="shared" si="131"/>
        <v>293.33333333333582</v>
      </c>
      <c r="FJ190" s="62">
        <f ca="1">AVERAGE(OFFSET($FI$3,0,0,'Données projet'!$E$16+1,1))-AVERAGE(OFFSET($H$3,0,0,'Données projet'!$E$16+1,1))</f>
        <v>292.57482726862594</v>
      </c>
      <c r="FK190" s="62">
        <f t="shared" si="156"/>
        <v>283.48738729114024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-1.1368683772161603E-13</v>
      </c>
      <c r="GA190" s="18">
        <f>FZ190*VLOOKUP('Données projet'!$B$17,Paramètres!$A$1:$I$89,3,0)*VLOOKUP('Données projet'!$B$17,Paramètres!$A$1:$I$89,5,0)</f>
        <v>-1.0995790944434703E-13</v>
      </c>
      <c r="GB190" s="14" t="e">
        <f t="shared" si="185"/>
        <v>#NUM!</v>
      </c>
      <c r="GC190" s="22" t="e">
        <f t="shared" si="186"/>
        <v>#NUM!</v>
      </c>
      <c r="GD190" s="62" t="e">
        <f t="shared" si="134"/>
        <v>#NUM!</v>
      </c>
      <c r="GE190" s="62">
        <f ca="1">AVERAGE(OFFSET($GD$3,0,0,'Données projet'!$E$17+1,1))-AVERAGE(OFFSET($H$3,0,0,'Données projet'!$E$17+1,1))</f>
        <v>562.69380557620775</v>
      </c>
      <c r="GF190" s="62">
        <f t="shared" si="158"/>
        <v>294.45557293177131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-1.0286385077051818E-13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529.25712986118265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-9.7543306765146564E-14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446.86777652265448</v>
      </c>
      <c r="AO191" s="62">
        <f t="shared" si="144"/>
        <v>230.82970731138215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-4.5224624045658861E-14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370.59298168107364</v>
      </c>
      <c r="BJ191" s="62">
        <f t="shared" si="146"/>
        <v>404.61777090709171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-4.1677594708744434E-14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344.45199703750711</v>
      </c>
      <c r="CE191" s="62">
        <f t="shared" si="148"/>
        <v>376.41441893222185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2.2737367544323206E-13</v>
      </c>
      <c r="CU191" s="18">
        <f>CT191*VLOOKUP('Données projet'!$B$13,Paramètres!$A$1:$I$89,3,0)*VLOOKUP('Données projet'!$B$13,Paramètres!$A$1:$I$89,5,0)</f>
        <v>1.4897523215040565E-13</v>
      </c>
      <c r="CV191" s="14">
        <f t="shared" si="173"/>
        <v>2.136562777003313E-12</v>
      </c>
      <c r="CW191" s="22">
        <f t="shared" si="174"/>
        <v>3.9806453659427267E-12</v>
      </c>
      <c r="CX191" s="62">
        <f t="shared" si="122"/>
        <v>293.33333333333729</v>
      </c>
      <c r="CY191" s="62">
        <f ca="1">AVERAGE(OFFSET($CX$3,0,0,'Données projet'!$E$13+1,1))-AVERAGE(OFFSET($H$3,0,0,'Données projet'!$E$13+1,1))</f>
        <v>311.53750850588153</v>
      </c>
      <c r="CZ191" s="62">
        <f t="shared" si="150"/>
        <v>304.84379909635476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-9.2222762759774927E-14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256.19915261735281</v>
      </c>
      <c r="DU191" s="62">
        <f t="shared" si="152"/>
        <v>297.47246687305056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5.4092197387944907E-14</v>
      </c>
      <c r="EL191" s="14">
        <f t="shared" si="179"/>
        <v>8.7287050538073676E-13</v>
      </c>
      <c r="EM191" s="22">
        <f t="shared" si="180"/>
        <v>1.6144600406554537E-12</v>
      </c>
      <c r="EN191" s="62">
        <f t="shared" si="128"/>
        <v>293.33333333333491</v>
      </c>
      <c r="EO191" s="62">
        <f ca="1">AVERAGE(OFFSET($EN$3,0,0,'Données projet'!$E$15+1,1))-AVERAGE(OFFSET($H$3,0,0,'Données projet'!$E$15+1,1))</f>
        <v>406.24139966722936</v>
      </c>
      <c r="EP191" s="62">
        <f t="shared" si="154"/>
        <v>295.95724296920577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1.1368683772161603E-13</v>
      </c>
      <c r="FF191" s="18">
        <f>FE191*VLOOKUP('Données projet'!$B$16,Paramètres!$A$1:$I$89,3,0)*VLOOKUP('Données projet'!$B$16,Paramètres!$A$1:$I$89,5,0)</f>
        <v>8.8675733422860506E-14</v>
      </c>
      <c r="FG191" s="14">
        <f t="shared" si="182"/>
        <v>1.3509285393066301E-12</v>
      </c>
      <c r="FH191" s="22">
        <f t="shared" si="183"/>
        <v>2.5073107750038623E-12</v>
      </c>
      <c r="FI191" s="62">
        <f t="shared" si="131"/>
        <v>293.33333333333582</v>
      </c>
      <c r="FJ191" s="62">
        <f ca="1">AVERAGE(OFFSET($FI$3,0,0,'Données projet'!$E$16+1,1))-AVERAGE(OFFSET($H$3,0,0,'Données projet'!$E$16+1,1))</f>
        <v>292.57482726862594</v>
      </c>
      <c r="FK191" s="62">
        <f t="shared" si="156"/>
        <v>283.48738729114024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-1.1368683772161603E-13</v>
      </c>
      <c r="GA191" s="18">
        <f>FZ191*VLOOKUP('Données projet'!$B$17,Paramètres!$A$1:$I$89,3,0)*VLOOKUP('Données projet'!$B$17,Paramètres!$A$1:$I$89,5,0)</f>
        <v>-1.0995790944434703E-13</v>
      </c>
      <c r="GB191" s="14" t="e">
        <f t="shared" si="185"/>
        <v>#NUM!</v>
      </c>
      <c r="GC191" s="22" t="e">
        <f t="shared" si="186"/>
        <v>#NUM!</v>
      </c>
      <c r="GD191" s="62" t="e">
        <f t="shared" si="134"/>
        <v>#NUM!</v>
      </c>
      <c r="GE191" s="62">
        <f ca="1">AVERAGE(OFFSET($GD$3,0,0,'Données projet'!$E$17+1,1))-AVERAGE(OFFSET($H$3,0,0,'Données projet'!$E$17+1,1))</f>
        <v>562.69380557620775</v>
      </c>
      <c r="GF191" s="62">
        <f t="shared" si="158"/>
        <v>294.45557293177131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-1.0286385077051818E-13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529.25712986118265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-9.7543306765146564E-14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446.86777652265448</v>
      </c>
      <c r="AO192" s="62">
        <f t="shared" si="144"/>
        <v>230.82970731138215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-4.5224624045658861E-14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370.59298168107364</v>
      </c>
      <c r="BJ192" s="62">
        <f t="shared" si="146"/>
        <v>404.61777090709171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-4.1677594708744434E-14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344.45199703750711</v>
      </c>
      <c r="CE192" s="62">
        <f t="shared" si="148"/>
        <v>376.41441893222185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2.2737367544323206E-13</v>
      </c>
      <c r="CU192" s="18">
        <f>CT192*VLOOKUP('Données projet'!$B$13,Paramètres!$A$1:$I$89,3,0)*VLOOKUP('Données projet'!$B$13,Paramètres!$A$1:$I$89,5,0)</f>
        <v>1.4897523215040565E-13</v>
      </c>
      <c r="CV192" s="14">
        <f t="shared" si="173"/>
        <v>2.136562777003313E-12</v>
      </c>
      <c r="CW192" s="22">
        <f t="shared" si="174"/>
        <v>3.9806453659427267E-12</v>
      </c>
      <c r="CX192" s="62">
        <f t="shared" si="122"/>
        <v>293.33333333333729</v>
      </c>
      <c r="CY192" s="62">
        <f ca="1">AVERAGE(OFFSET($CX$3,0,0,'Données projet'!$E$13+1,1))-AVERAGE(OFFSET($H$3,0,0,'Données projet'!$E$13+1,1))</f>
        <v>311.53750850588153</v>
      </c>
      <c r="CZ192" s="62">
        <f t="shared" si="150"/>
        <v>304.84379909635476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-9.2222762759774927E-14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256.19915261735281</v>
      </c>
      <c r="DU192" s="62">
        <f t="shared" si="152"/>
        <v>297.47246687305056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5.4092197387944907E-14</v>
      </c>
      <c r="EL192" s="14">
        <f t="shared" si="179"/>
        <v>8.7287050538073676E-13</v>
      </c>
      <c r="EM192" s="22">
        <f t="shared" si="180"/>
        <v>1.6144600406554537E-12</v>
      </c>
      <c r="EN192" s="62">
        <f t="shared" si="128"/>
        <v>293.33333333333491</v>
      </c>
      <c r="EO192" s="62">
        <f ca="1">AVERAGE(OFFSET($EN$3,0,0,'Données projet'!$E$15+1,1))-AVERAGE(OFFSET($H$3,0,0,'Données projet'!$E$15+1,1))</f>
        <v>406.24139966722936</v>
      </c>
      <c r="EP192" s="62">
        <f t="shared" si="154"/>
        <v>295.95724296920577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1.1368683772161603E-13</v>
      </c>
      <c r="FF192" s="18">
        <f>FE192*VLOOKUP('Données projet'!$B$16,Paramètres!$A$1:$I$89,3,0)*VLOOKUP('Données projet'!$B$16,Paramètres!$A$1:$I$89,5,0)</f>
        <v>8.8675733422860506E-14</v>
      </c>
      <c r="FG192" s="14">
        <f t="shared" si="182"/>
        <v>1.3509285393066301E-12</v>
      </c>
      <c r="FH192" s="22">
        <f t="shared" si="183"/>
        <v>2.5073107750038623E-12</v>
      </c>
      <c r="FI192" s="62">
        <f t="shared" si="131"/>
        <v>293.33333333333582</v>
      </c>
      <c r="FJ192" s="62">
        <f ca="1">AVERAGE(OFFSET($FI$3,0,0,'Données projet'!$E$16+1,1))-AVERAGE(OFFSET($H$3,0,0,'Données projet'!$E$16+1,1))</f>
        <v>292.57482726862594</v>
      </c>
      <c r="FK192" s="62">
        <f t="shared" si="156"/>
        <v>283.48738729114024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-1.1368683772161603E-13</v>
      </c>
      <c r="GA192" s="18">
        <f>FZ192*VLOOKUP('Données projet'!$B$17,Paramètres!$A$1:$I$89,3,0)*VLOOKUP('Données projet'!$B$17,Paramètres!$A$1:$I$89,5,0)</f>
        <v>-1.0995790944434703E-13</v>
      </c>
      <c r="GB192" s="14" t="e">
        <f t="shared" si="185"/>
        <v>#NUM!</v>
      </c>
      <c r="GC192" s="22" t="e">
        <f t="shared" si="186"/>
        <v>#NUM!</v>
      </c>
      <c r="GD192" s="62" t="e">
        <f t="shared" si="134"/>
        <v>#NUM!</v>
      </c>
      <c r="GE192" s="62">
        <f ca="1">AVERAGE(OFFSET($GD$3,0,0,'Données projet'!$E$17+1,1))-AVERAGE(OFFSET($H$3,0,0,'Données projet'!$E$17+1,1))</f>
        <v>562.69380557620775</v>
      </c>
      <c r="GF192" s="62">
        <f t="shared" si="158"/>
        <v>294.45557293177131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-1.0286385077051818E-13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529.25712986118265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-9.7543306765146564E-14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446.86777652265448</v>
      </c>
      <c r="AO193" s="62">
        <f t="shared" si="144"/>
        <v>230.82970731138215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-4.5224624045658861E-14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370.59298168107364</v>
      </c>
      <c r="BJ193" s="62">
        <f t="shared" si="146"/>
        <v>404.61777090709171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-4.1677594708744434E-14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344.45199703750711</v>
      </c>
      <c r="CE193" s="62">
        <f t="shared" si="148"/>
        <v>376.41441893222185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2.2737367544323206E-13</v>
      </c>
      <c r="CU193" s="18">
        <f>CT193*VLOOKUP('Données projet'!$B$13,Paramètres!$A$1:$I$89,3,0)*VLOOKUP('Données projet'!$B$13,Paramètres!$A$1:$I$89,5,0)</f>
        <v>1.4897523215040565E-13</v>
      </c>
      <c r="CV193" s="14">
        <f t="shared" si="173"/>
        <v>2.136562777003313E-12</v>
      </c>
      <c r="CW193" s="22">
        <f t="shared" si="174"/>
        <v>3.9806453659427267E-12</v>
      </c>
      <c r="CX193" s="62">
        <f t="shared" si="122"/>
        <v>293.33333333333729</v>
      </c>
      <c r="CY193" s="62">
        <f ca="1">AVERAGE(OFFSET($CX$3,0,0,'Données projet'!$E$13+1,1))-AVERAGE(OFFSET($H$3,0,0,'Données projet'!$E$13+1,1))</f>
        <v>311.53750850588153</v>
      </c>
      <c r="CZ193" s="62">
        <f t="shared" si="150"/>
        <v>304.84379909635476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-9.2222762759774927E-14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256.19915261735281</v>
      </c>
      <c r="DU193" s="62">
        <f t="shared" si="152"/>
        <v>297.47246687305056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5.4092197387944907E-14</v>
      </c>
      <c r="EL193" s="14">
        <f t="shared" si="179"/>
        <v>8.7287050538073676E-13</v>
      </c>
      <c r="EM193" s="22">
        <f t="shared" si="180"/>
        <v>1.6144600406554537E-12</v>
      </c>
      <c r="EN193" s="62">
        <f t="shared" si="128"/>
        <v>293.33333333333491</v>
      </c>
      <c r="EO193" s="62">
        <f ca="1">AVERAGE(OFFSET($EN$3,0,0,'Données projet'!$E$15+1,1))-AVERAGE(OFFSET($H$3,0,0,'Données projet'!$E$15+1,1))</f>
        <v>406.24139966722936</v>
      </c>
      <c r="EP193" s="62">
        <f t="shared" si="154"/>
        <v>295.95724296920577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1.1368683772161603E-13</v>
      </c>
      <c r="FF193" s="18">
        <f>FE193*VLOOKUP('Données projet'!$B$16,Paramètres!$A$1:$I$89,3,0)*VLOOKUP('Données projet'!$B$16,Paramètres!$A$1:$I$89,5,0)</f>
        <v>8.8675733422860506E-14</v>
      </c>
      <c r="FG193" s="14">
        <f t="shared" si="182"/>
        <v>1.3509285393066301E-12</v>
      </c>
      <c r="FH193" s="22">
        <f t="shared" si="183"/>
        <v>2.5073107750038623E-12</v>
      </c>
      <c r="FI193" s="62">
        <f t="shared" si="131"/>
        <v>293.33333333333582</v>
      </c>
      <c r="FJ193" s="62">
        <f ca="1">AVERAGE(OFFSET($FI$3,0,0,'Données projet'!$E$16+1,1))-AVERAGE(OFFSET($H$3,0,0,'Données projet'!$E$16+1,1))</f>
        <v>292.57482726862594</v>
      </c>
      <c r="FK193" s="62">
        <f t="shared" si="156"/>
        <v>283.48738729114024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-1.1368683772161603E-13</v>
      </c>
      <c r="GA193" s="18">
        <f>FZ193*VLOOKUP('Données projet'!$B$17,Paramètres!$A$1:$I$89,3,0)*VLOOKUP('Données projet'!$B$17,Paramètres!$A$1:$I$89,5,0)</f>
        <v>-1.0995790944434703E-13</v>
      </c>
      <c r="GB193" s="14" t="e">
        <f t="shared" si="185"/>
        <v>#NUM!</v>
      </c>
      <c r="GC193" s="22" t="e">
        <f t="shared" si="186"/>
        <v>#NUM!</v>
      </c>
      <c r="GD193" s="62" t="e">
        <f t="shared" si="134"/>
        <v>#NUM!</v>
      </c>
      <c r="GE193" s="62">
        <f ca="1">AVERAGE(OFFSET($GD$3,0,0,'Données projet'!$E$17+1,1))-AVERAGE(OFFSET($H$3,0,0,'Données projet'!$E$17+1,1))</f>
        <v>562.69380557620775</v>
      </c>
      <c r="GF193" s="62">
        <f t="shared" si="158"/>
        <v>294.45557293177131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-1.0286385077051818E-13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529.25712986118265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-9.7543306765146564E-14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446.86777652265448</v>
      </c>
      <c r="AO194" s="62">
        <f t="shared" si="144"/>
        <v>230.82970731138215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-4.5224624045658861E-14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370.59298168107364</v>
      </c>
      <c r="BJ194" s="62">
        <f t="shared" si="146"/>
        <v>404.61777090709171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-4.1677594708744434E-14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344.45199703750711</v>
      </c>
      <c r="CE194" s="62">
        <f t="shared" si="148"/>
        <v>376.41441893222185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2.2737367544323206E-13</v>
      </c>
      <c r="CU194" s="18">
        <f>CT194*VLOOKUP('Données projet'!$B$13,Paramètres!$A$1:$I$89,3,0)*VLOOKUP('Données projet'!$B$13,Paramètres!$A$1:$I$89,5,0)</f>
        <v>1.4897523215040565E-13</v>
      </c>
      <c r="CV194" s="14">
        <f t="shared" si="173"/>
        <v>2.136562777003313E-12</v>
      </c>
      <c r="CW194" s="22">
        <f t="shared" si="174"/>
        <v>3.9806453659427267E-12</v>
      </c>
      <c r="CX194" s="62">
        <f t="shared" si="122"/>
        <v>293.33333333333729</v>
      </c>
      <c r="CY194" s="62">
        <f ca="1">AVERAGE(OFFSET($CX$3,0,0,'Données projet'!$E$13+1,1))-AVERAGE(OFFSET($H$3,0,0,'Données projet'!$E$13+1,1))</f>
        <v>311.53750850588153</v>
      </c>
      <c r="CZ194" s="62">
        <f t="shared" si="150"/>
        <v>304.84379909635476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-9.2222762759774927E-14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256.19915261735281</v>
      </c>
      <c r="DU194" s="62">
        <f t="shared" si="152"/>
        <v>297.47246687305056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5.4092197387944907E-14</v>
      </c>
      <c r="EL194" s="14">
        <f t="shared" si="179"/>
        <v>8.7287050538073676E-13</v>
      </c>
      <c r="EM194" s="22">
        <f t="shared" si="180"/>
        <v>1.6144600406554537E-12</v>
      </c>
      <c r="EN194" s="62">
        <f t="shared" si="128"/>
        <v>293.33333333333491</v>
      </c>
      <c r="EO194" s="62">
        <f ca="1">AVERAGE(OFFSET($EN$3,0,0,'Données projet'!$E$15+1,1))-AVERAGE(OFFSET($H$3,0,0,'Données projet'!$E$15+1,1))</f>
        <v>406.24139966722936</v>
      </c>
      <c r="EP194" s="62">
        <f t="shared" si="154"/>
        <v>295.95724296920577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1.1368683772161603E-13</v>
      </c>
      <c r="FF194" s="18">
        <f>FE194*VLOOKUP('Données projet'!$B$16,Paramètres!$A$1:$I$89,3,0)*VLOOKUP('Données projet'!$B$16,Paramètres!$A$1:$I$89,5,0)</f>
        <v>8.8675733422860506E-14</v>
      </c>
      <c r="FG194" s="14">
        <f t="shared" si="182"/>
        <v>1.3509285393066301E-12</v>
      </c>
      <c r="FH194" s="22">
        <f t="shared" si="183"/>
        <v>2.5073107750038623E-12</v>
      </c>
      <c r="FI194" s="62">
        <f t="shared" si="131"/>
        <v>293.33333333333582</v>
      </c>
      <c r="FJ194" s="62">
        <f ca="1">AVERAGE(OFFSET($FI$3,0,0,'Données projet'!$E$16+1,1))-AVERAGE(OFFSET($H$3,0,0,'Données projet'!$E$16+1,1))</f>
        <v>292.57482726862594</v>
      </c>
      <c r="FK194" s="62">
        <f t="shared" si="156"/>
        <v>283.48738729114024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-1.1368683772161603E-13</v>
      </c>
      <c r="GA194" s="18">
        <f>FZ194*VLOOKUP('Données projet'!$B$17,Paramètres!$A$1:$I$89,3,0)*VLOOKUP('Données projet'!$B$17,Paramètres!$A$1:$I$89,5,0)</f>
        <v>-1.0995790944434703E-13</v>
      </c>
      <c r="GB194" s="14" t="e">
        <f t="shared" si="185"/>
        <v>#NUM!</v>
      </c>
      <c r="GC194" s="22" t="e">
        <f t="shared" si="186"/>
        <v>#NUM!</v>
      </c>
      <c r="GD194" s="62" t="e">
        <f t="shared" si="134"/>
        <v>#NUM!</v>
      </c>
      <c r="GE194" s="62">
        <f ca="1">AVERAGE(OFFSET($GD$3,0,0,'Données projet'!$E$17+1,1))-AVERAGE(OFFSET($H$3,0,0,'Données projet'!$E$17+1,1))</f>
        <v>562.69380557620775</v>
      </c>
      <c r="GF194" s="62">
        <f t="shared" si="158"/>
        <v>294.45557293177131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-1.0286385077051818E-13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529.25712986118265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-9.7543306765146564E-14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446.86777652265448</v>
      </c>
      <c r="AO195" s="62">
        <f t="shared" si="144"/>
        <v>230.82970731138215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-4.5224624045658861E-14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370.59298168107364</v>
      </c>
      <c r="BJ195" s="62">
        <f t="shared" si="146"/>
        <v>404.61777090709171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-4.1677594708744434E-14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344.45199703750711</v>
      </c>
      <c r="CE195" s="62">
        <f t="shared" si="148"/>
        <v>376.41441893222185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2.2737367544323206E-13</v>
      </c>
      <c r="CU195" s="18">
        <f>CT195*VLOOKUP('Données projet'!$B$13,Paramètres!$A$1:$I$89,3,0)*VLOOKUP('Données projet'!$B$13,Paramètres!$A$1:$I$89,5,0)</f>
        <v>1.4897523215040565E-13</v>
      </c>
      <c r="CV195" s="14">
        <f t="shared" si="173"/>
        <v>2.136562777003313E-12</v>
      </c>
      <c r="CW195" s="22">
        <f t="shared" si="174"/>
        <v>3.9806453659427267E-12</v>
      </c>
      <c r="CX195" s="62">
        <f t="shared" si="122"/>
        <v>293.33333333333729</v>
      </c>
      <c r="CY195" s="62">
        <f ca="1">AVERAGE(OFFSET($CX$3,0,0,'Données projet'!$E$13+1,1))-AVERAGE(OFFSET($H$3,0,0,'Données projet'!$E$13+1,1))</f>
        <v>311.53750850588153</v>
      </c>
      <c r="CZ195" s="62">
        <f t="shared" si="150"/>
        <v>304.84379909635476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-9.2222762759774927E-14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256.19915261735281</v>
      </c>
      <c r="DU195" s="62">
        <f t="shared" si="152"/>
        <v>297.47246687305056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5.4092197387944907E-14</v>
      </c>
      <c r="EL195" s="14">
        <f t="shared" si="179"/>
        <v>8.7287050538073676E-13</v>
      </c>
      <c r="EM195" s="22">
        <f t="shared" si="180"/>
        <v>1.6144600406554537E-12</v>
      </c>
      <c r="EN195" s="62">
        <f t="shared" si="128"/>
        <v>293.33333333333491</v>
      </c>
      <c r="EO195" s="62">
        <f ca="1">AVERAGE(OFFSET($EN$3,0,0,'Données projet'!$E$15+1,1))-AVERAGE(OFFSET($H$3,0,0,'Données projet'!$E$15+1,1))</f>
        <v>406.24139966722936</v>
      </c>
      <c r="EP195" s="62">
        <f t="shared" si="154"/>
        <v>295.95724296920577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1.1368683772161603E-13</v>
      </c>
      <c r="FF195" s="18">
        <f>FE195*VLOOKUP('Données projet'!$B$16,Paramètres!$A$1:$I$89,3,0)*VLOOKUP('Données projet'!$B$16,Paramètres!$A$1:$I$89,5,0)</f>
        <v>8.8675733422860506E-14</v>
      </c>
      <c r="FG195" s="14">
        <f t="shared" si="182"/>
        <v>1.3509285393066301E-12</v>
      </c>
      <c r="FH195" s="22">
        <f t="shared" si="183"/>
        <v>2.5073107750038623E-12</v>
      </c>
      <c r="FI195" s="62">
        <f t="shared" si="131"/>
        <v>293.33333333333582</v>
      </c>
      <c r="FJ195" s="62">
        <f ca="1">AVERAGE(OFFSET($FI$3,0,0,'Données projet'!$E$16+1,1))-AVERAGE(OFFSET($H$3,0,0,'Données projet'!$E$16+1,1))</f>
        <v>292.57482726862594</v>
      </c>
      <c r="FK195" s="62">
        <f t="shared" si="156"/>
        <v>283.48738729114024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-1.1368683772161603E-13</v>
      </c>
      <c r="GA195" s="18">
        <f>FZ195*VLOOKUP('Données projet'!$B$17,Paramètres!$A$1:$I$89,3,0)*VLOOKUP('Données projet'!$B$17,Paramètres!$A$1:$I$89,5,0)</f>
        <v>-1.0995790944434703E-13</v>
      </c>
      <c r="GB195" s="14" t="e">
        <f t="shared" si="185"/>
        <v>#NUM!</v>
      </c>
      <c r="GC195" s="22" t="e">
        <f t="shared" si="186"/>
        <v>#NUM!</v>
      </c>
      <c r="GD195" s="62" t="e">
        <f t="shared" si="134"/>
        <v>#NUM!</v>
      </c>
      <c r="GE195" s="62">
        <f ca="1">AVERAGE(OFFSET($GD$3,0,0,'Données projet'!$E$17+1,1))-AVERAGE(OFFSET($H$3,0,0,'Données projet'!$E$17+1,1))</f>
        <v>562.69380557620775</v>
      </c>
      <c r="GF195" s="62">
        <f t="shared" si="158"/>
        <v>294.45557293177131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-1.0286385077051818E-13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529.25712986118265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-9.7543306765146564E-14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446.86777652265448</v>
      </c>
      <c r="AO196" s="62">
        <f t="shared" si="144"/>
        <v>230.82970731138215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-4.5224624045658861E-14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370.59298168107364</v>
      </c>
      <c r="BJ196" s="62">
        <f t="shared" si="146"/>
        <v>404.61777090709171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-4.1677594708744434E-14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344.45199703750711</v>
      </c>
      <c r="CE196" s="62">
        <f t="shared" si="148"/>
        <v>376.41441893222185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2.2737367544323206E-13</v>
      </c>
      <c r="CU196" s="18">
        <f>CT196*VLOOKUP('Données projet'!$B$13,Paramètres!$A$1:$I$89,3,0)*VLOOKUP('Données projet'!$B$13,Paramètres!$A$1:$I$89,5,0)</f>
        <v>1.4897523215040565E-13</v>
      </c>
      <c r="CV196" s="14">
        <f t="shared" si="173"/>
        <v>2.136562777003313E-12</v>
      </c>
      <c r="CW196" s="22">
        <f t="shared" si="174"/>
        <v>3.9806453659427267E-12</v>
      </c>
      <c r="CX196" s="62">
        <f t="shared" ref="CX196:CX203" si="196">CW196+(CO196+CP196)*44/12</f>
        <v>293.33333333333729</v>
      </c>
      <c r="CY196" s="62">
        <f ca="1">AVERAGE(OFFSET($CX$3,0,0,'Données projet'!$E$13+1,1))-AVERAGE(OFFSET($H$3,0,0,'Données projet'!$E$13+1,1))</f>
        <v>311.53750850588153</v>
      </c>
      <c r="CZ196" s="62">
        <f t="shared" si="150"/>
        <v>304.84379909635476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-9.2222762759774927E-14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256.19915261735281</v>
      </c>
      <c r="DU196" s="62">
        <f t="shared" si="152"/>
        <v>297.47246687305056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5.4092197387944907E-14</v>
      </c>
      <c r="EL196" s="14">
        <f t="shared" si="179"/>
        <v>8.7287050538073676E-13</v>
      </c>
      <c r="EM196" s="22">
        <f t="shared" si="180"/>
        <v>1.6144600406554537E-12</v>
      </c>
      <c r="EN196" s="62">
        <f t="shared" ref="EN196:EN203" si="198">EM196+(EE196+EF196)*44/12</f>
        <v>293.33333333333491</v>
      </c>
      <c r="EO196" s="62">
        <f ca="1">AVERAGE(OFFSET($EN$3,0,0,'Données projet'!$E$15+1,1))-AVERAGE(OFFSET($H$3,0,0,'Données projet'!$E$15+1,1))</f>
        <v>406.24139966722936</v>
      </c>
      <c r="EP196" s="62">
        <f t="shared" si="154"/>
        <v>295.95724296920577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1.1368683772161603E-13</v>
      </c>
      <c r="FF196" s="18">
        <f>FE196*VLOOKUP('Données projet'!$B$16,Paramètres!$A$1:$I$89,3,0)*VLOOKUP('Données projet'!$B$16,Paramètres!$A$1:$I$89,5,0)</f>
        <v>8.8675733422860506E-14</v>
      </c>
      <c r="FG196" s="14">
        <f t="shared" si="182"/>
        <v>1.3509285393066301E-12</v>
      </c>
      <c r="FH196" s="22">
        <f t="shared" si="183"/>
        <v>2.5073107750038623E-12</v>
      </c>
      <c r="FI196" s="62">
        <f t="shared" ref="FI196:FI203" si="199">FH196+(EZ196+FA196)*44/12</f>
        <v>293.33333333333582</v>
      </c>
      <c r="FJ196" s="62">
        <f ca="1">AVERAGE(OFFSET($FI$3,0,0,'Données projet'!$E$16+1,1))-AVERAGE(OFFSET($H$3,0,0,'Données projet'!$E$16+1,1))</f>
        <v>292.57482726862594</v>
      </c>
      <c r="FK196" s="62">
        <f t="shared" si="156"/>
        <v>283.48738729114024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-1.1368683772161603E-13</v>
      </c>
      <c r="GA196" s="18">
        <f>FZ196*VLOOKUP('Données projet'!$B$17,Paramètres!$A$1:$I$89,3,0)*VLOOKUP('Données projet'!$B$17,Paramètres!$A$1:$I$89,5,0)</f>
        <v>-1.0995790944434703E-13</v>
      </c>
      <c r="GB196" s="14" t="e">
        <f t="shared" si="185"/>
        <v>#NUM!</v>
      </c>
      <c r="GC196" s="22" t="e">
        <f t="shared" si="186"/>
        <v>#NUM!</v>
      </c>
      <c r="GD196" s="62" t="e">
        <f t="shared" ref="GD196:GD203" si="200">GC196+(FU196+FV196)*44/12</f>
        <v>#NUM!</v>
      </c>
      <c r="GE196" s="62">
        <f ca="1">AVERAGE(OFFSET($GD$3,0,0,'Données projet'!$E$17+1,1))-AVERAGE(OFFSET($H$3,0,0,'Données projet'!$E$17+1,1))</f>
        <v>562.69380557620775</v>
      </c>
      <c r="GF196" s="62">
        <f t="shared" si="158"/>
        <v>294.45557293177131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-1.0286385077051818E-13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529.25712986118265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-9.7543306765146564E-14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446.86777652265448</v>
      </c>
      <c r="AO197" s="62">
        <f t="shared" ref="AO197:AO203" si="205">$AO$3</f>
        <v>230.82970731138215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-4.5224624045658861E-14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370.59298168107364</v>
      </c>
      <c r="BJ197" s="62">
        <f t="shared" ref="BJ197:BJ203" si="206">$BJ$3</f>
        <v>404.61777090709171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-4.1677594708744434E-14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344.45199703750711</v>
      </c>
      <c r="CE197" s="62">
        <f t="shared" ref="CE197:CE203" si="207">$CE$3</f>
        <v>376.41441893222185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2.2737367544323206E-13</v>
      </c>
      <c r="CU197" s="18">
        <f>CT197*VLOOKUP('Données projet'!$B$13,Paramètres!$A$1:$I$89,3,0)*VLOOKUP('Données projet'!$B$13,Paramètres!$A$1:$I$89,5,0)</f>
        <v>1.4897523215040565E-13</v>
      </c>
      <c r="CV197" s="14">
        <f t="shared" si="173"/>
        <v>2.136562777003313E-12</v>
      </c>
      <c r="CW197" s="22">
        <f t="shared" si="174"/>
        <v>3.9806453659427267E-12</v>
      </c>
      <c r="CX197" s="62">
        <f t="shared" si="196"/>
        <v>293.33333333333729</v>
      </c>
      <c r="CY197" s="62">
        <f ca="1">AVERAGE(OFFSET($CX$3,0,0,'Données projet'!$E$13+1,1))-AVERAGE(OFFSET($H$3,0,0,'Données projet'!$E$13+1,1))</f>
        <v>311.53750850588153</v>
      </c>
      <c r="CZ197" s="62">
        <f t="shared" ref="CZ197:CZ203" si="208">$CZ$3</f>
        <v>304.84379909635476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-9.2222762759774927E-14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256.19915261735281</v>
      </c>
      <c r="DU197" s="62">
        <f t="shared" ref="DU197:DU203" si="209">$DU$3</f>
        <v>297.47246687305056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5.4092197387944907E-14</v>
      </c>
      <c r="EL197" s="14">
        <f t="shared" si="179"/>
        <v>8.7287050538073676E-13</v>
      </c>
      <c r="EM197" s="22">
        <f t="shared" si="180"/>
        <v>1.6144600406554537E-12</v>
      </c>
      <c r="EN197" s="62">
        <f t="shared" si="198"/>
        <v>293.33333333333491</v>
      </c>
      <c r="EO197" s="62">
        <f ca="1">AVERAGE(OFFSET($EN$3,0,0,'Données projet'!$E$15+1,1))-AVERAGE(OFFSET($H$3,0,0,'Données projet'!$E$15+1,1))</f>
        <v>406.24139966722936</v>
      </c>
      <c r="EP197" s="62">
        <f t="shared" ref="EP197:EP203" si="210">$EP$3</f>
        <v>295.95724296920577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1.1368683772161603E-13</v>
      </c>
      <c r="FF197" s="18">
        <f>FE197*VLOOKUP('Données projet'!$B$16,Paramètres!$A$1:$I$89,3,0)*VLOOKUP('Données projet'!$B$16,Paramètres!$A$1:$I$89,5,0)</f>
        <v>8.8675733422860506E-14</v>
      </c>
      <c r="FG197" s="14">
        <f t="shared" si="182"/>
        <v>1.3509285393066301E-12</v>
      </c>
      <c r="FH197" s="22">
        <f t="shared" si="183"/>
        <v>2.5073107750038623E-12</v>
      </c>
      <c r="FI197" s="62">
        <f t="shared" si="199"/>
        <v>293.33333333333582</v>
      </c>
      <c r="FJ197" s="62">
        <f ca="1">AVERAGE(OFFSET($FI$3,0,0,'Données projet'!$E$16+1,1))-AVERAGE(OFFSET($H$3,0,0,'Données projet'!$E$16+1,1))</f>
        <v>292.57482726862594</v>
      </c>
      <c r="FK197" s="62">
        <f t="shared" ref="FK197:FK203" si="211">$FK$3</f>
        <v>283.48738729114024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-1.1368683772161603E-13</v>
      </c>
      <c r="GA197" s="18">
        <f>FZ197*VLOOKUP('Données projet'!$B$17,Paramètres!$A$1:$I$89,3,0)*VLOOKUP('Données projet'!$B$17,Paramètres!$A$1:$I$89,5,0)</f>
        <v>-1.0995790944434703E-13</v>
      </c>
      <c r="GB197" s="14" t="e">
        <f t="shared" si="185"/>
        <v>#NUM!</v>
      </c>
      <c r="GC197" s="22" t="e">
        <f t="shared" si="186"/>
        <v>#NUM!</v>
      </c>
      <c r="GD197" s="62" t="e">
        <f t="shared" si="200"/>
        <v>#NUM!</v>
      </c>
      <c r="GE197" s="62">
        <f ca="1">AVERAGE(OFFSET($GD$3,0,0,'Données projet'!$E$17+1,1))-AVERAGE(OFFSET($H$3,0,0,'Données projet'!$E$17+1,1))</f>
        <v>562.69380557620775</v>
      </c>
      <c r="GF197" s="62">
        <f t="shared" ref="GF197:GF203" si="212">$GF$3</f>
        <v>294.45557293177131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-1.0286385077051818E-13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529.25712986118265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-9.7543306765146564E-14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446.86777652265448</v>
      </c>
      <c r="AO198" s="62">
        <f t="shared" si="205"/>
        <v>230.82970731138215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-4.5224624045658861E-14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370.59298168107364</v>
      </c>
      <c r="BJ198" s="62">
        <f t="shared" si="206"/>
        <v>404.61777090709171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-4.1677594708744434E-14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344.45199703750711</v>
      </c>
      <c r="CE198" s="62">
        <f t="shared" si="207"/>
        <v>376.41441893222185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2.2737367544323206E-13</v>
      </c>
      <c r="CU198" s="18">
        <f>CT198*VLOOKUP('Données projet'!$B$13,Paramètres!$A$1:$I$89,3,0)*VLOOKUP('Données projet'!$B$13,Paramètres!$A$1:$I$89,5,0)</f>
        <v>1.4897523215040565E-13</v>
      </c>
      <c r="CV198" s="14">
        <f t="shared" si="173"/>
        <v>2.136562777003313E-12</v>
      </c>
      <c r="CW198" s="22">
        <f t="shared" si="174"/>
        <v>3.9806453659427267E-12</v>
      </c>
      <c r="CX198" s="62">
        <f t="shared" si="196"/>
        <v>293.33333333333729</v>
      </c>
      <c r="CY198" s="62">
        <f ca="1">AVERAGE(OFFSET($CX$3,0,0,'Données projet'!$E$13+1,1))-AVERAGE(OFFSET($H$3,0,0,'Données projet'!$E$13+1,1))</f>
        <v>311.53750850588153</v>
      </c>
      <c r="CZ198" s="62">
        <f t="shared" si="208"/>
        <v>304.84379909635476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-9.2222762759774927E-14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256.19915261735281</v>
      </c>
      <c r="DU198" s="62">
        <f t="shared" si="209"/>
        <v>297.47246687305056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5.4092197387944907E-14</v>
      </c>
      <c r="EL198" s="14">
        <f t="shared" si="179"/>
        <v>8.7287050538073676E-13</v>
      </c>
      <c r="EM198" s="22">
        <f t="shared" si="180"/>
        <v>1.6144600406554537E-12</v>
      </c>
      <c r="EN198" s="62">
        <f t="shared" si="198"/>
        <v>293.33333333333491</v>
      </c>
      <c r="EO198" s="62">
        <f ca="1">AVERAGE(OFFSET($EN$3,0,0,'Données projet'!$E$15+1,1))-AVERAGE(OFFSET($H$3,0,0,'Données projet'!$E$15+1,1))</f>
        <v>406.24139966722936</v>
      </c>
      <c r="EP198" s="62">
        <f t="shared" si="210"/>
        <v>295.95724296920577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1.1368683772161603E-13</v>
      </c>
      <c r="FF198" s="18">
        <f>FE198*VLOOKUP('Données projet'!$B$16,Paramètres!$A$1:$I$89,3,0)*VLOOKUP('Données projet'!$B$16,Paramètres!$A$1:$I$89,5,0)</f>
        <v>8.8675733422860506E-14</v>
      </c>
      <c r="FG198" s="14">
        <f t="shared" si="182"/>
        <v>1.3509285393066301E-12</v>
      </c>
      <c r="FH198" s="22">
        <f t="shared" si="183"/>
        <v>2.5073107750038623E-12</v>
      </c>
      <c r="FI198" s="62">
        <f t="shared" si="199"/>
        <v>293.33333333333582</v>
      </c>
      <c r="FJ198" s="62">
        <f ca="1">AVERAGE(OFFSET($FI$3,0,0,'Données projet'!$E$16+1,1))-AVERAGE(OFFSET($H$3,0,0,'Données projet'!$E$16+1,1))</f>
        <v>292.57482726862594</v>
      </c>
      <c r="FK198" s="62">
        <f t="shared" si="211"/>
        <v>283.48738729114024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-1.1368683772161603E-13</v>
      </c>
      <c r="GA198" s="18">
        <f>FZ198*VLOOKUP('Données projet'!$B$17,Paramètres!$A$1:$I$89,3,0)*VLOOKUP('Données projet'!$B$17,Paramètres!$A$1:$I$89,5,0)</f>
        <v>-1.0995790944434703E-13</v>
      </c>
      <c r="GB198" s="14" t="e">
        <f t="shared" si="185"/>
        <v>#NUM!</v>
      </c>
      <c r="GC198" s="22" t="e">
        <f t="shared" si="186"/>
        <v>#NUM!</v>
      </c>
      <c r="GD198" s="62" t="e">
        <f t="shared" si="200"/>
        <v>#NUM!</v>
      </c>
      <c r="GE198" s="62">
        <f ca="1">AVERAGE(OFFSET($GD$3,0,0,'Données projet'!$E$17+1,1))-AVERAGE(OFFSET($H$3,0,0,'Données projet'!$E$17+1,1))</f>
        <v>562.69380557620775</v>
      </c>
      <c r="GF198" s="62">
        <f t="shared" si="212"/>
        <v>294.45557293177131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-1.0286385077051818E-13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529.25712986118265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-9.7543306765146564E-14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446.86777652265448</v>
      </c>
      <c r="AO199" s="62">
        <f t="shared" si="205"/>
        <v>230.82970731138215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-4.5224624045658861E-14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370.59298168107364</v>
      </c>
      <c r="BJ199" s="62">
        <f t="shared" si="206"/>
        <v>404.61777090709171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-4.1677594708744434E-14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344.45199703750711</v>
      </c>
      <c r="CE199" s="62">
        <f t="shared" si="207"/>
        <v>376.41441893222185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2.2737367544323206E-13</v>
      </c>
      <c r="CU199" s="18">
        <f>CT199*VLOOKUP('Données projet'!$B$13,Paramètres!$A$1:$I$89,3,0)*VLOOKUP('Données projet'!$B$13,Paramètres!$A$1:$I$89,5,0)</f>
        <v>1.4897523215040565E-13</v>
      </c>
      <c r="CV199" s="14">
        <f t="shared" si="173"/>
        <v>2.136562777003313E-12</v>
      </c>
      <c r="CW199" s="22">
        <f t="shared" si="174"/>
        <v>3.9806453659427267E-12</v>
      </c>
      <c r="CX199" s="62">
        <f t="shared" si="196"/>
        <v>293.33333333333729</v>
      </c>
      <c r="CY199" s="62">
        <f ca="1">AVERAGE(OFFSET($CX$3,0,0,'Données projet'!$E$13+1,1))-AVERAGE(OFFSET($H$3,0,0,'Données projet'!$E$13+1,1))</f>
        <v>311.53750850588153</v>
      </c>
      <c r="CZ199" s="62">
        <f t="shared" si="208"/>
        <v>304.84379909635476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-9.2222762759774927E-14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256.19915261735281</v>
      </c>
      <c r="DU199" s="62">
        <f t="shared" si="209"/>
        <v>297.47246687305056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5.4092197387944907E-14</v>
      </c>
      <c r="EL199" s="14">
        <f t="shared" si="179"/>
        <v>8.7287050538073676E-13</v>
      </c>
      <c r="EM199" s="22">
        <f t="shared" si="180"/>
        <v>1.6144600406554537E-12</v>
      </c>
      <c r="EN199" s="62">
        <f t="shared" si="198"/>
        <v>293.33333333333491</v>
      </c>
      <c r="EO199" s="62">
        <f ca="1">AVERAGE(OFFSET($EN$3,0,0,'Données projet'!$E$15+1,1))-AVERAGE(OFFSET($H$3,0,0,'Données projet'!$E$15+1,1))</f>
        <v>406.24139966722936</v>
      </c>
      <c r="EP199" s="62">
        <f t="shared" si="210"/>
        <v>295.95724296920577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1.1368683772161603E-13</v>
      </c>
      <c r="FF199" s="18">
        <f>FE199*VLOOKUP('Données projet'!$B$16,Paramètres!$A$1:$I$89,3,0)*VLOOKUP('Données projet'!$B$16,Paramètres!$A$1:$I$89,5,0)</f>
        <v>8.8675733422860506E-14</v>
      </c>
      <c r="FG199" s="14">
        <f t="shared" si="182"/>
        <v>1.3509285393066301E-12</v>
      </c>
      <c r="FH199" s="22">
        <f t="shared" si="183"/>
        <v>2.5073107750038623E-12</v>
      </c>
      <c r="FI199" s="62">
        <f t="shared" si="199"/>
        <v>293.33333333333582</v>
      </c>
      <c r="FJ199" s="62">
        <f ca="1">AVERAGE(OFFSET($FI$3,0,0,'Données projet'!$E$16+1,1))-AVERAGE(OFFSET($H$3,0,0,'Données projet'!$E$16+1,1))</f>
        <v>292.57482726862594</v>
      </c>
      <c r="FK199" s="62">
        <f t="shared" si="211"/>
        <v>283.48738729114024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-1.1368683772161603E-13</v>
      </c>
      <c r="GA199" s="18">
        <f>FZ199*VLOOKUP('Données projet'!$B$17,Paramètres!$A$1:$I$89,3,0)*VLOOKUP('Données projet'!$B$17,Paramètres!$A$1:$I$89,5,0)</f>
        <v>-1.0995790944434703E-13</v>
      </c>
      <c r="GB199" s="14" t="e">
        <f t="shared" si="185"/>
        <v>#NUM!</v>
      </c>
      <c r="GC199" s="22" t="e">
        <f t="shared" si="186"/>
        <v>#NUM!</v>
      </c>
      <c r="GD199" s="62" t="e">
        <f t="shared" si="200"/>
        <v>#NUM!</v>
      </c>
      <c r="GE199" s="62">
        <f ca="1">AVERAGE(OFFSET($GD$3,0,0,'Données projet'!$E$17+1,1))-AVERAGE(OFFSET($H$3,0,0,'Données projet'!$E$17+1,1))</f>
        <v>562.69380557620775</v>
      </c>
      <c r="GF199" s="62">
        <f t="shared" si="212"/>
        <v>294.45557293177131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-1.0286385077051818E-13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529.25712986118265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-9.7543306765146564E-14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446.86777652265448</v>
      </c>
      <c r="AO200" s="62">
        <f t="shared" si="205"/>
        <v>230.82970731138215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-4.5224624045658861E-14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370.59298168107364</v>
      </c>
      <c r="BJ200" s="62">
        <f t="shared" si="206"/>
        <v>404.61777090709171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-4.1677594708744434E-14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344.45199703750711</v>
      </c>
      <c r="CE200" s="62">
        <f t="shared" si="207"/>
        <v>376.41441893222185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2.2737367544323206E-13</v>
      </c>
      <c r="CU200" s="18">
        <f>CT200*VLOOKUP('Données projet'!$B$13,Paramètres!$A$1:$I$89,3,0)*VLOOKUP('Données projet'!$B$13,Paramètres!$A$1:$I$89,5,0)</f>
        <v>1.4897523215040565E-13</v>
      </c>
      <c r="CV200" s="14">
        <f t="shared" si="173"/>
        <v>2.136562777003313E-12</v>
      </c>
      <c r="CW200" s="22">
        <f t="shared" si="174"/>
        <v>3.9806453659427267E-12</v>
      </c>
      <c r="CX200" s="62">
        <f t="shared" si="196"/>
        <v>293.33333333333729</v>
      </c>
      <c r="CY200" s="62">
        <f ca="1">AVERAGE(OFFSET($CX$3,0,0,'Données projet'!$E$13+1,1))-AVERAGE(OFFSET($H$3,0,0,'Données projet'!$E$13+1,1))</f>
        <v>311.53750850588153</v>
      </c>
      <c r="CZ200" s="62">
        <f t="shared" si="208"/>
        <v>304.84379909635476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-9.2222762759774927E-14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256.19915261735281</v>
      </c>
      <c r="DU200" s="62">
        <f t="shared" si="209"/>
        <v>297.47246687305056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5.4092197387944907E-14</v>
      </c>
      <c r="EL200" s="14">
        <f t="shared" si="179"/>
        <v>8.7287050538073676E-13</v>
      </c>
      <c r="EM200" s="22">
        <f t="shared" si="180"/>
        <v>1.6144600406554537E-12</v>
      </c>
      <c r="EN200" s="62">
        <f t="shared" si="198"/>
        <v>293.33333333333491</v>
      </c>
      <c r="EO200" s="62">
        <f ca="1">AVERAGE(OFFSET($EN$3,0,0,'Données projet'!$E$15+1,1))-AVERAGE(OFFSET($H$3,0,0,'Données projet'!$E$15+1,1))</f>
        <v>406.24139966722936</v>
      </c>
      <c r="EP200" s="62">
        <f t="shared" si="210"/>
        <v>295.95724296920577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1.1368683772161603E-13</v>
      </c>
      <c r="FF200" s="18">
        <f>FE200*VLOOKUP('Données projet'!$B$16,Paramètres!$A$1:$I$89,3,0)*VLOOKUP('Données projet'!$B$16,Paramètres!$A$1:$I$89,5,0)</f>
        <v>8.8675733422860506E-14</v>
      </c>
      <c r="FG200" s="14">
        <f t="shared" si="182"/>
        <v>1.3509285393066301E-12</v>
      </c>
      <c r="FH200" s="22">
        <f t="shared" si="183"/>
        <v>2.5073107750038623E-12</v>
      </c>
      <c r="FI200" s="62">
        <f t="shared" si="199"/>
        <v>293.33333333333582</v>
      </c>
      <c r="FJ200" s="62">
        <f ca="1">AVERAGE(OFFSET($FI$3,0,0,'Données projet'!$E$16+1,1))-AVERAGE(OFFSET($H$3,0,0,'Données projet'!$E$16+1,1))</f>
        <v>292.57482726862594</v>
      </c>
      <c r="FK200" s="62">
        <f t="shared" si="211"/>
        <v>283.48738729114024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-1.1368683772161603E-13</v>
      </c>
      <c r="GA200" s="18">
        <f>FZ200*VLOOKUP('Données projet'!$B$17,Paramètres!$A$1:$I$89,3,0)*VLOOKUP('Données projet'!$B$17,Paramètres!$A$1:$I$89,5,0)</f>
        <v>-1.0995790944434703E-13</v>
      </c>
      <c r="GB200" s="14" t="e">
        <f t="shared" si="185"/>
        <v>#NUM!</v>
      </c>
      <c r="GC200" s="22" t="e">
        <f t="shared" si="186"/>
        <v>#NUM!</v>
      </c>
      <c r="GD200" s="62" t="e">
        <f t="shared" si="200"/>
        <v>#NUM!</v>
      </c>
      <c r="GE200" s="62">
        <f ca="1">AVERAGE(OFFSET($GD$3,0,0,'Données projet'!$E$17+1,1))-AVERAGE(OFFSET($H$3,0,0,'Données projet'!$E$17+1,1))</f>
        <v>562.69380557620775</v>
      </c>
      <c r="GF200" s="62">
        <f t="shared" si="212"/>
        <v>294.45557293177131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-1.0286385077051818E-13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529.25712986118265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-9.7543306765146564E-14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446.86777652265448</v>
      </c>
      <c r="AO201" s="62">
        <f t="shared" si="205"/>
        <v>230.82970731138215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-4.5224624045658861E-14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370.59298168107364</v>
      </c>
      <c r="BJ201" s="62">
        <f t="shared" si="206"/>
        <v>404.61777090709171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-4.1677594708744434E-14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344.45199703750711</v>
      </c>
      <c r="CE201" s="62">
        <f t="shared" si="207"/>
        <v>376.41441893222185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2.2737367544323206E-13</v>
      </c>
      <c r="CU201" s="18">
        <f>CT201*VLOOKUP('Données projet'!$B$13,Paramètres!$A$1:$I$89,3,0)*VLOOKUP('Données projet'!$B$13,Paramètres!$A$1:$I$89,5,0)</f>
        <v>1.4897523215040565E-13</v>
      </c>
      <c r="CV201" s="14">
        <f t="shared" si="173"/>
        <v>2.136562777003313E-12</v>
      </c>
      <c r="CW201" s="22">
        <f t="shared" si="174"/>
        <v>3.9806453659427267E-12</v>
      </c>
      <c r="CX201" s="62">
        <f t="shared" si="196"/>
        <v>293.33333333333729</v>
      </c>
      <c r="CY201" s="62">
        <f ca="1">AVERAGE(OFFSET($CX$3,0,0,'Données projet'!$E$13+1,1))-AVERAGE(OFFSET($H$3,0,0,'Données projet'!$E$13+1,1))</f>
        <v>311.53750850588153</v>
      </c>
      <c r="CZ201" s="62">
        <f t="shared" si="208"/>
        <v>304.84379909635476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-9.2222762759774927E-14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256.19915261735281</v>
      </c>
      <c r="DU201" s="62">
        <f t="shared" si="209"/>
        <v>297.47246687305056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5.4092197387944907E-14</v>
      </c>
      <c r="EL201" s="14">
        <f t="shared" si="179"/>
        <v>8.7287050538073676E-13</v>
      </c>
      <c r="EM201" s="22">
        <f t="shared" si="180"/>
        <v>1.6144600406554537E-12</v>
      </c>
      <c r="EN201" s="62">
        <f t="shared" si="198"/>
        <v>293.33333333333491</v>
      </c>
      <c r="EO201" s="62">
        <f ca="1">AVERAGE(OFFSET($EN$3,0,0,'Données projet'!$E$15+1,1))-AVERAGE(OFFSET($H$3,0,0,'Données projet'!$E$15+1,1))</f>
        <v>406.24139966722936</v>
      </c>
      <c r="EP201" s="62">
        <f t="shared" si="210"/>
        <v>295.95724296920577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1.1368683772161603E-13</v>
      </c>
      <c r="FF201" s="18">
        <f>FE201*VLOOKUP('Données projet'!$B$16,Paramètres!$A$1:$I$89,3,0)*VLOOKUP('Données projet'!$B$16,Paramètres!$A$1:$I$89,5,0)</f>
        <v>8.8675733422860506E-14</v>
      </c>
      <c r="FG201" s="14">
        <f t="shared" si="182"/>
        <v>1.3509285393066301E-12</v>
      </c>
      <c r="FH201" s="22">
        <f t="shared" si="183"/>
        <v>2.5073107750038623E-12</v>
      </c>
      <c r="FI201" s="62">
        <f t="shared" si="199"/>
        <v>293.33333333333582</v>
      </c>
      <c r="FJ201" s="62">
        <f ca="1">AVERAGE(OFFSET($FI$3,0,0,'Données projet'!$E$16+1,1))-AVERAGE(OFFSET($H$3,0,0,'Données projet'!$E$16+1,1))</f>
        <v>292.57482726862594</v>
      </c>
      <c r="FK201" s="62">
        <f t="shared" si="211"/>
        <v>283.48738729114024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-1.1368683772161603E-13</v>
      </c>
      <c r="GA201" s="18">
        <f>FZ201*VLOOKUP('Données projet'!$B$17,Paramètres!$A$1:$I$89,3,0)*VLOOKUP('Données projet'!$B$17,Paramètres!$A$1:$I$89,5,0)</f>
        <v>-1.0995790944434703E-13</v>
      </c>
      <c r="GB201" s="14" t="e">
        <f t="shared" si="185"/>
        <v>#NUM!</v>
      </c>
      <c r="GC201" s="22" t="e">
        <f t="shared" si="186"/>
        <v>#NUM!</v>
      </c>
      <c r="GD201" s="62" t="e">
        <f t="shared" si="200"/>
        <v>#NUM!</v>
      </c>
      <c r="GE201" s="62">
        <f ca="1">AVERAGE(OFFSET($GD$3,0,0,'Données projet'!$E$17+1,1))-AVERAGE(OFFSET($H$3,0,0,'Données projet'!$E$17+1,1))</f>
        <v>562.69380557620775</v>
      </c>
      <c r="GF201" s="62">
        <f t="shared" si="212"/>
        <v>294.45557293177131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-1.0286385077051818E-13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529.25712986118265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-9.7543306765146564E-14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446.86777652265448</v>
      </c>
      <c r="AO202" s="62">
        <f t="shared" si="205"/>
        <v>230.82970731138215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-4.5224624045658861E-14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370.59298168107364</v>
      </c>
      <c r="BJ202" s="62">
        <f t="shared" si="206"/>
        <v>404.61777090709171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-4.1677594708744434E-14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344.45199703750711</v>
      </c>
      <c r="CE202" s="62">
        <f t="shared" si="207"/>
        <v>376.41441893222185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2.2737367544323206E-13</v>
      </c>
      <c r="CU202" s="18">
        <f>CT202*VLOOKUP('Données projet'!$B$13,Paramètres!$A$1:$I$89,3,0)*VLOOKUP('Données projet'!$B$13,Paramètres!$A$1:$I$89,5,0)</f>
        <v>1.4897523215040565E-13</v>
      </c>
      <c r="CV202" s="14">
        <f t="shared" si="173"/>
        <v>2.136562777003313E-12</v>
      </c>
      <c r="CW202" s="22">
        <f t="shared" si="174"/>
        <v>3.9806453659427267E-12</v>
      </c>
      <c r="CX202" s="62">
        <f t="shared" si="196"/>
        <v>293.33333333333729</v>
      </c>
      <c r="CY202" s="62">
        <f ca="1">AVERAGE(OFFSET($CX$3,0,0,'Données projet'!$E$13+1,1))-AVERAGE(OFFSET($H$3,0,0,'Données projet'!$E$13+1,1))</f>
        <v>311.53750850588153</v>
      </c>
      <c r="CZ202" s="62">
        <f t="shared" si="208"/>
        <v>304.84379909635476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-9.2222762759774927E-14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256.19915261735281</v>
      </c>
      <c r="DU202" s="62">
        <f t="shared" si="209"/>
        <v>297.47246687305056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5.4092197387944907E-14</v>
      </c>
      <c r="EL202" s="14">
        <f t="shared" si="179"/>
        <v>8.7287050538073676E-13</v>
      </c>
      <c r="EM202" s="22">
        <f t="shared" si="180"/>
        <v>1.6144600406554537E-12</v>
      </c>
      <c r="EN202" s="62">
        <f t="shared" si="198"/>
        <v>293.33333333333491</v>
      </c>
      <c r="EO202" s="62">
        <f ca="1">AVERAGE(OFFSET($EN$3,0,0,'Données projet'!$E$15+1,1))-AVERAGE(OFFSET($H$3,0,0,'Données projet'!$E$15+1,1))</f>
        <v>406.24139966722936</v>
      </c>
      <c r="EP202" s="62">
        <f t="shared" si="210"/>
        <v>295.95724296920577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1.1368683772161603E-13</v>
      </c>
      <c r="FF202" s="18">
        <f>FE202*VLOOKUP('Données projet'!$B$16,Paramètres!$A$1:$I$89,3,0)*VLOOKUP('Données projet'!$B$16,Paramètres!$A$1:$I$89,5,0)</f>
        <v>8.8675733422860506E-14</v>
      </c>
      <c r="FG202" s="14">
        <f t="shared" si="182"/>
        <v>1.3509285393066301E-12</v>
      </c>
      <c r="FH202" s="22">
        <f t="shared" si="183"/>
        <v>2.5073107750038623E-12</v>
      </c>
      <c r="FI202" s="62">
        <f t="shared" si="199"/>
        <v>293.33333333333582</v>
      </c>
      <c r="FJ202" s="62">
        <f ca="1">AVERAGE(OFFSET($FI$3,0,0,'Données projet'!$E$16+1,1))-AVERAGE(OFFSET($H$3,0,0,'Données projet'!$E$16+1,1))</f>
        <v>292.57482726862594</v>
      </c>
      <c r="FK202" s="62">
        <f t="shared" si="211"/>
        <v>283.48738729114024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-1.1368683772161603E-13</v>
      </c>
      <c r="GA202" s="18">
        <f>FZ202*VLOOKUP('Données projet'!$B$17,Paramètres!$A$1:$I$89,3,0)*VLOOKUP('Données projet'!$B$17,Paramètres!$A$1:$I$89,5,0)</f>
        <v>-1.0995790944434703E-13</v>
      </c>
      <c r="GB202" s="14" t="e">
        <f t="shared" si="185"/>
        <v>#NUM!</v>
      </c>
      <c r="GC202" s="22" t="e">
        <f t="shared" si="186"/>
        <v>#NUM!</v>
      </c>
      <c r="GD202" s="62" t="e">
        <f t="shared" si="200"/>
        <v>#NUM!</v>
      </c>
      <c r="GE202" s="62">
        <f ca="1">AVERAGE(OFFSET($GD$3,0,0,'Données projet'!$E$17+1,1))-AVERAGE(OFFSET($H$3,0,0,'Données projet'!$E$17+1,1))</f>
        <v>562.69380557620775</v>
      </c>
      <c r="GF202" s="62">
        <f t="shared" si="212"/>
        <v>294.45557293177131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-1.0286385077051818E-13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529.25712986118265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-9.7543306765146564E-14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446.86777652265448</v>
      </c>
      <c r="AO203" s="62">
        <f t="shared" si="205"/>
        <v>230.82970731138215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-4.5224624045658861E-14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370.59298168107364</v>
      </c>
      <c r="BJ203" s="62">
        <f t="shared" si="206"/>
        <v>404.61777090709171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-4.1677594708744434E-14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344.45199703750711</v>
      </c>
      <c r="CE203" s="62">
        <f t="shared" si="207"/>
        <v>376.41441893222185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2.2737367544323206E-13</v>
      </c>
      <c r="CU203" s="18">
        <f>CT203*VLOOKUP('Données projet'!$B$13,Paramètres!$A$1:$I$89,3,0)*VLOOKUP('Données projet'!$B$13,Paramètres!$A$1:$I$89,5,0)</f>
        <v>1.4897523215040565E-13</v>
      </c>
      <c r="CV203" s="14">
        <f t="shared" si="173"/>
        <v>2.136562777003313E-12</v>
      </c>
      <c r="CW203" s="22">
        <f t="shared" si="174"/>
        <v>3.9806453659427267E-12</v>
      </c>
      <c r="CX203" s="62">
        <f t="shared" si="196"/>
        <v>293.33333333333729</v>
      </c>
      <c r="CY203" s="62">
        <f ca="1">AVERAGE(OFFSET($CX$3,0,0,'Données projet'!$E$13+1,1))-AVERAGE(OFFSET($H$3,0,0,'Données projet'!$E$13+1,1))</f>
        <v>311.53750850588153</v>
      </c>
      <c r="CZ203" s="62">
        <f t="shared" si="208"/>
        <v>304.84379909635476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-9.2222762759774927E-14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256.19915261735281</v>
      </c>
      <c r="DU203" s="62">
        <f t="shared" si="209"/>
        <v>297.47246687305056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5.4092197387944907E-14</v>
      </c>
      <c r="EL203" s="14">
        <f t="shared" si="179"/>
        <v>8.7287050538073676E-13</v>
      </c>
      <c r="EM203" s="22">
        <f t="shared" si="180"/>
        <v>1.6144600406554537E-12</v>
      </c>
      <c r="EN203" s="62">
        <f t="shared" si="198"/>
        <v>293.33333333333491</v>
      </c>
      <c r="EO203" s="62">
        <f ca="1">AVERAGE(OFFSET($EN$3,0,0,'Données projet'!$E$15+1,1))-AVERAGE(OFFSET($H$3,0,0,'Données projet'!$E$15+1,1))</f>
        <v>406.24139966722936</v>
      </c>
      <c r="EP203" s="62">
        <f t="shared" si="210"/>
        <v>295.95724296920577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1.1368683772161603E-13</v>
      </c>
      <c r="FF203" s="18">
        <f>FE203*VLOOKUP('Données projet'!$B$16,Paramètres!$A$1:$I$89,3,0)*VLOOKUP('Données projet'!$B$16,Paramètres!$A$1:$I$89,5,0)</f>
        <v>8.8675733422860506E-14</v>
      </c>
      <c r="FG203" s="14">
        <f t="shared" si="182"/>
        <v>1.3509285393066301E-12</v>
      </c>
      <c r="FH203" s="22">
        <f t="shared" si="183"/>
        <v>2.5073107750038623E-12</v>
      </c>
      <c r="FI203" s="62">
        <f t="shared" si="199"/>
        <v>293.33333333333582</v>
      </c>
      <c r="FJ203" s="62">
        <f ca="1">AVERAGE(OFFSET($FI$3,0,0,'Données projet'!$E$16+1,1))-AVERAGE(OFFSET($H$3,0,0,'Données projet'!$E$16+1,1))</f>
        <v>292.57482726862594</v>
      </c>
      <c r="FK203" s="62">
        <f t="shared" si="211"/>
        <v>283.48738729114024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-1.1368683772161603E-13</v>
      </c>
      <c r="GA203" s="18">
        <f>FZ203*VLOOKUP('Données projet'!$B$17,Paramètres!$A$1:$I$89,3,0)*VLOOKUP('Données projet'!$B$17,Paramètres!$A$1:$I$89,5,0)</f>
        <v>-1.0995790944434703E-13</v>
      </c>
      <c r="GB203" s="14" t="e">
        <f t="shared" si="185"/>
        <v>#NUM!</v>
      </c>
      <c r="GC203" s="22" t="e">
        <f t="shared" si="186"/>
        <v>#NUM!</v>
      </c>
      <c r="GD203" s="62" t="e">
        <f t="shared" si="200"/>
        <v>#NUM!</v>
      </c>
      <c r="GE203" s="62">
        <f ca="1">AVERAGE(OFFSET($GD$3,0,0,'Données projet'!$E$17+1,1))-AVERAGE(OFFSET($H$3,0,0,'Données projet'!$E$17+1,1))</f>
        <v>562.69380557620775</v>
      </c>
      <c r="GF203" s="62">
        <f t="shared" si="212"/>
        <v>294.45557293177131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1.1411403099940129</v>
      </c>
      <c r="BA205" s="88">
        <f>EXP(LN('Données projet'!B88)/'Données projet'!A88)</f>
        <v>1.2721323532877689</v>
      </c>
      <c r="BV205" s="88">
        <f>EXP(LN('Données projet'!B114)/'Données projet'!A114)</f>
        <v>1.2721323532877689</v>
      </c>
      <c r="CQ205" s="88">
        <f>EXP(LN('Données projet'!B140)/'Données projet'!A140)</f>
        <v>1.3020054543174677</v>
      </c>
      <c r="DL205" s="88">
        <f>EXP(LN('Données projet'!B166)/'Données projet'!A166)</f>
        <v>1.2457309396155174</v>
      </c>
      <c r="EG205" s="88">
        <f>EXP(LN('Données projet'!B192)/'Données projet'!A192)</f>
        <v>1.2934226882877784</v>
      </c>
      <c r="FB205" s="88">
        <f>EXP(LN('Données projet'!B218)/'Données projet'!A218)</f>
        <v>1.2788040393997409</v>
      </c>
      <c r="FW205" s="88">
        <f>EXP(LN('Données projet'!B244)/'Données projet'!A244)</f>
        <v>1.2392705892426346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workbookViewId="0">
      <selection activeCell="O28" sqref="O28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115" zoomScaleNormal="115" workbookViewId="0">
      <selection activeCell="D18" sqref="D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0.8819999999999999</v>
      </c>
      <c r="C6" s="156">
        <f ca="1">IF(OR('Données projet'!B9="",'Données projet'!C9="",'Données projet'!C9=0%),0,Calculateur!S3)</f>
        <v>529.25712986118265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245.38775766359333</v>
      </c>
      <c r="G6" s="156">
        <f ca="1">F6*(100%-'Données projet'!$C$24)*(100%-'Données projet'!$C$25)*(100%-'Données projet'!$C$26)*(100%-'Données projet'!$C$27)</f>
        <v>220.84898189723401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7.496999999999999</v>
      </c>
      <c r="K6" s="160">
        <f>J6*(100%-'Données projet'!$C$24)*(100%-'Données projet'!$C$25)*(100%-'Données projet'!$C$26)*(100%-'Données projet'!$C$27)</f>
        <v>6.7472999999999992</v>
      </c>
      <c r="L6" s="161">
        <f ca="1">G6+I6+K6</f>
        <v>227.59628189723401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Hêtre</v>
      </c>
      <c r="B7" s="163">
        <f>'Données projet'!D10</f>
        <v>0.57315999999999989</v>
      </c>
      <c r="C7" s="156">
        <f ca="1">IF(OR('Données projet'!B10="",'Données projet'!C10="",'Données projet'!C10=0%),0,Calculateur!AN3)</f>
        <v>446.86777652265448</v>
      </c>
      <c r="D7" s="156">
        <f>IF(OR('Données projet'!B10="",'Données projet'!C10="",'Données projet'!C10=0%),0,Calculateur!AO3)</f>
        <v>230.82970731138215</v>
      </c>
      <c r="E7" s="156">
        <f t="shared" ref="E7:E15" ca="1" si="0">MIN(C7,D7)</f>
        <v>230.82970731138215</v>
      </c>
      <c r="F7" s="156">
        <f t="shared" ref="F7:F15" ca="1" si="1">E7*B7</f>
        <v>132.30235504259176</v>
      </c>
      <c r="G7" s="156">
        <f ca="1">F7*(100%-'Données projet'!$C$24)*(100%-'Données projet'!$C$25)*(100%-'Données projet'!$C$26)*(100%-'Données projet'!$C$27)</f>
        <v>119.07211953833259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3.5822499999999993</v>
      </c>
      <c r="K7" s="160">
        <f>J7*(100%-'Données projet'!$C$24)*(100%-'Données projet'!$C$25)*(100%-'Données projet'!$C$26)*(100%-'Données projet'!$C$27)</f>
        <v>3.2240249999999993</v>
      </c>
      <c r="L7" s="161">
        <f t="shared" ref="L7:L15" ca="1" si="2">G7+I7+K7</f>
        <v>122.29614453833258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Erable sycomore</v>
      </c>
      <c r="B8" s="163">
        <f>'Données projet'!D11</f>
        <v>0.33067999999999997</v>
      </c>
      <c r="C8" s="156">
        <f ca="1">IF(OR('Données projet'!B11="",'Données projet'!C11="",'Données projet'!C11=0%),0,Calculateur!BI3)</f>
        <v>370.59298168107364</v>
      </c>
      <c r="D8" s="156">
        <f>IF(OR('Données projet'!B11="",'Données projet'!C11="",'Données projet'!C11=0%),0,Calculateur!BJ3)</f>
        <v>404.61777090709171</v>
      </c>
      <c r="E8" s="156">
        <f t="shared" ca="1" si="0"/>
        <v>370.59298168107364</v>
      </c>
      <c r="F8" s="156">
        <f t="shared" ca="1" si="1"/>
        <v>122.54768718229742</v>
      </c>
      <c r="G8" s="156">
        <f ca="1">F8*(100%-'Données projet'!$C$24)*(100%-'Données projet'!$C$25)*(100%-'Données projet'!$C$26)*(100%-'Données projet'!$C$27)</f>
        <v>110.29291846406768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11.284454999999999</v>
      </c>
      <c r="K8" s="160">
        <f>J8*(100%-'Données projet'!$C$24)*(100%-'Données projet'!$C$25)*(100%-'Données projet'!$C$26)*(100%-'Données projet'!$C$27)</f>
        <v>10.1560095</v>
      </c>
      <c r="L8" s="161">
        <f t="shared" ca="1" si="2"/>
        <v>120.44892796406768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Châtaignier</v>
      </c>
      <c r="B9" s="163">
        <f>'Données projet'!D12</f>
        <v>0.22036</v>
      </c>
      <c r="C9" s="156">
        <f ca="1">IF(OR('Données projet'!B12="",'Données projet'!C12="",'Données projet'!C12=0%),0,Calculateur!CD3)</f>
        <v>344.45199703750711</v>
      </c>
      <c r="D9" s="156">
        <f>IF(OR('Données projet'!B12="",'Données projet'!C12="",'Données projet'!C12=0%),0,Calculateur!CE3)</f>
        <v>376.41441893222185</v>
      </c>
      <c r="E9" s="156">
        <f t="shared" ca="1" si="0"/>
        <v>344.45199703750711</v>
      </c>
      <c r="F9" s="156">
        <f t="shared" ca="1" si="1"/>
        <v>75.903442067185068</v>
      </c>
      <c r="G9" s="156">
        <f ca="1">F9*(100%-'Données projet'!$C$24)*(100%-'Données projet'!$C$25)*(100%-'Données projet'!$C$26)*(100%-'Données projet'!$C$27)</f>
        <v>68.31309786046657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7.5197849999999997</v>
      </c>
      <c r="K9" s="160">
        <f>J9*(100%-'Données projet'!$C$24)*(100%-'Données projet'!$C$25)*(100%-'Données projet'!$C$26)*(100%-'Données projet'!$C$27)</f>
        <v>6.7678064999999998</v>
      </c>
      <c r="L9" s="161">
        <f t="shared" ca="1" si="2"/>
        <v>75.080904360466576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Aulne glutineux</v>
      </c>
      <c r="B10" s="163">
        <f>'Données projet'!D13</f>
        <v>0.19852</v>
      </c>
      <c r="C10" s="156">
        <f ca="1">IF(OR('Données projet'!B13="",'Données projet'!C13="",'Données projet'!C13=0%),0,Calculateur!CY3)</f>
        <v>311.53750850588153</v>
      </c>
      <c r="D10" s="156">
        <f>IF(OR('Données projet'!B13="",'Données projet'!C13="",'Données projet'!C13=0%),0,Calculateur!CZ3)</f>
        <v>304.84379909635476</v>
      </c>
      <c r="E10" s="156">
        <f t="shared" ca="1" si="0"/>
        <v>304.84379909635476</v>
      </c>
      <c r="F10" s="156">
        <f t="shared" ca="1" si="1"/>
        <v>60.517590996608348</v>
      </c>
      <c r="G10" s="156">
        <f ca="1">F10*(100%-'Données projet'!$C$24)*(100%-'Données projet'!$C$25)*(100%-'Données projet'!$C$26)*(100%-'Données projet'!$C$27)</f>
        <v>54.465831896947513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2.08446</v>
      </c>
      <c r="K10" s="160">
        <f>J10*(100%-'Données projet'!$C$24)*(100%-'Données projet'!$C$25)*(100%-'Données projet'!$C$26)*(100%-'Données projet'!$C$27)</f>
        <v>1.8760140000000001</v>
      </c>
      <c r="L10" s="161">
        <f t="shared" ca="1" si="2"/>
        <v>56.341845896947511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Bouleau verruqueux</v>
      </c>
      <c r="B11" s="163">
        <f>'Données projet'!D14</f>
        <v>0.19852</v>
      </c>
      <c r="C11" s="156">
        <f ca="1">IF(OR('Données projet'!B14="",'Données projet'!C14="",'Données projet'!C14=0%),0,Calculateur!DT3)</f>
        <v>256.19915261735281</v>
      </c>
      <c r="D11" s="156">
        <f>IF(OR('Données projet'!B14="",'Données projet'!C14="",'Données projet'!C14=0%),0,Calculateur!DU3)</f>
        <v>297.47246687305056</v>
      </c>
      <c r="E11" s="156">
        <f t="shared" ca="1" si="0"/>
        <v>256.19915261735281</v>
      </c>
      <c r="F11" s="156">
        <f t="shared" ca="1" si="1"/>
        <v>50.860655777596882</v>
      </c>
      <c r="G11" s="156">
        <f ca="1">F11*(100%-'Données projet'!$C$24)*(100%-'Données projet'!$C$25)*(100%-'Données projet'!$C$26)*(100%-'Données projet'!$C$27)</f>
        <v>45.774590199837192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1.9852000000000001</v>
      </c>
      <c r="K11" s="160">
        <f>J11*(100%-'Données projet'!$C$24)*(100%-'Données projet'!$C$25)*(100%-'Données projet'!$C$26)*(100%-'Données projet'!$C$27)</f>
        <v>1.78668</v>
      </c>
      <c r="L11" s="161">
        <f t="shared" ca="1" si="2"/>
        <v>47.561270199837189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Charme</v>
      </c>
      <c r="B12" s="163">
        <f>'Données projet'!D15</f>
        <v>0.1764</v>
      </c>
      <c r="C12" s="156">
        <f ca="1">IF(OR('Données projet'!B15="",'Données projet'!C15="",'Données projet'!C15=0%),0,Calculateur!EO3)</f>
        <v>406.24139966722936</v>
      </c>
      <c r="D12" s="156">
        <f>IF(OR('Données projet'!B15="",'Données projet'!C15="",'Données projet'!C15=0%),0,Calculateur!EP3)</f>
        <v>295.95724296920577</v>
      </c>
      <c r="E12" s="156">
        <f t="shared" ca="1" si="0"/>
        <v>295.95724296920577</v>
      </c>
      <c r="F12" s="156">
        <f t="shared" ca="1" si="1"/>
        <v>52.206857659767898</v>
      </c>
      <c r="G12" s="156">
        <f ca="1">F12*(100%-'Données projet'!$C$24)*(100%-'Données projet'!$C$25)*(100%-'Données projet'!$C$26)*(100%-'Données projet'!$C$27)</f>
        <v>46.986171893791109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1.583076923076923</v>
      </c>
      <c r="K12" s="160">
        <f>J12*(100%-'Données projet'!$C$24)*(100%-'Données projet'!$C$25)*(100%-'Données projet'!$C$26)*(100%-'Données projet'!$C$27)</f>
        <v>1.4247692307692308</v>
      </c>
      <c r="L12" s="161">
        <f t="shared" ca="1" si="2"/>
        <v>48.410941124560338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Merisier</v>
      </c>
      <c r="B13" s="163">
        <f>'Données projet'!D16</f>
        <v>0.11031999999999999</v>
      </c>
      <c r="C13" s="156">
        <f ca="1">IF(OR('Données projet'!B16="",'Données projet'!C16="",'Données projet'!C16=0%),0,Calculateur!FJ3)</f>
        <v>292.57482726862594</v>
      </c>
      <c r="D13" s="156">
        <f>IF(OR('Données projet'!B16="",'Données projet'!C16="",'Données projet'!C16=0%),0,Calculateur!FK3)</f>
        <v>283.48738729114024</v>
      </c>
      <c r="E13" s="156">
        <f t="shared" ca="1" si="0"/>
        <v>283.48738729114024</v>
      </c>
      <c r="F13" s="156">
        <f t="shared" ca="1" si="1"/>
        <v>31.274328565958587</v>
      </c>
      <c r="G13" s="156">
        <f ca="1">F13*(100%-'Données projet'!$C$24)*(100%-'Données projet'!$C$25)*(100%-'Données projet'!$C$26)*(100%-'Données projet'!$C$27)</f>
        <v>28.146895709362727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1.5168999999999999</v>
      </c>
      <c r="K13" s="160">
        <f>J13*(100%-'Données projet'!$C$24)*(100%-'Données projet'!$C$25)*(100%-'Données projet'!$C$26)*(100%-'Données projet'!$C$27)</f>
        <v>1.36521</v>
      </c>
      <c r="L13" s="161">
        <f t="shared" ca="1" si="2"/>
        <v>29.512105709362729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>Alisier torminal</v>
      </c>
      <c r="B14" s="163">
        <f>'Données projet'!D17</f>
        <v>0.11004</v>
      </c>
      <c r="C14" s="156">
        <f ca="1">IF(OR('Données projet'!B17="",'Données projet'!C17="",'Données projet'!C17=0%),0,Calculateur!GE3)</f>
        <v>562.69380557620775</v>
      </c>
      <c r="D14" s="156">
        <f>IF(OR('Données projet'!B17="",'Données projet'!C17="",'Données projet'!C17=0%),0,Calculateur!GF3)</f>
        <v>294.45557293177131</v>
      </c>
      <c r="E14" s="156">
        <f t="shared" ca="1" si="0"/>
        <v>294.45557293177131</v>
      </c>
      <c r="F14" s="156">
        <f t="shared" ca="1" si="1"/>
        <v>32.401891245412116</v>
      </c>
      <c r="G14" s="156">
        <f ca="1">F14*(100%-'Données projet'!$C$24)*(100%-'Données projet'!$C$25)*(100%-'Données projet'!$C$26)*(100%-'Données projet'!$C$27)</f>
        <v>29.161702120870906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0.93533999999999995</v>
      </c>
      <c r="K14" s="160">
        <f>J14*(100%-'Données projet'!$C$24)*(100%-'Données projet'!$C$25)*(100%-'Données projet'!$C$26)*(100%-'Données projet'!$C$27)</f>
        <v>0.84180599999999994</v>
      </c>
      <c r="L14" s="161">
        <f t="shared" ca="1" si="2"/>
        <v>30.003508120870904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803.4025662010115</v>
      </c>
      <c r="G16" s="175">
        <f t="shared" ca="1" si="3"/>
        <v>723.06230958091044</v>
      </c>
      <c r="H16" s="176">
        <f t="shared" si="3"/>
        <v>0</v>
      </c>
      <c r="I16" s="176">
        <f t="shared" si="3"/>
        <v>0</v>
      </c>
      <c r="J16" s="177">
        <f t="shared" si="3"/>
        <v>37.988466923076913</v>
      </c>
      <c r="K16" s="177">
        <f t="shared" si="3"/>
        <v>34.189620230769222</v>
      </c>
      <c r="L16" s="178">
        <f t="shared" ca="1" si="3"/>
        <v>757.25192981167947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Hêtre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Erable sycomore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Châtaignier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Aulne glutineux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Bouleau verruqueux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Charme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Merisier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>Alisier torminal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I19" zoomScale="90" zoomScaleNormal="90" workbookViewId="0">
      <selection activeCell="T24" sqref="T24:V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858.81620207483456</v>
      </c>
      <c r="U10" s="190">
        <f>'Données projet'!D9</f>
        <v>0.8819999999999999</v>
      </c>
      <c r="V10" s="189">
        <f>U10*T10</f>
        <v>757.47589023000398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Hêtre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839.83370875552941</v>
      </c>
      <c r="U11" s="190">
        <f>'Données projet'!D10</f>
        <v>0.57315999999999989</v>
      </c>
      <c r="V11" s="189">
        <f t="shared" ref="V11" si="0">U11*T11</f>
        <v>481.35908851031917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Erable sycomore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2413.5098055580429</v>
      </c>
      <c r="U12" s="190">
        <f>'Données projet'!D11</f>
        <v>0.33067999999999997</v>
      </c>
      <c r="V12" s="189">
        <f t="shared" ref="V12:V19" si="1">U12*T12</f>
        <v>798.09942250193353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Châtaignier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2413.5098055580429</v>
      </c>
      <c r="U13" s="190">
        <f>'Données projet'!D12</f>
        <v>0.22036</v>
      </c>
      <c r="V13" s="189">
        <f t="shared" si="1"/>
        <v>531.84102075277031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Aulne glutineux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866.9420751237401</v>
      </c>
      <c r="U14" s="190">
        <f>'Données projet'!D13</f>
        <v>0.19852</v>
      </c>
      <c r="V14" s="189">
        <f t="shared" si="1"/>
        <v>172.10534075356489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1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Bouleau verruqueux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976.70760495882212</v>
      </c>
      <c r="U15" s="190">
        <f>'Données projet'!D14</f>
        <v>0.19852</v>
      </c>
      <c r="V15" s="189">
        <f t="shared" si="1"/>
        <v>193.89599373642537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Charme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492.10828152068848</v>
      </c>
      <c r="U16" s="190">
        <f>'Données projet'!D15</f>
        <v>0.1764</v>
      </c>
      <c r="V16" s="189">
        <f t="shared" si="1"/>
        <v>86.807900860249447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Merisier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3260.7616349994987</v>
      </c>
      <c r="U17" s="190">
        <f>'Données projet'!D16</f>
        <v>0.11031999999999999</v>
      </c>
      <c r="V17" s="189">
        <f t="shared" si="1"/>
        <v>359.72722357314467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>Alisier torminal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858.81620207483456</v>
      </c>
      <c r="U18" s="190">
        <f>'Données projet'!D17</f>
        <v>0.11004</v>
      </c>
      <c r="V18" s="189">
        <f t="shared" si="1"/>
        <v>94.504134876314794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8577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-20539.783984205271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34</v>
      </c>
      <c r="C24" s="206">
        <v>10</v>
      </c>
      <c r="D24" s="194">
        <f t="shared" ref="D24:D42" si="2">B24*C24</f>
        <v>340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-20539.783984205271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56</v>
      </c>
      <c r="C26" s="206">
        <v>10</v>
      </c>
      <c r="D26" s="194">
        <f t="shared" si="2"/>
        <v>560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56</v>
      </c>
      <c r="C28" s="206">
        <v>10</v>
      </c>
      <c r="D28" s="194">
        <f t="shared" si="2"/>
        <v>560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56</v>
      </c>
      <c r="C30" s="206">
        <v>20</v>
      </c>
      <c r="D30" s="194">
        <f t="shared" si="2"/>
        <v>1120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56</v>
      </c>
      <c r="C32" s="206">
        <v>30</v>
      </c>
      <c r="D32" s="194">
        <f t="shared" si="2"/>
        <v>1680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56</v>
      </c>
      <c r="C34" s="206">
        <v>40</v>
      </c>
      <c r="D34" s="194">
        <f t="shared" si="2"/>
        <v>2240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84</v>
      </c>
      <c r="C36" s="206">
        <v>50</v>
      </c>
      <c r="D36" s="194">
        <f t="shared" si="2"/>
        <v>4200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106</v>
      </c>
      <c r="C38" s="206">
        <v>70</v>
      </c>
      <c r="D38" s="194">
        <f t="shared" si="2"/>
        <v>7420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130</v>
      </c>
      <c r="B40" s="193">
        <f>'Données projet'!D53</f>
        <v>91</v>
      </c>
      <c r="C40" s="206">
        <v>100</v>
      </c>
      <c r="D40" s="194">
        <f t="shared" si="2"/>
        <v>9100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376</v>
      </c>
      <c r="C42" s="206">
        <v>200</v>
      </c>
      <c r="D42" s="194">
        <f t="shared" si="2"/>
        <v>75200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Hêtre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21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27</v>
      </c>
      <c r="B55" s="193">
        <f>'Données projet'!D63</f>
        <v>12</v>
      </c>
      <c r="C55" s="204">
        <v>10</v>
      </c>
      <c r="D55" s="191">
        <f t="shared" ref="D55:D73" si="4">B55*C55</f>
        <v>120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13</v>
      </c>
      <c r="C56" s="204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36</v>
      </c>
      <c r="B57" s="193">
        <f>'Données projet'!D65</f>
        <v>60</v>
      </c>
      <c r="C57" s="204">
        <v>10</v>
      </c>
      <c r="D57" s="191">
        <f t="shared" si="4"/>
        <v>600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42</v>
      </c>
      <c r="B58" s="193">
        <f>'Données projet'!D66</f>
        <v>59</v>
      </c>
      <c r="C58" s="204">
        <v>10</v>
      </c>
      <c r="D58" s="191">
        <f t="shared" si="4"/>
        <v>590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48</v>
      </c>
      <c r="B59" s="193">
        <f>'Données projet'!D67</f>
        <v>63</v>
      </c>
      <c r="C59" s="204">
        <v>10</v>
      </c>
      <c r="D59" s="191">
        <f t="shared" si="4"/>
        <v>630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54</v>
      </c>
      <c r="B60" s="193">
        <f>'Données projet'!D68</f>
        <v>64</v>
      </c>
      <c r="C60" s="204">
        <v>10</v>
      </c>
      <c r="D60" s="191">
        <f t="shared" si="4"/>
        <v>640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61</v>
      </c>
      <c r="C61" s="204">
        <v>15</v>
      </c>
      <c r="D61" s="191">
        <f t="shared" si="4"/>
        <v>915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69</v>
      </c>
      <c r="B62" s="193">
        <f>'Données projet'!D70</f>
        <v>84</v>
      </c>
      <c r="C62" s="204">
        <v>15</v>
      </c>
      <c r="D62" s="191">
        <f t="shared" si="4"/>
        <v>1260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78</v>
      </c>
      <c r="B63" s="193">
        <f>'Données projet'!D71</f>
        <v>39</v>
      </c>
      <c r="C63" s="204">
        <v>20</v>
      </c>
      <c r="D63" s="191">
        <f t="shared" si="4"/>
        <v>780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84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90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96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99</v>
      </c>
      <c r="B67" s="193">
        <f>'Données projet'!D75</f>
        <v>591</v>
      </c>
      <c r="C67" s="204">
        <v>40</v>
      </c>
      <c r="D67" s="191">
        <f t="shared" si="4"/>
        <v>23640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Erable sycomore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20</v>
      </c>
      <c r="B87" s="193">
        <f>'Données projet'!D90</f>
        <v>66.5</v>
      </c>
      <c r="C87" s="204">
        <v>10</v>
      </c>
      <c r="D87" s="191">
        <f t="shared" si="6"/>
        <v>665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25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30</v>
      </c>
      <c r="B89" s="193">
        <f>'Données projet'!D92</f>
        <v>70</v>
      </c>
      <c r="C89" s="204">
        <v>15</v>
      </c>
      <c r="D89" s="191">
        <f t="shared" si="6"/>
        <v>1050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35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40</v>
      </c>
      <c r="B91" s="193">
        <f>'Données projet'!D94</f>
        <v>70</v>
      </c>
      <c r="C91" s="204">
        <v>25</v>
      </c>
      <c r="D91" s="191">
        <f t="shared" si="6"/>
        <v>1750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45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50</v>
      </c>
      <c r="B93" s="193">
        <f>'Données projet'!D96</f>
        <v>43.099999999999994</v>
      </c>
      <c r="C93" s="204">
        <v>30</v>
      </c>
      <c r="D93" s="191">
        <f t="shared" si="6"/>
        <v>1292.9999999999998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55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60</v>
      </c>
      <c r="B95" s="193">
        <f>'Données projet'!D98</f>
        <v>30.2</v>
      </c>
      <c r="C95" s="204">
        <v>50</v>
      </c>
      <c r="D95" s="191">
        <f t="shared" si="6"/>
        <v>1510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65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70</v>
      </c>
      <c r="B97" s="193">
        <f>'Données projet'!D100</f>
        <v>25.9</v>
      </c>
      <c r="C97" s="204">
        <v>80</v>
      </c>
      <c r="D97" s="191">
        <f t="shared" si="6"/>
        <v>2072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75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80</v>
      </c>
      <c r="B99" s="193">
        <f>'Données projet'!D102</f>
        <v>341.3</v>
      </c>
      <c r="C99" s="204">
        <v>120</v>
      </c>
      <c r="D99" s="191">
        <f t="shared" si="6"/>
        <v>40956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Châtaignier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15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20</v>
      </c>
      <c r="B118" s="193">
        <f>'Données projet'!D116</f>
        <v>66.5</v>
      </c>
      <c r="C118" s="204">
        <v>10</v>
      </c>
      <c r="D118" s="191">
        <f t="shared" si="8"/>
        <v>665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25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30</v>
      </c>
      <c r="B120" s="193">
        <f>'Données projet'!D118</f>
        <v>70</v>
      </c>
      <c r="C120" s="204">
        <v>15</v>
      </c>
      <c r="D120" s="191">
        <f t="shared" si="8"/>
        <v>1050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35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40</v>
      </c>
      <c r="B122" s="193">
        <f>'Données projet'!D120</f>
        <v>70</v>
      </c>
      <c r="C122" s="204">
        <v>25</v>
      </c>
      <c r="D122" s="191">
        <f t="shared" si="8"/>
        <v>1750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45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43.099999999999994</v>
      </c>
      <c r="C124" s="204">
        <v>30</v>
      </c>
      <c r="D124" s="191">
        <f t="shared" si="8"/>
        <v>1292.9999999999998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55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60</v>
      </c>
      <c r="B126" s="193">
        <f>'Données projet'!D124</f>
        <v>30.2</v>
      </c>
      <c r="C126" s="204">
        <v>50</v>
      </c>
      <c r="D126" s="191">
        <f t="shared" si="8"/>
        <v>1510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65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70</v>
      </c>
      <c r="B128" s="193">
        <f>'Données projet'!D126</f>
        <v>25.9</v>
      </c>
      <c r="C128" s="204">
        <v>80</v>
      </c>
      <c r="D128" s="191">
        <f t="shared" si="8"/>
        <v>2072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75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80</v>
      </c>
      <c r="B130" s="193">
        <f>'Données projet'!D128</f>
        <v>341.3</v>
      </c>
      <c r="C130" s="204">
        <v>120</v>
      </c>
      <c r="D130" s="191">
        <f t="shared" si="8"/>
        <v>40956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Aulne glutineux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42</v>
      </c>
      <c r="C150" s="204">
        <v>10</v>
      </c>
      <c r="D150" s="194">
        <f t="shared" si="10"/>
        <v>420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54</v>
      </c>
      <c r="C152" s="204">
        <v>15</v>
      </c>
      <c r="D152" s="194">
        <f t="shared" si="10"/>
        <v>810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56</v>
      </c>
      <c r="C154" s="204">
        <v>20</v>
      </c>
      <c r="D154" s="194">
        <f t="shared" si="10"/>
        <v>1120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52</v>
      </c>
      <c r="C156" s="204">
        <v>25</v>
      </c>
      <c r="D156" s="194">
        <f t="shared" si="10"/>
        <v>1300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7">
        <f>'Données projet'!D151</f>
        <v>46</v>
      </c>
      <c r="C158" s="204">
        <v>25</v>
      </c>
      <c r="D158" s="194">
        <f t="shared" si="10"/>
        <v>1150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7">
        <f>'Données projet'!D153</f>
        <v>40</v>
      </c>
      <c r="C160" s="204">
        <v>25</v>
      </c>
      <c r="D160" s="194">
        <f t="shared" si="10"/>
        <v>1000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85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90</v>
      </c>
      <c r="B163" s="187">
        <f>'Données projet'!D156</f>
        <v>317</v>
      </c>
      <c r="C163" s="204">
        <v>30</v>
      </c>
      <c r="D163" s="194">
        <f t="shared" si="10"/>
        <v>9510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Bouleau verruqueux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15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20</v>
      </c>
      <c r="B180" s="193">
        <f>'Données projet'!D168</f>
        <v>40</v>
      </c>
      <c r="C180" s="206">
        <v>10</v>
      </c>
      <c r="D180" s="191">
        <f t="shared" si="11"/>
        <v>400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25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35</v>
      </c>
      <c r="B183" s="193">
        <f>'Données projet'!D171</f>
        <v>76</v>
      </c>
      <c r="C183" s="206">
        <v>10</v>
      </c>
      <c r="D183" s="191">
        <f t="shared" si="11"/>
        <v>760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45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55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60</v>
      </c>
      <c r="B188" s="193">
        <f>'Données projet'!D176</f>
        <v>303</v>
      </c>
      <c r="C188" s="206">
        <v>30</v>
      </c>
      <c r="D188" s="191">
        <f t="shared" si="11"/>
        <v>9090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Charme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15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25</v>
      </c>
      <c r="B211" s="193">
        <f>'Données projet'!D194</f>
        <v>35.897435897435898</v>
      </c>
      <c r="C211" s="206">
        <v>10</v>
      </c>
      <c r="D211" s="191">
        <f t="shared" si="12"/>
        <v>358.97435897435901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35</v>
      </c>
      <c r="B213" s="193">
        <f>'Données projet'!D196</f>
        <v>33.333333333333336</v>
      </c>
      <c r="C213" s="206">
        <v>10</v>
      </c>
      <c r="D213" s="191">
        <f t="shared" si="12"/>
        <v>333.33333333333337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45</v>
      </c>
      <c r="B215" s="193">
        <f>'Données projet'!D198</f>
        <v>34.615384615384613</v>
      </c>
      <c r="C215" s="206">
        <v>15</v>
      </c>
      <c r="D215" s="191">
        <f t="shared" si="12"/>
        <v>519.23076923076917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55</v>
      </c>
      <c r="B217" s="193">
        <f>'Données projet'!D200</f>
        <v>34.615384615384613</v>
      </c>
      <c r="C217" s="206">
        <v>15</v>
      </c>
      <c r="D217" s="191">
        <f t="shared" si="12"/>
        <v>519.23076923076917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65</v>
      </c>
      <c r="B219" s="193">
        <f>'Données projet'!D202</f>
        <v>32.692307692307693</v>
      </c>
      <c r="C219" s="206">
        <v>20</v>
      </c>
      <c r="D219" s="191">
        <f t="shared" si="12"/>
        <v>653.84615384615381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75</v>
      </c>
      <c r="B221" s="193">
        <f>'Données projet'!D204</f>
        <v>30.769230769230766</v>
      </c>
      <c r="C221" s="206">
        <v>25</v>
      </c>
      <c r="D221" s="191">
        <f t="shared" si="12"/>
        <v>769.23076923076917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85</v>
      </c>
      <c r="B223" s="193">
        <f>'Données projet'!D206</f>
        <v>28.846153846153847</v>
      </c>
      <c r="C223" s="206">
        <v>30</v>
      </c>
      <c r="D223" s="191">
        <f t="shared" si="12"/>
        <v>865.38461538461536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95</v>
      </c>
      <c r="B225" s="193">
        <f>'Données projet'!D208</f>
        <v>27.564102564102562</v>
      </c>
      <c r="C225" s="206">
        <v>30</v>
      </c>
      <c r="D225" s="191">
        <f t="shared" si="12"/>
        <v>826.92307692307691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100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110</v>
      </c>
      <c r="B227" s="193">
        <f>'Données projet'!D210</f>
        <v>37.820512820512818</v>
      </c>
      <c r="C227" s="206">
        <v>40</v>
      </c>
      <c r="D227" s="191">
        <f t="shared" si="12"/>
        <v>1512.8205128205127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120</v>
      </c>
      <c r="B228" s="193">
        <f>'Données projet'!D211</f>
        <v>285.89743589743591</v>
      </c>
      <c r="C228" s="206">
        <v>50</v>
      </c>
      <c r="D228" s="191">
        <f t="shared" si="12"/>
        <v>14294.871794871795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Merisier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15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25</v>
      </c>
      <c r="B242" s="193">
        <f>'Données projet'!D220</f>
        <v>55</v>
      </c>
      <c r="C242" s="206">
        <v>10</v>
      </c>
      <c r="D242" s="191">
        <f t="shared" si="13"/>
        <v>550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31</v>
      </c>
      <c r="B243" s="193">
        <f>'Données projet'!D221</f>
        <v>36</v>
      </c>
      <c r="C243" s="206">
        <v>10</v>
      </c>
      <c r="D243" s="191">
        <f t="shared" si="13"/>
        <v>360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37</v>
      </c>
      <c r="B244" s="193">
        <f>'Données projet'!D222</f>
        <v>36</v>
      </c>
      <c r="C244" s="206">
        <v>15</v>
      </c>
      <c r="D244" s="191">
        <f t="shared" si="13"/>
        <v>540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44</v>
      </c>
      <c r="B245" s="193">
        <f>'Données projet'!D223</f>
        <v>43</v>
      </c>
      <c r="C245" s="206">
        <v>20</v>
      </c>
      <c r="D245" s="191">
        <f t="shared" si="13"/>
        <v>860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52</v>
      </c>
      <c r="B246" s="193">
        <f>'Données projet'!D224</f>
        <v>48</v>
      </c>
      <c r="C246" s="206">
        <v>40</v>
      </c>
      <c r="D246" s="191">
        <f t="shared" si="13"/>
        <v>1920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60</v>
      </c>
      <c r="B247" s="193">
        <f>'Données projet'!D225</f>
        <v>47</v>
      </c>
      <c r="C247" s="206">
        <v>60</v>
      </c>
      <c r="D247" s="191">
        <f t="shared" si="13"/>
        <v>2820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69</v>
      </c>
      <c r="B248" s="193">
        <f>'Données projet'!D226</f>
        <v>328</v>
      </c>
      <c r="C248" s="206">
        <v>150</v>
      </c>
      <c r="D248" s="191">
        <f t="shared" si="13"/>
        <v>49200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>Alisier torminal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20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25</v>
      </c>
      <c r="B272" s="193">
        <f>'Données projet'!D245</f>
        <v>34</v>
      </c>
      <c r="C272" s="206">
        <v>10</v>
      </c>
      <c r="D272" s="191">
        <f t="shared" ref="D272:D290" si="14">B272*C272</f>
        <v>340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30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35</v>
      </c>
      <c r="B274" s="193">
        <f>'Données projet'!D247</f>
        <v>56</v>
      </c>
      <c r="C274" s="206">
        <v>10</v>
      </c>
      <c r="D274" s="191">
        <f t="shared" si="14"/>
        <v>560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40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45</v>
      </c>
      <c r="B276" s="193">
        <f>'Données projet'!D249</f>
        <v>56</v>
      </c>
      <c r="C276" s="206">
        <v>10</v>
      </c>
      <c r="D276" s="191">
        <f t="shared" si="14"/>
        <v>560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50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55</v>
      </c>
      <c r="B278" s="193">
        <f>'Données projet'!D251</f>
        <v>56</v>
      </c>
      <c r="C278" s="206">
        <v>20</v>
      </c>
      <c r="D278" s="191">
        <f t="shared" si="14"/>
        <v>1120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60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65</v>
      </c>
      <c r="B280" s="193">
        <f>'Données projet'!D253</f>
        <v>56</v>
      </c>
      <c r="C280" s="206">
        <v>30</v>
      </c>
      <c r="D280" s="191">
        <f t="shared" si="14"/>
        <v>1680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70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75</v>
      </c>
      <c r="B282" s="193">
        <f>'Données projet'!D255</f>
        <v>56</v>
      </c>
      <c r="C282" s="206">
        <v>40</v>
      </c>
      <c r="D282" s="191">
        <f t="shared" si="14"/>
        <v>2240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80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90</v>
      </c>
      <c r="B284" s="193">
        <f>'Données projet'!D257</f>
        <v>84</v>
      </c>
      <c r="C284" s="206">
        <v>50</v>
      </c>
      <c r="D284" s="191">
        <f t="shared" si="14"/>
        <v>4200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100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110</v>
      </c>
      <c r="B286" s="193">
        <f>'Données projet'!D259</f>
        <v>106</v>
      </c>
      <c r="C286" s="206">
        <v>70</v>
      </c>
      <c r="D286" s="191">
        <f t="shared" si="14"/>
        <v>7420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120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130</v>
      </c>
      <c r="B288" s="193">
        <f>'Données projet'!D261</f>
        <v>91</v>
      </c>
      <c r="C288" s="206">
        <v>100</v>
      </c>
      <c r="D288" s="191">
        <f t="shared" si="14"/>
        <v>9100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140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150</v>
      </c>
      <c r="B290" s="193">
        <f>'Données projet'!D263</f>
        <v>376</v>
      </c>
      <c r="C290" s="206">
        <v>200</v>
      </c>
      <c r="D290" s="191">
        <f t="shared" si="14"/>
        <v>75200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2022-03-24T15:36:15Z</dcterms:modified>
</cp:coreProperties>
</file>