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Normandie-IleDeFrance-EureEtLoire\Projet Châtenay-Malabry_122021\"/>
    </mc:Choice>
  </mc:AlternateContent>
  <bookViews>
    <workbookView xWindow="0" yWindow="0" windowWidth="28800" windowHeight="127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0" i="1" l="1"/>
  <c r="B199" i="1"/>
  <c r="B198" i="1"/>
  <c r="B197" i="1"/>
  <c r="B196" i="1"/>
  <c r="B195" i="1"/>
  <c r="B194" i="1"/>
  <c r="B193" i="1"/>
  <c r="B175" i="1"/>
  <c r="B174" i="1"/>
  <c r="B173" i="1"/>
  <c r="B172" i="1"/>
  <c r="B171" i="1"/>
  <c r="B170" i="1"/>
  <c r="B169" i="1"/>
  <c r="B168" i="1"/>
  <c r="B167" i="1"/>
  <c r="B1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X18" i="2"/>
  <c r="EV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B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C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A155" i="2"/>
  <c r="DI154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AB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EA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EA161" i="2"/>
  <c r="ED160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W162" i="2"/>
  <c r="EY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V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H164" i="2"/>
  <c r="EX164" i="2"/>
  <c r="EV164" i="2"/>
  <c r="EA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DG167" i="2"/>
  <c r="EX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EW168" i="2"/>
  <c r="EV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EW172" i="2"/>
  <c r="EV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EW178" i="2"/>
  <c r="ED177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DF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A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D189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B192" i="2"/>
  <c r="EC192" i="2"/>
  <c r="EA192" i="2"/>
  <c r="EV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B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B195" i="2"/>
  <c r="EA195" i="2"/>
  <c r="ED194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EA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EB201" i="2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Y201" i="2"/>
  <c r="EX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86" i="2" a="1"/>
  <c r="DN186" i="2" s="1"/>
  <c r="DN43" i="2" a="1"/>
  <c r="DN43" i="2" s="1"/>
  <c r="DN41" i="2" a="1"/>
  <c r="DN41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EI57" i="2" l="1" a="1"/>
  <c r="EI57" i="2" s="1"/>
  <c r="EI87" i="2" a="1"/>
  <c r="EI87" i="2" s="1"/>
  <c r="EI153" i="2" a="1"/>
  <c r="EI153" i="2" s="1"/>
  <c r="EI170" i="2" a="1"/>
  <c r="EI170" i="2" s="1"/>
  <c r="EI113" i="2" a="1"/>
  <c r="EI113" i="2" s="1"/>
  <c r="EI195" i="2" a="1"/>
  <c r="EI195" i="2" s="1"/>
  <c r="EY202" i="2"/>
  <c r="EI178" i="2" a="1"/>
  <c r="EI178" i="2" s="1"/>
  <c r="EI16" i="2" a="1"/>
  <c r="EI16" i="2" s="1"/>
  <c r="EI36" i="2" a="1"/>
  <c r="EI36" i="2" s="1"/>
  <c r="EI106" i="2" a="1"/>
  <c r="EI106" i="2" s="1"/>
  <c r="EI128" i="2" a="1"/>
  <c r="EI128" i="2" s="1"/>
  <c r="EI109" i="2" a="1"/>
  <c r="EI109" i="2" s="1"/>
  <c r="EI166" i="2" a="1"/>
  <c r="EI166" i="2" s="1"/>
  <c r="EI20" i="2" a="1"/>
  <c r="EI20" i="2" s="1"/>
  <c r="EI38" i="2" a="1"/>
  <c r="EI38" i="2" s="1"/>
  <c r="EI198" i="2" a="1"/>
  <c r="EI198" i="2" s="1"/>
  <c r="EI35" i="2" a="1"/>
  <c r="EI35" i="2" s="1"/>
  <c r="EI34" i="2" a="1"/>
  <c r="EI34" i="2" s="1"/>
  <c r="EI37" i="2" a="1"/>
  <c r="EI37" i="2" s="1"/>
  <c r="EI139" i="2" a="1"/>
  <c r="EI139" i="2" s="1"/>
  <c r="EI165" i="2" a="1"/>
  <c r="EI165" i="2" s="1"/>
  <c r="EI67" i="2" a="1"/>
  <c r="EI67" i="2" s="1"/>
  <c r="EI71" i="2" a="1"/>
  <c r="EI71" i="2" s="1"/>
  <c r="EI142" i="2" a="1"/>
  <c r="EI142" i="2" s="1"/>
  <c r="EI29" i="2" a="1"/>
  <c r="EI29" i="2" s="1"/>
  <c r="EI145" i="2" a="1"/>
  <c r="EI145" i="2" s="1"/>
  <c r="EI162" i="2" a="1"/>
  <c r="EI162" i="2" s="1"/>
  <c r="EI150" i="2" a="1"/>
  <c r="EI150" i="2" s="1"/>
  <c r="DN137" i="2" a="1"/>
  <c r="DN137" i="2" s="1"/>
  <c r="DN124" i="2" a="1"/>
  <c r="DN124" i="2" s="1"/>
  <c r="DN29" i="2" a="1"/>
  <c r="DN29" i="2" s="1"/>
  <c r="CS114" i="2" a="1"/>
  <c r="CS114" i="2" s="1"/>
  <c r="CS56" i="2" a="1"/>
  <c r="CS56" i="2" s="1"/>
  <c r="CS105" i="2" a="1"/>
  <c r="CS105" i="2" s="1"/>
  <c r="CS185" i="2" a="1"/>
  <c r="CS185" i="2" s="1"/>
  <c r="CS72" i="2" a="1"/>
  <c r="CS72" i="2" s="1"/>
  <c r="CS137" i="2" a="1"/>
  <c r="CS137" i="2" s="1"/>
  <c r="CS134" i="2" a="1"/>
  <c r="CS134" i="2" s="1"/>
  <c r="CS120" i="2" a="1"/>
  <c r="CS120" i="2" s="1"/>
  <c r="CS24" i="2" a="1"/>
  <c r="CS24" i="2" s="1"/>
  <c r="CS129" i="2" a="1"/>
  <c r="CS129" i="2" s="1"/>
  <c r="CS52" i="2" a="1"/>
  <c r="CS52" i="2" s="1"/>
  <c r="CS38" i="2" a="1"/>
  <c r="CS38" i="2" s="1"/>
  <c r="CS66" i="2" a="1"/>
  <c r="CS66" i="2" s="1"/>
  <c r="CS161" i="2" a="1"/>
  <c r="CS161" i="2" s="1"/>
  <c r="CS77" i="2" a="1"/>
  <c r="CS77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<sst xmlns="http://schemas.openxmlformats.org/spreadsheetml/2006/main" count="1176" uniqueCount="324">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</sst>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2.3542993311941358</c:v>
                </c:pt>
                <c:pt idx="2">
                  <c:v>2.9375782098002787</c:v>
                </c:pt>
                <c:pt idx="3">
                  <c:v>3.6659272253371049</c:v>
                </c:pt>
                <c:pt idx="4">
                  <c:v>4.5755594774033952</c:v>
                </c:pt>
                <c:pt idx="5">
                  <c:v>5.7117586075057121</c:v>
                </c:pt>
                <c:pt idx="6">
                  <c:v>7.1311579458227117</c:v>
                </c:pt>
                <c:pt idx="7">
                  <c:v>8.9045940051146228</c:v>
                </c:pt>
                <c:pt idx="8">
                  <c:v>11.120679443749554</c:v>
                </c:pt>
                <c:pt idx="9">
                  <c:v>13.890277377251955</c:v>
                </c:pt>
                <c:pt idx="10">
                  <c:v>17.352105005860839</c:v>
                </c:pt>
                <c:pt idx="11">
                  <c:v>21.679752317547102</c:v>
                </c:pt>
                <c:pt idx="12">
                  <c:v>27.09047409971426</c:v>
                </c:pt>
                <c:pt idx="13">
                  <c:v>33.856204385357564</c:v>
                </c:pt>
                <c:pt idx="14">
                  <c:v>42.317356460541276</c:v>
                </c:pt>
                <c:pt idx="15">
                  <c:v>52.900114555529179</c:v>
                </c:pt>
                <c:pt idx="16">
                  <c:v>66.138102719235007</c:v>
                </c:pt>
                <c:pt idx="17">
                  <c:v>82.699541408584039</c:v>
                </c:pt>
                <c:pt idx="18">
                  <c:v>103.42128465069662</c:v>
                </c:pt>
                <c:pt idx="19">
                  <c:v>129.35148486849124</c:v>
                </c:pt>
                <c:pt idx="20">
                  <c:v>161.80307694345504</c:v>
                </c:pt>
                <c:pt idx="21">
                  <c:v>174.3747433181359</c:v>
                </c:pt>
                <c:pt idx="22">
                  <c:v>210.70200716722297</c:v>
                </c:pt>
                <c:pt idx="23">
                  <c:v>246.8844816192354</c:v>
                </c:pt>
                <c:pt idx="24">
                  <c:v>282.94639503488054</c:v>
                </c:pt>
                <c:pt idx="25">
                  <c:v>318.90527395980331</c:v>
                </c:pt>
                <c:pt idx="26">
                  <c:v>354.7743623456393</c:v>
                </c:pt>
                <c:pt idx="27">
                  <c:v>390.56400527053552</c:v>
                </c:pt>
                <c:pt idx="28">
                  <c:v>426.2824968530756</c:v>
                </c:pt>
                <c:pt idx="29">
                  <c:v>461.93662833533023</c:v>
                </c:pt>
                <c:pt idx="30">
                  <c:v>497.53205780777716</c:v>
                </c:pt>
                <c:pt idx="31">
                  <c:v>439.52375075749592</c:v>
                </c:pt>
                <c:pt idx="32">
                  <c:v>477.95375948968586</c:v>
                </c:pt>
                <c:pt idx="33">
                  <c:v>516.31807728315755</c:v>
                </c:pt>
                <c:pt idx="34">
                  <c:v>554.62226260383466</c:v>
                </c:pt>
                <c:pt idx="35">
                  <c:v>592.8710444640983</c:v>
                </c:pt>
                <c:pt idx="36">
                  <c:v>631.06849279157075</c:v>
                </c:pt>
                <c:pt idx="37">
                  <c:v>669.21814540765399</c:v>
                </c:pt>
                <c:pt idx="38">
                  <c:v>707.32310455777917</c:v>
                </c:pt>
                <c:pt idx="39">
                  <c:v>745.38611157279649</c:v>
                </c:pt>
                <c:pt idx="40">
                  <c:v>783.40960550071111</c:v>
                </c:pt>
                <c:pt idx="41">
                  <c:v>645.12901547328204</c:v>
                </c:pt>
                <c:pt idx="42">
                  <c:v>674.92895110390532</c:v>
                </c:pt>
                <c:pt idx="43">
                  <c:v>704.70186987839986</c:v>
                </c:pt>
                <c:pt idx="44">
                  <c:v>734.44907192474602</c:v>
                </c:pt>
                <c:pt idx="45">
                  <c:v>764.1717436334543</c:v>
                </c:pt>
                <c:pt idx="46">
                  <c:v>793.87097173077802</c:v>
                </c:pt>
                <c:pt idx="47">
                  <c:v>823.54775513915592</c:v>
                </c:pt>
                <c:pt idx="48">
                  <c:v>853.20301504149973</c:v>
                </c:pt>
                <c:pt idx="49">
                  <c:v>882.83760347548457</c:v>
                </c:pt>
                <c:pt idx="50">
                  <c:v>912.45231071561841</c:v>
                </c:pt>
                <c:pt idx="51">
                  <c:v>681.71888828983572</c:v>
                </c:pt>
                <c:pt idx="52">
                  <c:v>703.31407670751662</c:v>
                </c:pt>
                <c:pt idx="53">
                  <c:v>724.89570513815761</c:v>
                </c:pt>
                <c:pt idx="54">
                  <c:v>746.46423364366694</c:v>
                </c:pt>
                <c:pt idx="55">
                  <c:v>768.02009356434939</c:v>
                </c:pt>
                <c:pt idx="56">
                  <c:v>789.56369008390345</c:v>
                </c:pt>
                <c:pt idx="57">
                  <c:v>811.09540450024008</c:v>
                </c:pt>
                <c:pt idx="58">
                  <c:v>832.61559624292465</c:v>
                </c:pt>
                <c:pt idx="59">
                  <c:v>854.12460467145956</c:v>
                </c:pt>
                <c:pt idx="60">
                  <c:v>875.62275068324197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372448"/>
        <c:axId val="248371360"/>
      </c:scatterChart>
      <c:valAx>
        <c:axId val="248372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371360"/>
        <c:crosses val="autoZero"/>
        <c:crossBetween val="midCat"/>
      </c:valAx>
      <c:valAx>
        <c:axId val="2483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37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075696"/>
        <c:axId val="257071344"/>
      </c:scatterChart>
      <c:valAx>
        <c:axId val="257075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7071344"/>
        <c:crosses val="autoZero"/>
        <c:crossBetween val="midCat"/>
      </c:valAx>
      <c:valAx>
        <c:axId val="25707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7075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372992"/>
        <c:axId val="248373536"/>
      </c:scatterChart>
      <c:valAx>
        <c:axId val="248372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373536"/>
        <c:crosses val="autoZero"/>
        <c:crossBetween val="midCat"/>
      </c:valAx>
      <c:valAx>
        <c:axId val="24837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372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2.1949567858312258</c:v>
                </c:pt>
                <c:pt idx="2">
                  <c:v>2.7816251237368212</c:v>
                </c:pt>
                <c:pt idx="3">
                  <c:v>3.5257195799874221</c:v>
                </c:pt>
                <c:pt idx="4">
                  <c:v>4.4696410633675532</c:v>
                </c:pt>
                <c:pt idx="5">
                  <c:v>5.6672503486462702</c:v>
                </c:pt>
                <c:pt idx="6">
                  <c:v>7.1869753481789695</c:v>
                </c:pt>
                <c:pt idx="7">
                  <c:v>9.115763396449081</c:v>
                </c:pt>
                <c:pt idx="8">
                  <c:v>11.564108969029164</c:v>
                </c:pt>
                <c:pt idx="9">
                  <c:v>14.672450244662597</c:v>
                </c:pt>
                <c:pt idx="10">
                  <c:v>18.619308162818584</c:v>
                </c:pt>
                <c:pt idx="11">
                  <c:v>23.631643866370535</c:v>
                </c:pt>
                <c:pt idx="12">
                  <c:v>29.998040690014353</c:v>
                </c:pt>
                <c:pt idx="13">
                  <c:v>38.085482861379397</c:v>
                </c:pt>
                <c:pt idx="14">
                  <c:v>48.360714644740732</c:v>
                </c:pt>
                <c:pt idx="15">
                  <c:v>61.4174333018235</c:v>
                </c:pt>
                <c:pt idx="16">
                  <c:v>71.249871520456722</c:v>
                </c:pt>
                <c:pt idx="17">
                  <c:v>85.490803817484263</c:v>
                </c:pt>
                <c:pt idx="18">
                  <c:v>99.671872945964807</c:v>
                </c:pt>
                <c:pt idx="19">
                  <c:v>113.80282201771517</c:v>
                </c:pt>
                <c:pt idx="20">
                  <c:v>127.89076379214983</c:v>
                </c:pt>
                <c:pt idx="21">
                  <c:v>106.74311974600884</c:v>
                </c:pt>
                <c:pt idx="22">
                  <c:v>122.31905294762315</c:v>
                </c:pt>
                <c:pt idx="23">
                  <c:v>137.84670781868599</c:v>
                </c:pt>
                <c:pt idx="24">
                  <c:v>153.33229557513832</c:v>
                </c:pt>
                <c:pt idx="25">
                  <c:v>168.78066680719567</c:v>
                </c:pt>
                <c:pt idx="26">
                  <c:v>146.17875680898456</c:v>
                </c:pt>
                <c:pt idx="27">
                  <c:v>162.95520023865575</c:v>
                </c:pt>
                <c:pt idx="28">
                  <c:v>179.69078619560835</c:v>
                </c:pt>
                <c:pt idx="29">
                  <c:v>196.38985757072419</c:v>
                </c:pt>
                <c:pt idx="30">
                  <c:v>213.05595726994454</c:v>
                </c:pt>
                <c:pt idx="31">
                  <c:v>229.69202803102669</c:v>
                </c:pt>
                <c:pt idx="32">
                  <c:v>194.21365668950932</c:v>
                </c:pt>
                <c:pt idx="33">
                  <c:v>210.88387892336638</c:v>
                </c:pt>
                <c:pt idx="34">
                  <c:v>227.52371705254282</c:v>
                </c:pt>
                <c:pt idx="35">
                  <c:v>244.13570624979181</c:v>
                </c:pt>
                <c:pt idx="36">
                  <c:v>260.72200828834224</c:v>
                </c:pt>
                <c:pt idx="37">
                  <c:v>277.28448730625303</c:v>
                </c:pt>
                <c:pt idx="38">
                  <c:v>241.45481667314718</c:v>
                </c:pt>
                <c:pt idx="39">
                  <c:v>257.53027834050721</c:v>
                </c:pt>
                <c:pt idx="40">
                  <c:v>273.58305693525381</c:v>
                </c:pt>
                <c:pt idx="41">
                  <c:v>289.61467077326057</c:v>
                </c:pt>
                <c:pt idx="42">
                  <c:v>305.62645631332936</c:v>
                </c:pt>
                <c:pt idx="43">
                  <c:v>321.61959852692468</c:v>
                </c:pt>
                <c:pt idx="44">
                  <c:v>337.59515490696026</c:v>
                </c:pt>
                <c:pt idx="45">
                  <c:v>290.77001527116278</c:v>
                </c:pt>
                <c:pt idx="46">
                  <c:v>305.67774556928345</c:v>
                </c:pt>
                <c:pt idx="47">
                  <c:v>320.56931776876598</c:v>
                </c:pt>
                <c:pt idx="48">
                  <c:v>335.44558817007095</c:v>
                </c:pt>
                <c:pt idx="49">
                  <c:v>350.3073309177887</c:v>
                </c:pt>
                <c:pt idx="50">
                  <c:v>365.15524910721001</c:v>
                </c:pt>
                <c:pt idx="51">
                  <c:v>379.9899839895499</c:v>
                </c:pt>
                <c:pt idx="52">
                  <c:v>394.81212266433704</c:v>
                </c:pt>
                <c:pt idx="53">
                  <c:v>339.5653263103564</c:v>
                </c:pt>
                <c:pt idx="54">
                  <c:v>352.9916936181225</c:v>
                </c:pt>
                <c:pt idx="55">
                  <c:v>366.40687182764276</c:v>
                </c:pt>
                <c:pt idx="56">
                  <c:v>379.81132833930809</c:v>
                </c:pt>
                <c:pt idx="57">
                  <c:v>393.20549486765344</c:v>
                </c:pt>
                <c:pt idx="58">
                  <c:v>406.58977131437899</c:v>
                </c:pt>
                <c:pt idx="59">
                  <c:v>419.96452910473823</c:v>
                </c:pt>
                <c:pt idx="60">
                  <c:v>433.33011407671552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375168"/>
        <c:axId val="248375712"/>
      </c:scatterChart>
      <c:valAx>
        <c:axId val="248375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375712"/>
        <c:crosses val="autoZero"/>
        <c:crossBetween val="midCat"/>
      </c:valAx>
      <c:valAx>
        <c:axId val="24837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375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2.5869730192733571</c:v>
                </c:pt>
                <c:pt idx="2">
                  <c:v>3.2788210717149511</c:v>
                </c:pt>
                <c:pt idx="3">
                  <c:v>4.1564207525091357</c:v>
                </c:pt>
                <c:pt idx="4">
                  <c:v>5.26982775873359</c:v>
                </c:pt>
                <c:pt idx="5">
                  <c:v>6.6826329858946929</c:v>
                </c:pt>
                <c:pt idx="6">
                  <c:v>8.4756341259023511</c:v>
                </c:pt>
                <c:pt idx="7">
                  <c:v>10.751506147327824</c:v>
                </c:pt>
                <c:pt idx="8">
                  <c:v>13.640743137289521</c:v>
                </c:pt>
                <c:pt idx="9">
                  <c:v>17.30921849318332</c:v>
                </c:pt>
                <c:pt idx="10">
                  <c:v>21.967805380482361</c:v>
                </c:pt>
                <c:pt idx="11">
                  <c:v>27.884620326935632</c:v>
                </c:pt>
                <c:pt idx="12">
                  <c:v>35.400606953027072</c:v>
                </c:pt>
                <c:pt idx="13">
                  <c:v>44.94937326018016</c:v>
                </c:pt>
                <c:pt idx="14">
                  <c:v>57.082446238102854</c:v>
                </c:pt>
                <c:pt idx="15">
                  <c:v>72.501426638439298</c:v>
                </c:pt>
                <c:pt idx="16">
                  <c:v>84.113672803399282</c:v>
                </c:pt>
                <c:pt idx="17">
                  <c:v>100.9335237450543</c:v>
                </c:pt>
                <c:pt idx="18">
                  <c:v>117.68377040108562</c:v>
                </c:pt>
                <c:pt idx="19">
                  <c:v>134.37574131213381</c:v>
                </c:pt>
                <c:pt idx="20">
                  <c:v>151.01770664748463</c:v>
                </c:pt>
                <c:pt idx="21">
                  <c:v>126.03646740118143</c:v>
                </c:pt>
                <c:pt idx="22">
                  <c:v>144.43580369901193</c:v>
                </c:pt>
                <c:pt idx="23">
                  <c:v>162.7790056693303</c:v>
                </c:pt>
                <c:pt idx="24">
                  <c:v>181.07329523604912</c:v>
                </c:pt>
                <c:pt idx="25">
                  <c:v>199.32431229219438</c:v>
                </c:pt>
                <c:pt idx="26">
                  <c:v>172.6221905666138</c:v>
                </c:pt>
                <c:pt idx="27">
                  <c:v>192.44191190774919</c:v>
                </c:pt>
                <c:pt idx="28">
                  <c:v>212.21412732378917</c:v>
                </c:pt>
                <c:pt idx="29">
                  <c:v>231.94388639404454</c:v>
                </c:pt>
                <c:pt idx="30">
                  <c:v>251.63530853689983</c:v>
                </c:pt>
                <c:pt idx="31">
                  <c:v>271.29181534136131</c:v>
                </c:pt>
                <c:pt idx="32">
                  <c:v>229.37269391991026</c:v>
                </c:pt>
                <c:pt idx="33">
                  <c:v>249.06890942879195</c:v>
                </c:pt>
                <c:pt idx="34">
                  <c:v>268.72979663895603</c:v>
                </c:pt>
                <c:pt idx="35">
                  <c:v>288.35830325418607</c:v>
                </c:pt>
                <c:pt idx="36">
                  <c:v>307.9569428180335</c:v>
                </c:pt>
                <c:pt idx="37">
                  <c:v>327.52788280677856</c:v>
                </c:pt>
                <c:pt idx="38">
                  <c:v>285.19056580356511</c:v>
                </c:pt>
                <c:pt idx="39">
                  <c:v>304.18550769575285</c:v>
                </c:pt>
                <c:pt idx="40">
                  <c:v>323.15407545667881</c:v>
                </c:pt>
                <c:pt idx="41">
                  <c:v>342.09803446719894</c:v>
                </c:pt>
                <c:pt idx="42">
                  <c:v>361.01893865876099</c:v>
                </c:pt>
                <c:pt idx="43">
                  <c:v>379.91816582499479</c:v>
                </c:pt>
                <c:pt idx="44">
                  <c:v>398.79694553728064</c:v>
                </c:pt>
                <c:pt idx="45">
                  <c:v>343.46327668928501</c:v>
                </c:pt>
                <c:pt idx="46">
                  <c:v>361.07954703859576</c:v>
                </c:pt>
                <c:pt idx="47">
                  <c:v>378.67702999425478</c:v>
                </c:pt>
                <c:pt idx="48">
                  <c:v>396.2567211965407</c:v>
                </c:pt>
                <c:pt idx="49">
                  <c:v>413.81952076120933</c:v>
                </c:pt>
                <c:pt idx="50">
                  <c:v>431.36624619335817</c:v>
                </c:pt>
                <c:pt idx="51">
                  <c:v>448.89764309055226</c:v>
                </c:pt>
                <c:pt idx="52">
                  <c:v>466.41439408694367</c:v>
                </c:pt>
                <c:pt idx="53">
                  <c:v>401.1251766596863</c:v>
                </c:pt>
                <c:pt idx="54">
                  <c:v>416.99178308276709</c:v>
                </c:pt>
                <c:pt idx="55">
                  <c:v>432.84537968346314</c:v>
                </c:pt>
                <c:pt idx="56">
                  <c:v>448.68650991898056</c:v>
                </c:pt>
                <c:pt idx="57">
                  <c:v>464.51567575375776</c:v>
                </c:pt>
                <c:pt idx="58">
                  <c:v>480.33334216271754</c:v>
                </c:pt>
                <c:pt idx="59">
                  <c:v>496.13994101056164</c:v>
                </c:pt>
                <c:pt idx="60">
                  <c:v>511.93587441108417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369728"/>
        <c:axId val="248773072"/>
      </c:scatterChart>
      <c:valAx>
        <c:axId val="248369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773072"/>
        <c:crosses val="autoZero"/>
        <c:crossBetween val="midCat"/>
      </c:valAx>
      <c:valAx>
        <c:axId val="24877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369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133.83448558206604</c:v>
                </c:pt>
                <c:pt idx="22">
                  <c:v>143.17159315460216</c:v>
                </c:pt>
                <c:pt idx="23">
                  <c:v>152.49411749416092</c:v>
                </c:pt>
                <c:pt idx="24">
                  <c:v>161.80307694345507</c:v>
                </c:pt>
                <c:pt idx="25">
                  <c:v>171.09936290494795</c:v>
                </c:pt>
                <c:pt idx="26">
                  <c:v>180.38376185573745</c:v>
                </c:pt>
                <c:pt idx="27">
                  <c:v>189.65697258310968</c:v>
                </c:pt>
                <c:pt idx="28">
                  <c:v>198.91961986626634</c:v>
                </c:pt>
                <c:pt idx="29">
                  <c:v>208.17226547186976</c:v>
                </c:pt>
                <c:pt idx="30">
                  <c:v>217.41541708927392</c:v>
                </c:pt>
                <c:pt idx="31">
                  <c:v>173.89097206104816</c:v>
                </c:pt>
                <c:pt idx="32">
                  <c:v>184.03353707055851</c:v>
                </c:pt>
                <c:pt idx="33">
                  <c:v>194.16304064471566</c:v>
                </c:pt>
                <c:pt idx="34">
                  <c:v>204.2802608972855</c:v>
                </c:pt>
                <c:pt idx="35">
                  <c:v>214.38589248354256</c:v>
                </c:pt>
                <c:pt idx="36">
                  <c:v>224.48055915021382</c:v>
                </c:pt>
                <c:pt idx="37">
                  <c:v>234.56482390663436</c:v>
                </c:pt>
                <c:pt idx="38">
                  <c:v>244.63919735303134</c:v>
                </c:pt>
                <c:pt idx="39">
                  <c:v>254.70414456356778</c:v>
                </c:pt>
                <c:pt idx="40">
                  <c:v>264.76009082333894</c:v>
                </c:pt>
                <c:pt idx="41">
                  <c:v>211.86053580433213</c:v>
                </c:pt>
                <c:pt idx="42">
                  <c:v>223.47156942353163</c:v>
                </c:pt>
                <c:pt idx="43">
                  <c:v>235.06877345752716</c:v>
                </c:pt>
                <c:pt idx="44">
                  <c:v>246.65292674490271</c:v>
                </c:pt>
                <c:pt idx="45">
                  <c:v>258.22472893839176</c:v>
                </c:pt>
                <c:pt idx="46">
                  <c:v>269.78481182023978</c:v>
                </c:pt>
                <c:pt idx="47">
                  <c:v>281.33374857482323</c:v>
                </c:pt>
                <c:pt idx="48">
                  <c:v>292.87206145774786</c:v>
                </c:pt>
                <c:pt idx="49">
                  <c:v>304.40022819227767</c:v>
                </c:pt>
                <c:pt idx="50">
                  <c:v>315.91868734548365</c:v>
                </c:pt>
                <c:pt idx="51">
                  <c:v>252.18876758094336</c:v>
                </c:pt>
                <c:pt idx="52">
                  <c:v>265.76520570407035</c:v>
                </c:pt>
                <c:pt idx="53">
                  <c:v>279.3260150621507</c:v>
                </c:pt>
                <c:pt idx="54">
                  <c:v>292.87206145774786</c:v>
                </c:pt>
                <c:pt idx="55">
                  <c:v>306.40412403506838</c:v>
                </c:pt>
                <c:pt idx="56">
                  <c:v>319.92290747907703</c:v>
                </c:pt>
                <c:pt idx="57">
                  <c:v>333.42905204366178</c:v>
                </c:pt>
                <c:pt idx="58">
                  <c:v>346.92314186926546</c:v>
                </c:pt>
                <c:pt idx="59">
                  <c:v>360.40571193829396</c:v>
                </c:pt>
                <c:pt idx="60">
                  <c:v>373.87725393504815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769264"/>
        <c:axId val="248769808"/>
      </c:scatterChart>
      <c:valAx>
        <c:axId val="248769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769808"/>
        <c:crosses val="autoZero"/>
        <c:crossBetween val="midCat"/>
      </c:valAx>
      <c:valAx>
        <c:axId val="24876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769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2.0346083701005098</c:v>
                </c:pt>
                <c:pt idx="2">
                  <c:v>2.848698915747446</c:v>
                </c:pt>
                <c:pt idx="3">
                  <c:v>3.9899426252887658</c:v>
                </c:pt>
                <c:pt idx="4">
                  <c:v>5.5903466393835552</c:v>
                </c:pt>
                <c:pt idx="5">
                  <c:v>7.83538524504264</c:v>
                </c:pt>
                <c:pt idx="6">
                  <c:v>10.985731517362817</c:v>
                </c:pt>
                <c:pt idx="7">
                  <c:v>15.407850044625512</c:v>
                </c:pt>
                <c:pt idx="8">
                  <c:v>21.617074378266139</c:v>
                </c:pt>
                <c:pt idx="9">
                  <c:v>30.338278605620587</c:v>
                </c:pt>
                <c:pt idx="10">
                  <c:v>42.591348832107379</c:v>
                </c:pt>
                <c:pt idx="11">
                  <c:v>59.811618878677223</c:v>
                </c:pt>
                <c:pt idx="12">
                  <c:v>84.019610427781586</c:v>
                </c:pt>
                <c:pt idx="13">
                  <c:v>118.06031314088193</c:v>
                </c:pt>
                <c:pt idx="14">
                  <c:v>165.9405642069666</c:v>
                </c:pt>
                <c:pt idx="15">
                  <c:v>233.30484175109825</c:v>
                </c:pt>
                <c:pt idx="16">
                  <c:v>267.44578983214518</c:v>
                </c:pt>
                <c:pt idx="17">
                  <c:v>301.48848927400928</c:v>
                </c:pt>
                <c:pt idx="18">
                  <c:v>335.44558817007095</c:v>
                </c:pt>
                <c:pt idx="19">
                  <c:v>369.32696235512088</c:v>
                </c:pt>
                <c:pt idx="20">
                  <c:v>403.14052729824169</c:v>
                </c:pt>
                <c:pt idx="21">
                  <c:v>425.4900641128516</c:v>
                </c:pt>
                <c:pt idx="22">
                  <c:v>460.86531362427507</c:v>
                </c:pt>
                <c:pt idx="23">
                  <c:v>496.18262831321022</c:v>
                </c:pt>
                <c:pt idx="24">
                  <c:v>531.44670479748004</c:v>
                </c:pt>
                <c:pt idx="25">
                  <c:v>566.66156628829015</c:v>
                </c:pt>
                <c:pt idx="26">
                  <c:v>544.68739506155214</c:v>
                </c:pt>
                <c:pt idx="27">
                  <c:v>577.0516950477969</c:v>
                </c:pt>
                <c:pt idx="28">
                  <c:v>609.37813237514945</c:v>
                </c:pt>
                <c:pt idx="29">
                  <c:v>641.66899467097437</c:v>
                </c:pt>
                <c:pt idx="30">
                  <c:v>673.92632089044412</c:v>
                </c:pt>
                <c:pt idx="31">
                  <c:v>623.99579455846367</c:v>
                </c:pt>
                <c:pt idx="32">
                  <c:v>652.97455038641306</c:v>
                </c:pt>
                <c:pt idx="33">
                  <c:v>681.9268108715595</c:v>
                </c:pt>
                <c:pt idx="34">
                  <c:v>710.85385738964942</c:v>
                </c:pt>
                <c:pt idx="35">
                  <c:v>739.75685868452183</c:v>
                </c:pt>
                <c:pt idx="36">
                  <c:v>680.98567721693689</c:v>
                </c:pt>
                <c:pt idx="37">
                  <c:v>706.85726762405102</c:v>
                </c:pt>
                <c:pt idx="38">
                  <c:v>732.70950401316429</c:v>
                </c:pt>
                <c:pt idx="39">
                  <c:v>758.54316435646797</c:v>
                </c:pt>
                <c:pt idx="40">
                  <c:v>784.35896939202519</c:v>
                </c:pt>
                <c:pt idx="41">
                  <c:v>715.55514006165993</c:v>
                </c:pt>
                <c:pt idx="42">
                  <c:v>739.52196895800637</c:v>
                </c:pt>
                <c:pt idx="43">
                  <c:v>763.47299401473254</c:v>
                </c:pt>
                <c:pt idx="44">
                  <c:v>787.40878011653638</c:v>
                </c:pt>
                <c:pt idx="45">
                  <c:v>811.32985505325234</c:v>
                </c:pt>
                <c:pt idx="46">
                  <c:v>737.64279642681765</c:v>
                </c:pt>
                <c:pt idx="47">
                  <c:v>760.18651296112273</c:v>
                </c:pt>
                <c:pt idx="48">
                  <c:v>782.7166642850392</c:v>
                </c:pt>
                <c:pt idx="49">
                  <c:v>805.23369532082245</c:v>
                </c:pt>
                <c:pt idx="50">
                  <c:v>827.73802411254826</c:v>
                </c:pt>
                <c:pt idx="51">
                  <c:v>760.65602788121134</c:v>
                </c:pt>
                <c:pt idx="52">
                  <c:v>781.54354651633878</c:v>
                </c:pt>
                <c:pt idx="53">
                  <c:v>802.41976942349982</c:v>
                </c:pt>
                <c:pt idx="54">
                  <c:v>823.28503149104245</c:v>
                </c:pt>
                <c:pt idx="55">
                  <c:v>844.13964927038353</c:v>
                </c:pt>
                <c:pt idx="56">
                  <c:v>786.47040231283734</c:v>
                </c:pt>
                <c:pt idx="57">
                  <c:v>806.17162648284011</c:v>
                </c:pt>
                <c:pt idx="58">
                  <c:v>825.86313877910959</c:v>
                </c:pt>
                <c:pt idx="59">
                  <c:v>845.5452030971519</c:v>
                </c:pt>
                <c:pt idx="60">
                  <c:v>865.21807006056008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771440"/>
        <c:axId val="248767632"/>
      </c:scatterChart>
      <c:valAx>
        <c:axId val="248771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767632"/>
        <c:crosses val="autoZero"/>
        <c:crossBetween val="midCat"/>
      </c:valAx>
      <c:valAx>
        <c:axId val="24876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771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2.1510007438724901</c:v>
                </c:pt>
                <c:pt idx="2">
                  <c:v>2.9839445257016002</c:v>
                </c:pt>
                <c:pt idx="3">
                  <c:v>4.1408222331583113</c:v>
                </c:pt>
                <c:pt idx="4">
                  <c:v>5.7481207126150871</c:v>
                </c:pt>
                <c:pt idx="5">
                  <c:v>7.9819014222126663</c:v>
                </c:pt>
                <c:pt idx="6">
                  <c:v>11.087297646119431</c:v>
                </c:pt>
                <c:pt idx="7">
                  <c:v>15.405704068105942</c:v>
                </c:pt>
                <c:pt idx="8">
                  <c:v>21.412702372966379</c:v>
                </c:pt>
                <c:pt idx="9">
                  <c:v>29.770973989542131</c:v>
                </c:pt>
                <c:pt idx="10">
                  <c:v>41.404138662510206</c:v>
                </c:pt>
                <c:pt idx="11">
                  <c:v>57.599816561931327</c:v>
                </c:pt>
                <c:pt idx="12">
                  <c:v>80.153509810179131</c:v>
                </c:pt>
                <c:pt idx="13">
                  <c:v>99.26380888314408</c:v>
                </c:pt>
                <c:pt idx="14">
                  <c:v>118.28248521778211</c:v>
                </c:pt>
                <c:pt idx="15">
                  <c:v>137.22640019665215</c:v>
                </c:pt>
                <c:pt idx="16">
                  <c:v>156.10734926897979</c:v>
                </c:pt>
                <c:pt idx="17">
                  <c:v>151.22985572721248</c:v>
                </c:pt>
                <c:pt idx="18">
                  <c:v>172.3402093834861</c:v>
                </c:pt>
                <c:pt idx="19">
                  <c:v>193.38970174357021</c:v>
                </c:pt>
                <c:pt idx="20">
                  <c:v>214.38589248354253</c:v>
                </c:pt>
                <c:pt idx="21">
                  <c:v>196.94646986693661</c:v>
                </c:pt>
                <c:pt idx="22">
                  <c:v>219.54672196983498</c:v>
                </c:pt>
                <c:pt idx="23">
                  <c:v>242.09352745507479</c:v>
                </c:pt>
                <c:pt idx="24">
                  <c:v>264.59256331767239</c:v>
                </c:pt>
                <c:pt idx="25">
                  <c:v>234.04684999818437</c:v>
                </c:pt>
                <c:pt idx="26">
                  <c:v>256.24104212692356</c:v>
                </c:pt>
                <c:pt idx="27">
                  <c:v>278.39175103910281</c:v>
                </c:pt>
                <c:pt idx="28">
                  <c:v>300.50292177638306</c:v>
                </c:pt>
                <c:pt idx="29">
                  <c:v>268.65908682274898</c:v>
                </c:pt>
                <c:pt idx="30">
                  <c:v>289.39865006815137</c:v>
                </c:pt>
                <c:pt idx="31">
                  <c:v>310.10500044645312</c:v>
                </c:pt>
                <c:pt idx="32">
                  <c:v>330.78066660898503</c:v>
                </c:pt>
                <c:pt idx="33">
                  <c:v>351.42783532511868</c:v>
                </c:pt>
                <c:pt idx="34">
                  <c:v>372.04841549557995</c:v>
                </c:pt>
                <c:pt idx="35">
                  <c:v>319.06098210248143</c:v>
                </c:pt>
                <c:pt idx="36">
                  <c:v>336.31767109212757</c:v>
                </c:pt>
                <c:pt idx="37">
                  <c:v>353.55486732236983</c:v>
                </c:pt>
                <c:pt idx="38">
                  <c:v>370.77365464076291</c:v>
                </c:pt>
                <c:pt idx="39">
                  <c:v>387.97500803050031</c:v>
                </c:pt>
                <c:pt idx="40">
                  <c:v>405.15980898705612</c:v>
                </c:pt>
                <c:pt idx="41">
                  <c:v>358.02072395387705</c:v>
                </c:pt>
                <c:pt idx="42">
                  <c:v>370.77365464076291</c:v>
                </c:pt>
                <c:pt idx="43">
                  <c:v>383.51702130873832</c:v>
                </c:pt>
                <c:pt idx="44">
                  <c:v>396.25118655434932</c:v>
                </c:pt>
                <c:pt idx="45">
                  <c:v>408.97648776519083</c:v>
                </c:pt>
                <c:pt idx="46">
                  <c:v>421.69323961894679</c:v>
                </c:pt>
                <c:pt idx="47">
                  <c:v>388.61177214775813</c:v>
                </c:pt>
                <c:pt idx="48">
                  <c:v>396.25118655434932</c:v>
                </c:pt>
                <c:pt idx="49">
                  <c:v>403.88741034371878</c:v>
                </c:pt>
                <c:pt idx="50">
                  <c:v>411.52051238897451</c:v>
                </c:pt>
                <c:pt idx="51">
                  <c:v>419.15055879813002</c:v>
                </c:pt>
                <c:pt idx="52">
                  <c:v>426.77761307453534</c:v>
                </c:pt>
                <c:pt idx="53">
                  <c:v>434.4017362652371</c:v>
                </c:pt>
                <c:pt idx="54">
                  <c:v>442.02298709837549</c:v>
                </c:pt>
                <c:pt idx="55">
                  <c:v>422.48775956233158</c:v>
                </c:pt>
                <c:pt idx="56">
                  <c:v>424.55336102424582</c:v>
                </c:pt>
                <c:pt idx="57">
                  <c:v>426.61874621430303</c:v>
                </c:pt>
                <c:pt idx="58">
                  <c:v>428.68391632881134</c:v>
                </c:pt>
                <c:pt idx="59">
                  <c:v>430.74887255159655</c:v>
                </c:pt>
                <c:pt idx="60">
                  <c:v>432.81361605419193</c:v>
                </c:pt>
                <c:pt idx="61">
                  <c:v>434.87814799602575</c:v>
                </c:pt>
                <c:pt idx="62">
                  <c:v>436.94246952460418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770352"/>
        <c:axId val="248771984"/>
      </c:scatterChart>
      <c:valAx>
        <c:axId val="248770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771984"/>
        <c:crosses val="autoZero"/>
        <c:crossBetween val="midCat"/>
      </c:valAx>
      <c:valAx>
        <c:axId val="24877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4877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074608"/>
        <c:axId val="257077872"/>
      </c:scatterChart>
      <c:valAx>
        <c:axId val="257074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7077872"/>
        <c:crosses val="autoZero"/>
        <c:crossBetween val="midCat"/>
      </c:valAx>
      <c:valAx>
        <c:axId val="25707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7074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071888"/>
        <c:axId val="257077328"/>
      </c:scatterChart>
      <c:valAx>
        <c:axId val="257071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7077328"/>
        <c:crosses val="autoZero"/>
        <c:crossBetween val="midCat"/>
      </c:valAx>
      <c:valAx>
        <c:axId val="257077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5707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22" zoomScale="90" zoomScaleNormal="90" workbookViewId="0">
      <selection activeCell="H197" sqref="H197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8</v>
      </c>
      <c r="C9" s="35">
        <v>0.16</v>
      </c>
      <c r="D9" s="36">
        <f t="shared" ref="D9:D18" si="0">C9*$C$5</f>
        <v>0.16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29</v>
      </c>
      <c r="C10" s="35">
        <v>0.16</v>
      </c>
      <c r="D10" s="36">
        <f t="shared" si="0"/>
        <v>0.16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50</v>
      </c>
      <c r="C11" s="35">
        <v>0.16</v>
      </c>
      <c r="D11" s="36">
        <f t="shared" si="0"/>
        <v>0.16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 t="s">
        <v>22</v>
      </c>
      <c r="C12" s="35">
        <v>0.08</v>
      </c>
      <c r="D12" s="36">
        <f t="shared" si="0"/>
        <v>0.08</v>
      </c>
      <c r="E12" s="37">
        <v>60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 t="s">
        <v>164</v>
      </c>
      <c r="C13" s="35">
        <v>0.17</v>
      </c>
      <c r="D13" s="36">
        <f t="shared" si="0"/>
        <v>0.17</v>
      </c>
      <c r="E13" s="37">
        <v>60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 t="s">
        <v>18</v>
      </c>
      <c r="C14" s="35">
        <v>0.19</v>
      </c>
      <c r="D14" s="36">
        <f t="shared" si="0"/>
        <v>0.19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 t="s">
        <v>36</v>
      </c>
      <c r="C15" s="35">
        <v>0.08</v>
      </c>
      <c r="D15" s="36">
        <f t="shared" si="0"/>
        <v>0.08</v>
      </c>
      <c r="E15" s="37">
        <v>62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0.99999999999999989</v>
      </c>
      <c r="D19" s="41">
        <f>SUM(D9:D18)</f>
        <v>0.99999999999999989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Châtaignier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20</v>
      </c>
      <c r="B36" s="63">
        <v>99</v>
      </c>
      <c r="C36" s="63">
        <v>1</v>
      </c>
      <c r="D36" s="63">
        <v>15</v>
      </c>
      <c r="E36" s="54"/>
      <c r="F36" s="54"/>
      <c r="G36" s="54"/>
      <c r="H36" s="54">
        <v>1</v>
      </c>
      <c r="I36" s="52">
        <f>IFERROR(B36/A36,"")</f>
        <v>4.95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30</v>
      </c>
      <c r="B37" s="63">
        <v>313</v>
      </c>
      <c r="C37" s="63">
        <v>2</v>
      </c>
      <c r="D37" s="63">
        <v>62</v>
      </c>
      <c r="E37" s="54"/>
      <c r="F37" s="54"/>
      <c r="G37" s="54"/>
      <c r="H37" s="54">
        <v>1</v>
      </c>
      <c r="I37" s="56">
        <f t="shared" ref="I37:I55" si="1">IF(A37&lt;&gt;0,(B37-(B36-D36))/(A37-A36),"")</f>
        <v>22.9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40</v>
      </c>
      <c r="B38" s="63">
        <v>498</v>
      </c>
      <c r="C38" s="63">
        <v>3</v>
      </c>
      <c r="D38" s="63">
        <v>109</v>
      </c>
      <c r="E38" s="54"/>
      <c r="F38" s="54"/>
      <c r="G38" s="54"/>
      <c r="H38" s="54"/>
      <c r="I38" s="56">
        <f t="shared" si="1"/>
        <v>24.7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50</v>
      </c>
      <c r="B39" s="63">
        <v>582</v>
      </c>
      <c r="C39" s="63">
        <v>4</v>
      </c>
      <c r="D39" s="63">
        <v>164</v>
      </c>
      <c r="E39" s="54"/>
      <c r="F39" s="54"/>
      <c r="G39" s="54"/>
      <c r="H39" s="54"/>
      <c r="I39" s="52">
        <f t="shared" si="1"/>
        <v>19.3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60</v>
      </c>
      <c r="B40" s="63">
        <v>558</v>
      </c>
      <c r="C40" s="63"/>
      <c r="D40" s="63">
        <v>558</v>
      </c>
      <c r="E40" s="54"/>
      <c r="F40" s="54"/>
      <c r="G40" s="54"/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Merisier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15</v>
      </c>
      <c r="B62" s="63">
        <v>40</v>
      </c>
      <c r="C62" s="63">
        <v>1</v>
      </c>
      <c r="D62" s="63">
        <v>3</v>
      </c>
      <c r="E62" s="54"/>
      <c r="F62" s="54"/>
      <c r="G62" s="54"/>
      <c r="H62" s="54">
        <v>1</v>
      </c>
      <c r="I62" s="56">
        <f>IFERROR(B62/A62,"")</f>
        <v>2.6666666666666665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20</v>
      </c>
      <c r="B63" s="63">
        <v>85</v>
      </c>
      <c r="C63" s="63">
        <v>2</v>
      </c>
      <c r="D63" s="63">
        <v>25</v>
      </c>
      <c r="E63" s="54"/>
      <c r="F63" s="54"/>
      <c r="G63" s="54"/>
      <c r="H63" s="54">
        <v>1</v>
      </c>
      <c r="I63" s="52">
        <f>IF(A63&lt;&gt;0,(B63-(B62-D62))/(A63-A62),"")</f>
        <v>9.6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25</v>
      </c>
      <c r="B64" s="63">
        <v>113</v>
      </c>
      <c r="C64" s="63">
        <v>3</v>
      </c>
      <c r="D64" s="63">
        <v>27</v>
      </c>
      <c r="E64" s="54"/>
      <c r="F64" s="54"/>
      <c r="G64" s="54"/>
      <c r="H64" s="54">
        <v>1</v>
      </c>
      <c r="I64" s="52">
        <f>IF(A64&lt;&gt;0,(B64-(B63-D63))/(A64-A63),"")</f>
        <v>10.6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31</v>
      </c>
      <c r="B65" s="63">
        <v>155</v>
      </c>
      <c r="C65" s="63">
        <v>4</v>
      </c>
      <c r="D65" s="63">
        <v>36</v>
      </c>
      <c r="E65" s="54"/>
      <c r="F65" s="54"/>
      <c r="G65" s="54"/>
      <c r="H65" s="54">
        <v>1</v>
      </c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37</v>
      </c>
      <c r="B66" s="63">
        <v>188</v>
      </c>
      <c r="C66" s="63">
        <v>5</v>
      </c>
      <c r="D66" s="63">
        <v>36</v>
      </c>
      <c r="E66" s="54"/>
      <c r="F66" s="54"/>
      <c r="G66" s="54"/>
      <c r="H66" s="54"/>
      <c r="I66" s="52">
        <f t="shared" ref="I66:I81" si="2">IF(A66&lt;&gt;0,(B66-(B65-D65))/(A66-A65),"")</f>
        <v>11.5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44</v>
      </c>
      <c r="B67" s="63">
        <v>230</v>
      </c>
      <c r="C67" s="63">
        <v>6</v>
      </c>
      <c r="D67" s="63">
        <v>43</v>
      </c>
      <c r="E67" s="54"/>
      <c r="F67" s="54"/>
      <c r="G67" s="54"/>
      <c r="H67" s="54"/>
      <c r="I67" s="52">
        <f t="shared" si="2"/>
        <v>11.142857142857142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>
        <v>52</v>
      </c>
      <c r="B68" s="63">
        <v>270</v>
      </c>
      <c r="C68" s="63">
        <v>7</v>
      </c>
      <c r="D68" s="63">
        <v>48</v>
      </c>
      <c r="E68" s="54"/>
      <c r="F68" s="54"/>
      <c r="G68" s="54"/>
      <c r="H68" s="54"/>
      <c r="I68" s="52">
        <f t="shared" si="2"/>
        <v>10.375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>
        <v>60</v>
      </c>
      <c r="B69" s="53">
        <v>297</v>
      </c>
      <c r="C69" s="53"/>
      <c r="D69" s="53">
        <v>297</v>
      </c>
      <c r="E69" s="54"/>
      <c r="F69" s="54"/>
      <c r="G69" s="54"/>
      <c r="H69" s="54"/>
      <c r="I69" s="52">
        <f t="shared" si="2"/>
        <v>9.375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Tilleul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15</v>
      </c>
      <c r="B88" s="63">
        <v>40</v>
      </c>
      <c r="C88" s="63">
        <v>1</v>
      </c>
      <c r="D88" s="63">
        <v>3</v>
      </c>
      <c r="E88" s="54"/>
      <c r="F88" s="54"/>
      <c r="G88" s="54"/>
      <c r="H88" s="54">
        <v>1</v>
      </c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20</v>
      </c>
      <c r="B89" s="63">
        <v>85</v>
      </c>
      <c r="C89" s="63">
        <v>2</v>
      </c>
      <c r="D89" s="63">
        <v>25</v>
      </c>
      <c r="E89" s="54"/>
      <c r="F89" s="54"/>
      <c r="G89" s="54"/>
      <c r="H89" s="54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25</v>
      </c>
      <c r="B90" s="63">
        <v>113</v>
      </c>
      <c r="C90" s="63">
        <v>3</v>
      </c>
      <c r="D90" s="63">
        <v>27</v>
      </c>
      <c r="E90" s="54"/>
      <c r="F90" s="54"/>
      <c r="G90" s="54"/>
      <c r="H90" s="54">
        <v>1</v>
      </c>
      <c r="I90" s="56">
        <f t="shared" si="3"/>
        <v>10.6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31</v>
      </c>
      <c r="B91" s="63">
        <v>155</v>
      </c>
      <c r="C91" s="63">
        <v>4</v>
      </c>
      <c r="D91" s="63">
        <v>36</v>
      </c>
      <c r="E91" s="54"/>
      <c r="F91" s="54"/>
      <c r="G91" s="54"/>
      <c r="H91" s="54">
        <v>1</v>
      </c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37</v>
      </c>
      <c r="B92" s="63">
        <v>188</v>
      </c>
      <c r="C92" s="63">
        <v>5</v>
      </c>
      <c r="D92" s="63">
        <v>36</v>
      </c>
      <c r="E92" s="54"/>
      <c r="F92" s="54"/>
      <c r="G92" s="54"/>
      <c r="H92" s="54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44</v>
      </c>
      <c r="B93" s="63">
        <v>230</v>
      </c>
      <c r="C93" s="63">
        <v>6</v>
      </c>
      <c r="D93" s="63">
        <v>43</v>
      </c>
      <c r="E93" s="54"/>
      <c r="F93" s="54"/>
      <c r="G93" s="54"/>
      <c r="H93" s="54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>
        <v>52</v>
      </c>
      <c r="B94" s="63">
        <v>270</v>
      </c>
      <c r="C94" s="63">
        <v>7</v>
      </c>
      <c r="D94" s="63">
        <v>48</v>
      </c>
      <c r="E94" s="54"/>
      <c r="F94" s="54"/>
      <c r="G94" s="54"/>
      <c r="H94" s="54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53">
        <v>60</v>
      </c>
      <c r="B95" s="53">
        <v>297</v>
      </c>
      <c r="C95" s="53"/>
      <c r="D95" s="53">
        <v>297</v>
      </c>
      <c r="E95" s="54"/>
      <c r="F95" s="54"/>
      <c r="G95" s="54"/>
      <c r="H95" s="54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>Erable plane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>
        <v>15</v>
      </c>
      <c r="B114" s="63">
        <v>40</v>
      </c>
      <c r="C114" s="63">
        <v>1</v>
      </c>
      <c r="D114" s="63">
        <v>3</v>
      </c>
      <c r="E114" s="54"/>
      <c r="F114" s="54"/>
      <c r="G114" s="54"/>
      <c r="H114" s="54">
        <v>1</v>
      </c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>
        <v>20</v>
      </c>
      <c r="B115" s="63">
        <v>85</v>
      </c>
      <c r="C115" s="63">
        <v>2</v>
      </c>
      <c r="D115" s="63">
        <v>25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>
        <v>25</v>
      </c>
      <c r="B116" s="63">
        <v>113</v>
      </c>
      <c r="C116" s="63">
        <v>3</v>
      </c>
      <c r="D116" s="63">
        <v>27</v>
      </c>
      <c r="E116" s="54"/>
      <c r="F116" s="54"/>
      <c r="G116" s="54"/>
      <c r="H116" s="54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>
        <v>31</v>
      </c>
      <c r="B117" s="63">
        <v>155</v>
      </c>
      <c r="C117" s="63">
        <v>4</v>
      </c>
      <c r="D117" s="63">
        <v>36</v>
      </c>
      <c r="E117" s="54"/>
      <c r="F117" s="54"/>
      <c r="G117" s="54"/>
      <c r="H117" s="54">
        <v>1</v>
      </c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>
        <v>37</v>
      </c>
      <c r="B118" s="63">
        <v>188</v>
      </c>
      <c r="C118" s="63">
        <v>5</v>
      </c>
      <c r="D118" s="63">
        <v>36</v>
      </c>
      <c r="E118" s="54"/>
      <c r="F118" s="54"/>
      <c r="G118" s="54"/>
      <c r="H118" s="54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>
        <v>44</v>
      </c>
      <c r="B119" s="63">
        <v>230</v>
      </c>
      <c r="C119" s="63">
        <v>6</v>
      </c>
      <c r="D119" s="63">
        <v>43</v>
      </c>
      <c r="E119" s="54"/>
      <c r="F119" s="54"/>
      <c r="G119" s="54"/>
      <c r="H119" s="54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53">
        <v>52</v>
      </c>
      <c r="B120" s="63">
        <v>270</v>
      </c>
      <c r="C120" s="63">
        <v>7</v>
      </c>
      <c r="D120" s="63">
        <v>48</v>
      </c>
      <c r="E120" s="54"/>
      <c r="F120" s="54"/>
      <c r="G120" s="54"/>
      <c r="H120" s="54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53">
        <v>60</v>
      </c>
      <c r="B121" s="53">
        <v>297</v>
      </c>
      <c r="C121" s="53"/>
      <c r="D121" s="53">
        <v>297</v>
      </c>
      <c r="E121" s="54"/>
      <c r="F121" s="54"/>
      <c r="G121" s="54"/>
      <c r="H121" s="54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>Cèdre de l'Atlas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>
        <v>20</v>
      </c>
      <c r="B140" s="63">
        <v>158</v>
      </c>
      <c r="C140" s="53">
        <v>1</v>
      </c>
      <c r="D140" s="63">
        <v>39.5</v>
      </c>
      <c r="E140" s="54"/>
      <c r="F140" s="54"/>
      <c r="G140" s="54"/>
      <c r="H140" s="54">
        <v>1</v>
      </c>
      <c r="I140" s="60">
        <f>IFERROR(B140/A140,"")</f>
        <v>7.9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>
        <v>30</v>
      </c>
      <c r="B141" s="63">
        <v>210</v>
      </c>
      <c r="C141" s="53">
        <v>2</v>
      </c>
      <c r="D141" s="63">
        <v>53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9.15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>
        <v>40</v>
      </c>
      <c r="B142" s="63">
        <v>257</v>
      </c>
      <c r="C142" s="53">
        <v>3</v>
      </c>
      <c r="D142" s="63">
        <v>64</v>
      </c>
      <c r="E142" s="54"/>
      <c r="F142" s="54"/>
      <c r="G142" s="54"/>
      <c r="H142" s="54"/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>
        <v>50</v>
      </c>
      <c r="B143" s="63">
        <v>308</v>
      </c>
      <c r="C143" s="53">
        <v>4</v>
      </c>
      <c r="D143" s="63">
        <v>77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>
        <v>60</v>
      </c>
      <c r="B144" s="63">
        <v>366</v>
      </c>
      <c r="C144" s="53"/>
      <c r="D144" s="63">
        <v>366</v>
      </c>
      <c r="E144" s="54"/>
      <c r="F144" s="54"/>
      <c r="G144" s="54"/>
      <c r="H144" s="54"/>
      <c r="I144" s="60">
        <f t="shared" si="5"/>
        <v>13.5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>Douglas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>
        <v>15</v>
      </c>
      <c r="B166" s="63">
        <f>189</f>
        <v>189</v>
      </c>
      <c r="C166" s="63">
        <v>1</v>
      </c>
      <c r="D166" s="63">
        <v>0</v>
      </c>
      <c r="E166" s="54"/>
      <c r="F166" s="54"/>
      <c r="G166" s="54"/>
      <c r="H166" s="54">
        <v>1</v>
      </c>
      <c r="I166" s="52">
        <f>IFERROR(B166/A166,"")</f>
        <v>12.6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>
        <v>20</v>
      </c>
      <c r="B167" s="63">
        <f>320+11</f>
        <v>331</v>
      </c>
      <c r="C167" s="63">
        <v>2</v>
      </c>
      <c r="D167" s="63">
        <v>11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28.4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>
        <v>25</v>
      </c>
      <c r="B168" s="63">
        <f>423+46</f>
        <v>469</v>
      </c>
      <c r="C168" s="63">
        <v>3</v>
      </c>
      <c r="D168" s="63">
        <v>46</v>
      </c>
      <c r="E168" s="54"/>
      <c r="F168" s="54"/>
      <c r="G168" s="54"/>
      <c r="H168" s="54">
        <v>1</v>
      </c>
      <c r="I168" s="52">
        <f t="shared" si="6"/>
        <v>29.8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>
        <v>30</v>
      </c>
      <c r="B169" s="63">
        <f>493+67</f>
        <v>560</v>
      </c>
      <c r="C169" s="63">
        <v>4</v>
      </c>
      <c r="D169" s="63">
        <v>67</v>
      </c>
      <c r="E169" s="54"/>
      <c r="F169" s="54"/>
      <c r="G169" s="54"/>
      <c r="H169" s="54">
        <v>1</v>
      </c>
      <c r="I169" s="52">
        <f t="shared" si="6"/>
        <v>27.4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>
        <v>35</v>
      </c>
      <c r="B170" s="63">
        <f>544+72</f>
        <v>616</v>
      </c>
      <c r="C170" s="63">
        <v>5</v>
      </c>
      <c r="D170" s="63">
        <v>72</v>
      </c>
      <c r="E170" s="54"/>
      <c r="F170" s="54"/>
      <c r="G170" s="54"/>
      <c r="H170" s="54"/>
      <c r="I170" s="52">
        <f t="shared" si="6"/>
        <v>24.6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>
        <v>40</v>
      </c>
      <c r="B171" s="63">
        <f>575+79</f>
        <v>654</v>
      </c>
      <c r="C171" s="63">
        <v>6</v>
      </c>
      <c r="D171" s="63">
        <v>79</v>
      </c>
      <c r="E171" s="54"/>
      <c r="F171" s="54"/>
      <c r="G171" s="54"/>
      <c r="H171" s="54"/>
      <c r="I171" s="52">
        <f t="shared" si="6"/>
        <v>22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>
        <v>45</v>
      </c>
      <c r="B172" s="63">
        <f>595+82</f>
        <v>677</v>
      </c>
      <c r="C172" s="63">
        <v>7</v>
      </c>
      <c r="D172" s="63">
        <v>82</v>
      </c>
      <c r="E172" s="54"/>
      <c r="F172" s="54"/>
      <c r="G172" s="54"/>
      <c r="H172" s="54"/>
      <c r="I172" s="52">
        <f t="shared" si="6"/>
        <v>20.399999999999999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>
        <v>50</v>
      </c>
      <c r="B173" s="53">
        <f>616+75</f>
        <v>691</v>
      </c>
      <c r="C173" s="53">
        <v>8</v>
      </c>
      <c r="D173" s="53">
        <v>75</v>
      </c>
      <c r="E173" s="54"/>
      <c r="F173" s="54"/>
      <c r="G173" s="54"/>
      <c r="H173" s="54"/>
      <c r="I173" s="52">
        <f t="shared" si="6"/>
        <v>19.2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>
        <v>55</v>
      </c>
      <c r="B174" s="53">
        <f>639+66</f>
        <v>705</v>
      </c>
      <c r="C174" s="53">
        <v>9</v>
      </c>
      <c r="D174" s="53">
        <v>66</v>
      </c>
      <c r="E174" s="54"/>
      <c r="F174" s="54"/>
      <c r="G174" s="54"/>
      <c r="H174" s="54"/>
      <c r="I174" s="52">
        <f t="shared" si="6"/>
        <v>17.8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>
        <v>60</v>
      </c>
      <c r="B175" s="53">
        <f>659+64</f>
        <v>723</v>
      </c>
      <c r="C175" s="53"/>
      <c r="D175" s="53">
        <v>723</v>
      </c>
      <c r="E175" s="54"/>
      <c r="F175" s="54"/>
      <c r="G175" s="54"/>
      <c r="H175" s="54"/>
      <c r="I175" s="52">
        <f t="shared" si="6"/>
        <v>16.8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>Pin maritime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>
        <v>12</v>
      </c>
      <c r="B192" s="63">
        <v>59</v>
      </c>
      <c r="C192" s="63">
        <v>1</v>
      </c>
      <c r="D192" s="63">
        <v>0</v>
      </c>
      <c r="E192" s="54"/>
      <c r="F192" s="54"/>
      <c r="G192" s="54"/>
      <c r="H192" s="54">
        <v>1</v>
      </c>
      <c r="I192" s="52">
        <f>IFERROR(B192/A192,"")</f>
        <v>4.916666666666667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>
        <v>16</v>
      </c>
      <c r="B193" s="63">
        <f>97+20</f>
        <v>117</v>
      </c>
      <c r="C193" s="63">
        <v>2</v>
      </c>
      <c r="D193" s="63">
        <v>20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14.5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>
        <v>20</v>
      </c>
      <c r="B194" s="63">
        <f>131+31</f>
        <v>162</v>
      </c>
      <c r="C194" s="63">
        <v>3</v>
      </c>
      <c r="D194" s="63">
        <v>31</v>
      </c>
      <c r="E194" s="54"/>
      <c r="F194" s="54"/>
      <c r="G194" s="54"/>
      <c r="H194" s="54">
        <v>1</v>
      </c>
      <c r="I194" s="52">
        <f t="shared" si="7"/>
        <v>16.25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>
        <v>24</v>
      </c>
      <c r="B195" s="63">
        <f>160+41</f>
        <v>201</v>
      </c>
      <c r="C195" s="63">
        <v>4</v>
      </c>
      <c r="D195" s="63">
        <v>41</v>
      </c>
      <c r="E195" s="54"/>
      <c r="F195" s="54"/>
      <c r="G195" s="54"/>
      <c r="H195" s="54">
        <v>1</v>
      </c>
      <c r="I195" s="52">
        <f t="shared" si="7"/>
        <v>17.5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>
        <v>28</v>
      </c>
      <c r="B196" s="63">
        <f>188+41</f>
        <v>229</v>
      </c>
      <c r="C196" s="63">
        <v>5</v>
      </c>
      <c r="D196" s="63">
        <v>41</v>
      </c>
      <c r="E196" s="54"/>
      <c r="F196" s="54"/>
      <c r="G196" s="54"/>
      <c r="H196" s="54">
        <v>1</v>
      </c>
      <c r="I196" s="52">
        <f t="shared" si="7"/>
        <v>17.25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>
        <v>34</v>
      </c>
      <c r="B197" s="63">
        <f>230+55</f>
        <v>285</v>
      </c>
      <c r="C197" s="63">
        <v>6</v>
      </c>
      <c r="D197" s="63">
        <v>55</v>
      </c>
      <c r="E197" s="54"/>
      <c r="F197" s="54"/>
      <c r="G197" s="54"/>
      <c r="H197" s="54"/>
      <c r="I197" s="52">
        <f t="shared" si="7"/>
        <v>16.166666666666668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>
        <v>40</v>
      </c>
      <c r="B198" s="63">
        <f>264+47</f>
        <v>311</v>
      </c>
      <c r="C198" s="63">
        <v>7</v>
      </c>
      <c r="D198" s="63">
        <v>47</v>
      </c>
      <c r="E198" s="54"/>
      <c r="F198" s="54"/>
      <c r="G198" s="54"/>
      <c r="H198" s="54"/>
      <c r="I198" s="52">
        <f t="shared" si="7"/>
        <v>13.5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>
        <v>46</v>
      </c>
      <c r="B199" s="53">
        <f>292+32</f>
        <v>324</v>
      </c>
      <c r="C199" s="53">
        <v>8</v>
      </c>
      <c r="D199" s="53">
        <v>32</v>
      </c>
      <c r="E199" s="54"/>
      <c r="F199" s="54"/>
      <c r="G199" s="54"/>
      <c r="H199" s="54"/>
      <c r="I199" s="52">
        <f t="shared" si="7"/>
        <v>10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>
        <v>54</v>
      </c>
      <c r="B200" s="53">
        <f>323+17</f>
        <v>340</v>
      </c>
      <c r="C200" s="53">
        <v>9</v>
      </c>
      <c r="D200" s="53">
        <v>17</v>
      </c>
      <c r="E200" s="54"/>
      <c r="F200" s="54"/>
      <c r="G200" s="54"/>
      <c r="H200" s="54"/>
      <c r="I200" s="52">
        <f t="shared" si="7"/>
        <v>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>
        <v>62</v>
      </c>
      <c r="B201" s="53">
        <v>336</v>
      </c>
      <c r="C201" s="53"/>
      <c r="D201" s="53">
        <v>336</v>
      </c>
      <c r="E201" s="54"/>
      <c r="F201" s="54"/>
      <c r="G201" s="54"/>
      <c r="H201" s="54"/>
      <c r="I201" s="52">
        <f t="shared" si="7"/>
        <v>1.625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Châtaignier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Merisier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Tilleul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plane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Cèdre de l'Atlas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Douglas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Pin maritime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451.25506262546861</v>
      </c>
      <c r="T3" s="62">
        <f>IF('Données projet'!E9&gt;30,$R$33-$H$33,LOOKUP('Données projet'!$E$9,$A$3:$A$203,R3:R203)-LOOKUP('Données projet'!$E$9,$A$3:$A$203,$H$3:$H$203))</f>
        <v>534.19872447444368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252.84702735189455</v>
      </c>
      <c r="AO3" s="62">
        <f>IF('Données projet'!E10&gt;30,$AM$33-$H$33,LOOKUP('Données projet'!$E$10,$A$3:$A$203,AM3:AM203)-LOOKUP('Données projet'!$E$10,$A$3:$A$203,$H$3:$H$203))</f>
        <v>283.48738729114024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221.98516361836096</v>
      </c>
      <c r="BJ3" s="62">
        <f>IF('Données projet'!E11&gt;30,$BH$33-$H$33,LOOKUP('Données projet'!$E$11,$A$3:$A$203,BH3:BH203)-LOOKUP('Données projet'!$E$11,$A$3:$A$203,$H$3:$H$203))</f>
        <v>249.72262393661117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257.24784840892409</v>
      </c>
      <c r="CE3" s="62">
        <f>IF('Données projet'!E12&gt;30,$CC$33-$H$33,LOOKUP('Données projet'!$E$12,$A$3:$A$203,CC3:CC203)-LOOKUP('Données projet'!$E$12,$A$3:$A$203,$H$3:$H$203))</f>
        <v>288.30197520356643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199.0086462069545</v>
      </c>
      <c r="CZ3" s="62">
        <f>IF('Données projet'!E13&gt;30,$CX$33-$H$33,LOOKUP('Données projet'!$E$13,$A$3:$A$203,CX3:CX203)-LOOKUP('Données projet'!$E$13,$A$3:$A$203,$H$3:$H$203))</f>
        <v>254.08208375594057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534.78683721545372</v>
      </c>
      <c r="DU3" s="62">
        <f>IF('Données projet'!E14&gt;30,$DS$33-$H$33,LOOKUP('Données projet'!$E$14,$A$3:$A$203,DS3:DS203)-LOOKUP('Données projet'!$E$14,$A$3:$A$203,$H$3:$H$203))</f>
        <v>710.59298755711075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292.87204407272162</v>
      </c>
      <c r="EP3" s="62">
        <f>IF('Données projet'!E15&gt;30,$EN$33-$H$33,LOOKUP('Données projet'!$E$15,$A$3:$A$203,EN3:EN203)-LOOKUP('Données projet'!$E$15,$A$3:$A$203,$H$3:$H$203))</f>
        <v>326.06531673481805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4.95</v>
      </c>
      <c r="N4" s="14">
        <f>IF('Données projet'!$A$36&gt;35,N3+M4-V3,IF(A4&lt;'Données projet'!$A$36,$K$205^A4,IF(A4='Données projet'!$A$36,'Données projet'!$B$36,N3+M4-V3)))</f>
        <v>1.2582929395612836</v>
      </c>
      <c r="O4" s="14">
        <f>N4*VLOOKUP('Données projet'!$B$9,Paramètres!$A$1:$I$89,3,0)*VLOOKUP('Données projet'!$B$9,Paramètres!$A$1:$I$89,5,0)</f>
        <v>0.92258038328633307</v>
      </c>
      <c r="P4" s="14">
        <f>EXP(-1.0587+0.8836*LN(O4)+0.284)</f>
        <v>0.42917042888254892</v>
      </c>
      <c r="Q4" s="22">
        <f t="shared" ref="Q4:Q34" si="2">(O4+P4)*0.475*44/12</f>
        <v>2.3542993311941358</v>
      </c>
      <c r="R4" s="62">
        <f t="shared" si="0"/>
        <v>260.24318822008297</v>
      </c>
      <c r="S4" s="62">
        <f ca="1">AVERAGE(OFFSET($R$3,0,0,'Données projet'!$E$9+1,1))-AVERAGE(OFFSET($H$3,0,0,'Données projet'!$E$9+1,1))</f>
        <v>451.25506262546861</v>
      </c>
      <c r="T4" s="62">
        <f>$T$3</f>
        <v>534.19872447444368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2.6666666666666665</v>
      </c>
      <c r="AI4" s="14">
        <f>IF('Données projet'!$A$62&gt;35,AI3+AH4-AQ3,IF(A4&lt;'Données projet'!$A$62,$AF$205^A4,IF(A4='Données projet'!$A$62,'Données projet'!$B$62,AI3+AH4-AQ3)))</f>
        <v>1.2788040393997409</v>
      </c>
      <c r="AJ4" s="14">
        <f>AI4*VLOOKUP('Données projet'!$B$10,Paramètres!$A$1:$I$89,3,0)*VLOOKUP('Données projet'!$B$10,Paramètres!$A$1:$I$89,5,0)</f>
        <v>0.99746715073179792</v>
      </c>
      <c r="AK4" s="14">
        <f>EXP(-1.0587+0.8836*LN(AJ4)+0.284)</f>
        <v>0.45981048445793882</v>
      </c>
      <c r="AL4" s="22">
        <f t="shared" ref="AL4:AL67" si="4">(AJ4+AK4)*0.475*44/12</f>
        <v>2.5380918812887914</v>
      </c>
      <c r="AM4" s="62">
        <f t="shared" ref="AM4:AM67" si="5">AL4+(AD4+AE4)*44/12</f>
        <v>260.42698077017764</v>
      </c>
      <c r="AN4" s="62">
        <f ca="1">AVERAGE(OFFSET($AM$3,0,0,'Données projet'!$E$10+1,1))-AVERAGE(OFFSET($H$3,0,0,'Données projet'!$E$10+1,1))</f>
        <v>252.84702735189455</v>
      </c>
      <c r="AO4" s="62">
        <f>$AO$3</f>
        <v>283.48738729114024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0.85782174962934621</v>
      </c>
      <c r="BF4" s="14">
        <f>EXP(-1.0587+0.8836*LN(BE4)+0.284)</f>
        <v>0.40244051974743428</v>
      </c>
      <c r="BG4" s="22">
        <f t="shared" ref="BG4:BG67" si="7">(BE4+BF4)*0.475*44/12</f>
        <v>2.1949567858312258</v>
      </c>
      <c r="BH4" s="62">
        <f t="shared" ref="BH4:BH67" si="8">BG4+(AY4+AZ4)*44/12</f>
        <v>260.08384567472007</v>
      </c>
      <c r="BI4" s="62">
        <f ca="1">AVERAGE(OFFSET($BH$3,0,0,'Données projet'!$E$11+1,1))-AVERAGE(OFFSET($H$3,0,0,'Données projet'!$E$11+1,1))</f>
        <v>221.98516361836096</v>
      </c>
      <c r="BJ4" s="62">
        <f>$BJ$3</f>
        <v>249.72262393661117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projet'!$B$12,Paramètres!$A$1:$I$89,3,0)*VLOOKUP('Données projet'!$B$12,Paramètres!$A$1:$I$89,5,0)</f>
        <v>1.0174164937464338</v>
      </c>
      <c r="CA4" s="14">
        <f>EXP(-1.0587+0.8836*LN(BZ4)+0.284)</f>
        <v>0.46792686660190508</v>
      </c>
      <c r="CB4" s="22">
        <f t="shared" ref="CB4:CB67" si="10">(BZ4+CA4)*0.475*44/12</f>
        <v>2.5869730192733571</v>
      </c>
      <c r="CC4" s="62">
        <f t="shared" ref="CC4:CC67" si="11">CB4+(BT4+BU4)*44/12</f>
        <v>260.47586190816219</v>
      </c>
      <c r="CD4" s="62">
        <f ca="1">AVERAGE(OFFSET($CC$3,0,0,'Données projet'!$E$12+1,1))-AVERAGE(OFFSET($H$3,0,0,'Données projet'!$E$12+1,1))</f>
        <v>257.24784840892409</v>
      </c>
      <c r="CE4" s="62">
        <f>$CE$3</f>
        <v>288.30197520356643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7.9</v>
      </c>
      <c r="CT4" s="13">
        <f>IF('Données projet'!$A$140&gt;35,CT3+CS4-DB3,IF(A4&lt;'Données projet'!$A$140,$CQ$205^A4,IF(A4='Données projet'!$A$140,'Données projet'!$B$140,CT3+CS4-DB3)))</f>
        <v>1.2880503926580862</v>
      </c>
      <c r="CU4" s="18">
        <f>CT4*VLOOKUP('Données projet'!$B$13,Paramètres!$A$1:$I$89,3,0)*VLOOKUP('Données projet'!$B$13,Paramètres!$A$1:$I$89,5,0)</f>
        <v>0.60280758376398436</v>
      </c>
      <c r="CV4" s="14">
        <f>EXP(-1.0587+0.8836*LN(CU4)+0.284)</f>
        <v>0.29465781953181042</v>
      </c>
      <c r="CW4" s="22">
        <f t="shared" ref="CW4:CW67" si="13">(CU4+CV4)*0.475*44/12</f>
        <v>1.5630855774068424</v>
      </c>
      <c r="CX4" s="62">
        <f t="shared" ref="CX4:CX67" si="14">CW4+(CO4+CP4)*44/12</f>
        <v>259.45197446629572</v>
      </c>
      <c r="CY4" s="62">
        <f ca="1">AVERAGE(OFFSET($CX$3,0,0,'Données projet'!$E$13+1,1))-AVERAGE(OFFSET($H$3,0,0,'Données projet'!$E$13+1,1))</f>
        <v>199.0086462069545</v>
      </c>
      <c r="CZ4" s="62">
        <f>$CZ$3</f>
        <v>254.08208375594057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12.6</v>
      </c>
      <c r="DO4" s="13">
        <f>IF('Données projet'!$A$166&gt;35,DO3+DN4-DW3,IF(A4&lt;'Données projet'!$A$166,$DL$205^A4,IF(A4='Données projet'!$A$166,'Données projet'!$B$166,DO3+DN4-DW3)))</f>
        <v>1.418286993802653</v>
      </c>
      <c r="DP4" s="18">
        <f>DO4*VLOOKUP('Données projet'!$B$14,Paramètres!$A$1:$I$89,3,0)*VLOOKUP('Données projet'!$B$14,Paramètres!$A$1:$I$89,5,0)</f>
        <v>0.79282242953568305</v>
      </c>
      <c r="DQ4" s="14">
        <f>EXP(-1.0587+0.8836*LN(DP4)+0.284)</f>
        <v>0.37537376382346138</v>
      </c>
      <c r="DR4" s="22">
        <f t="shared" ref="DR4:DR67" si="16">(DP4+DQ4)*0.475*44/12</f>
        <v>2.0346083701005098</v>
      </c>
      <c r="DS4" s="62">
        <f t="shared" ref="DS4:DS67" si="17">DR4+(DJ4+DK4)*44/12</f>
        <v>259.92349725898936</v>
      </c>
      <c r="DT4" s="62">
        <f ca="1">AVERAGE(OFFSET($DS$3,0,0,'Données projet'!$E$14+1,1))-AVERAGE(OFFSET($H$3,0,0,'Données projet'!$E$14+1,1))</f>
        <v>534.78683721545372</v>
      </c>
      <c r="DU4" s="62">
        <f>$DU$3</f>
        <v>710.59298755711075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4.916666666666667</v>
      </c>
      <c r="EJ4" s="13">
        <f>IF('Données projet'!$A$192&gt;35,EJ3+EI4-ER3,IF(A4&lt;'Données projet'!$A$192,$EG$205^A4,IF(A4='Données projet'!$A$192,'Données projet'!$B$192,EJ3+EI4-ER3)))</f>
        <v>1.4046593066234723</v>
      </c>
      <c r="EK4" s="18">
        <f>EJ4*VLOOKUP('Données projet'!$B$15,Paramètres!$A$1:$I$89,3,0)*VLOOKUP('Données projet'!$B$15,Paramètres!$A$1:$I$89,5,0)</f>
        <v>0.83998626536083654</v>
      </c>
      <c r="EL4" s="14">
        <f>EXP(-1.0587+0.8836*LN(EK4)+0.284)</f>
        <v>0.39503808518796146</v>
      </c>
      <c r="EM4" s="22">
        <f t="shared" ref="EM4:EM67" si="19">(EK4+EL4)*0.475*44/12</f>
        <v>2.1510007438724901</v>
      </c>
      <c r="EN4" s="62">
        <f t="shared" ref="EN4:EN67" si="20">EM4+(EE4+EF4)*44/12</f>
        <v>260.03988963276134</v>
      </c>
      <c r="EO4" s="62">
        <f ca="1">AVERAGE(OFFSET($EN$3,0,0,'Données projet'!$E$15+1,1))-AVERAGE(OFFSET($H$3,0,0,'Données projet'!$E$15+1,1))</f>
        <v>292.87204407272162</v>
      </c>
      <c r="EP4" s="62">
        <f>$EP$3</f>
        <v>326.06531673481805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4.95</v>
      </c>
      <c r="N5" s="14">
        <f>IF('Données projet'!$A$36&gt;35,N4+M5-V4,IF(A5&lt;'Données projet'!$A$36,$K$205^A5,IF(A5='Données projet'!$A$36,'Données projet'!$B$36,N4+M5-V4)))</f>
        <v>1.5833011217497761</v>
      </c>
      <c r="O5" s="14">
        <f>N5*VLOOKUP('Données projet'!$B$9,Paramètres!$A$1:$I$89,3,0)*VLOOKUP('Données projet'!$B$9,Paramètres!$A$1:$I$89,5,0)</f>
        <v>1.1608763824669359</v>
      </c>
      <c r="P5" s="14">
        <f t="shared" ref="P5:P68" si="33">EXP(-1.0587+0.8836*LN(O5)+0.284)</f>
        <v>0.5257713934949465</v>
      </c>
      <c r="Q5" s="22">
        <f t="shared" si="2"/>
        <v>2.9375782098002787</v>
      </c>
      <c r="R5" s="62">
        <f t="shared" si="0"/>
        <v>262.04868932091142</v>
      </c>
      <c r="S5" s="62">
        <f ca="1">AVERAGE(OFFSET($R$3,0,0,'Données projet'!$E$9+1,1))-AVERAGE(OFFSET($H$3,0,0,'Données projet'!$E$9+1,1))</f>
        <v>451.25506262546861</v>
      </c>
      <c r="T5" s="62">
        <f t="shared" ref="T5:T68" si="34">$T$3</f>
        <v>534.19872447444368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2.6666666666666665</v>
      </c>
      <c r="AI5" s="14">
        <f>IF('Données projet'!$A$62&gt;35,AI4+AH5-AQ4,IF(A5&lt;'Données projet'!$A$62,$AF$205^A5,IF(A5='Données projet'!$A$62,'Données projet'!$B$62,AI4+AH5-AQ4)))</f>
        <v>1.6353397711850939</v>
      </c>
      <c r="AJ5" s="14">
        <f>AI5*VLOOKUP('Données projet'!$B$10,Paramètres!$A$1:$I$89,3,0)*VLOOKUP('Données projet'!$B$10,Paramètres!$A$1:$I$89,5,0)</f>
        <v>1.2755650215243732</v>
      </c>
      <c r="AK5" s="14">
        <f t="shared" ref="AK5:AK68" si="35">EXP(-1.0587+0.8836*LN(AJ5)+0.284)</f>
        <v>0.57141400910743001</v>
      </c>
      <c r="AL5" s="22">
        <f t="shared" si="4"/>
        <v>3.2168218116837237</v>
      </c>
      <c r="AM5" s="62">
        <f t="shared" si="5"/>
        <v>262.32793292279484</v>
      </c>
      <c r="AN5" s="62">
        <f ca="1">AVERAGE(OFFSET($AM$3,0,0,'Données projet'!$E$10+1,1))-AVERAGE(OFFSET($H$3,0,0,'Données projet'!$E$10+1,1))</f>
        <v>252.84702735189455</v>
      </c>
      <c r="AO5" s="62">
        <f t="shared" ref="AO5:AO68" si="36">$AO$3</f>
        <v>283.48738729114024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1.0969859185109609</v>
      </c>
      <c r="BF5" s="14">
        <f t="shared" ref="BF5:BF68" si="37">EXP(-1.0587+0.8836*LN(BE5)+0.284)</f>
        <v>0.50011941569199869</v>
      </c>
      <c r="BG5" s="22">
        <f t="shared" si="7"/>
        <v>2.7816251237368212</v>
      </c>
      <c r="BH5" s="62">
        <f t="shared" si="8"/>
        <v>261.89273623484797</v>
      </c>
      <c r="BI5" s="62">
        <f ca="1">AVERAGE(OFFSET($BH$3,0,0,'Données projet'!$E$11+1,1))-AVERAGE(OFFSET($H$3,0,0,'Données projet'!$E$11+1,1))</f>
        <v>221.98516361836096</v>
      </c>
      <c r="BJ5" s="62">
        <f t="shared" ref="BJ5:BJ68" si="38">$BJ$3</f>
        <v>249.72262393661117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projet'!$B$12,Paramètres!$A$1:$I$89,3,0)*VLOOKUP('Données projet'!$B$12,Paramètres!$A$1:$I$89,5,0)</f>
        <v>1.3010763219548607</v>
      </c>
      <c r="CA5" s="14">
        <f t="shared" ref="CA5:CA68" si="39">EXP(-1.0587+0.8836*LN(BZ5)+0.284)</f>
        <v>0.58150036993889109</v>
      </c>
      <c r="CB5" s="22">
        <f t="shared" si="10"/>
        <v>3.2788210717149511</v>
      </c>
      <c r="CC5" s="62">
        <f t="shared" si="11"/>
        <v>262.3899321828261</v>
      </c>
      <c r="CD5" s="62">
        <f ca="1">AVERAGE(OFFSET($CC$3,0,0,'Données projet'!$E$12+1,1))-AVERAGE(OFFSET($H$3,0,0,'Données projet'!$E$12+1,1))</f>
        <v>257.24784840892409</v>
      </c>
      <c r="CE5" s="62">
        <f t="shared" ref="CE5:CE68" si="40">$CE$3</f>
        <v>288.30197520356643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7.9</v>
      </c>
      <c r="CT5" s="13">
        <f>IF('Données projet'!$A$140&gt;35,CT4+CS5-DB4,IF(A5&lt;'Données projet'!$A$140,$CQ$205^A5,IF(A5='Données projet'!$A$140,'Données projet'!$B$140,CT4+CS5-DB4)))</f>
        <v>1.6590738140266501</v>
      </c>
      <c r="CU5" s="18">
        <f>CT5*VLOOKUP('Données projet'!$B$13,Paramètres!$A$1:$I$89,3,0)*VLOOKUP('Données projet'!$B$13,Paramètres!$A$1:$I$89,5,0)</f>
        <v>0.77644654496447219</v>
      </c>
      <c r="CV5" s="14">
        <f t="shared" ref="CV5:CV68" si="41">EXP(-1.0587+0.8836*LN(CU5)+0.284)</f>
        <v>0.36851455096495994</v>
      </c>
      <c r="CW5" s="22">
        <f t="shared" si="13"/>
        <v>1.9941405754104276</v>
      </c>
      <c r="CX5" s="62">
        <f t="shared" si="14"/>
        <v>261.10525168652157</v>
      </c>
      <c r="CY5" s="62">
        <f ca="1">AVERAGE(OFFSET($CX$3,0,0,'Données projet'!$E$13+1,1))-AVERAGE(OFFSET($H$3,0,0,'Données projet'!$E$13+1,1))</f>
        <v>199.0086462069545</v>
      </c>
      <c r="CZ5" s="62">
        <f t="shared" ref="CZ5:CZ68" si="42">$CZ$3</f>
        <v>254.08208375594057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12.6</v>
      </c>
      <c r="DO5" s="13">
        <f>IF('Données projet'!$A$166&gt;35,DO4+DN5-DW4,IF(A5&lt;'Données projet'!$A$166,$DL$205^A5,IF(A5='Données projet'!$A$166,'Données projet'!$B$166,DO4+DN5-DW4)))</f>
        <v>2.0115379967897669</v>
      </c>
      <c r="DP5" s="18">
        <f>DO5*VLOOKUP('Données projet'!$B$14,Paramètres!$A$1:$I$89,3,0)*VLOOKUP('Données projet'!$B$14,Paramètres!$A$1:$I$89,5,0)</f>
        <v>1.1244497402054798</v>
      </c>
      <c r="DQ5" s="14">
        <f t="shared" ref="DQ5:DQ68" si="43">EXP(-1.0587+0.8836*LN(DP5)+0.284)</f>
        <v>0.51116686213755136</v>
      </c>
      <c r="DR5" s="22">
        <f t="shared" si="16"/>
        <v>2.848698915747446</v>
      </c>
      <c r="DS5" s="62">
        <f t="shared" si="17"/>
        <v>261.95981002685858</v>
      </c>
      <c r="DT5" s="62">
        <f ca="1">AVERAGE(OFFSET($DS$3,0,0,'Données projet'!$E$14+1,1))-AVERAGE(OFFSET($H$3,0,0,'Données projet'!$E$14+1,1))</f>
        <v>534.78683721545372</v>
      </c>
      <c r="DU5" s="62">
        <f t="shared" ref="DU5:DU68" si="44">$DU$3</f>
        <v>710.59298755711075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4.916666666666667</v>
      </c>
      <c r="EJ5" s="13">
        <f>IF('Données projet'!$A$192&gt;35,EJ4+EI5-ER4,IF(A5&lt;'Données projet'!$A$192,$EG$205^A5,IF(A5='Données projet'!$A$192,'Données projet'!$B$192,EJ4+EI5-ER4)))</f>
        <v>1.9730677676839339</v>
      </c>
      <c r="EK5" s="18">
        <f>EJ5*VLOOKUP('Données projet'!$B$15,Paramètres!$A$1:$I$89,3,0)*VLOOKUP('Données projet'!$B$15,Paramètres!$A$1:$I$89,5,0)</f>
        <v>1.1798945250749926</v>
      </c>
      <c r="EL5" s="14">
        <f t="shared" ref="EL5:EL68" si="45">EXP(-1.0587+0.8836*LN(EK5)+0.284)</f>
        <v>0.53337505905989735</v>
      </c>
      <c r="EM5" s="22">
        <f t="shared" si="19"/>
        <v>2.9839445257016002</v>
      </c>
      <c r="EN5" s="62">
        <f t="shared" si="20"/>
        <v>262.09505563681273</v>
      </c>
      <c r="EO5" s="62">
        <f ca="1">AVERAGE(OFFSET($EN$3,0,0,'Données projet'!$E$15+1,1))-AVERAGE(OFFSET($H$3,0,0,'Données projet'!$E$15+1,1))</f>
        <v>292.87204407272162</v>
      </c>
      <c r="EP5" s="62">
        <f t="shared" ref="EP5:EP68" si="46">$EP$3</f>
        <v>326.06531673481805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4.95</v>
      </c>
      <c r="N6" s="14">
        <f>IF('Données projet'!$A$36&gt;35,N5+M6-V5,IF(A6&lt;'Données projet'!$A$36,$K$205^A6,IF(A6='Données projet'!$A$36,'Données projet'!$B$36,N5+M6-V5)))</f>
        <v>1.9922566226972036</v>
      </c>
      <c r="O6" s="14">
        <f>N6*VLOOKUP('Données projet'!$B$9,Paramètres!$A$1:$I$89,3,0)*VLOOKUP('Données projet'!$B$9,Paramètres!$A$1:$I$89,5,0)</f>
        <v>1.4607225557615897</v>
      </c>
      <c r="P6" s="14">
        <f t="shared" si="33"/>
        <v>0.64411604251808774</v>
      </c>
      <c r="Q6" s="22">
        <f t="shared" si="2"/>
        <v>3.6659272253371049</v>
      </c>
      <c r="R6" s="62">
        <f t="shared" si="0"/>
        <v>263.99926055867041</v>
      </c>
      <c r="S6" s="62">
        <f ca="1">AVERAGE(OFFSET($R$3,0,0,'Données projet'!$E$9+1,1))-AVERAGE(OFFSET($H$3,0,0,'Données projet'!$E$9+1,1))</f>
        <v>451.25506262546861</v>
      </c>
      <c r="T6" s="62">
        <f t="shared" si="34"/>
        <v>534.19872447444368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2.6666666666666665</v>
      </c>
      <c r="AI6" s="14">
        <f>IF('Données projet'!$A$62&gt;35,AI5+AH6-AQ5,IF(A6&lt;'Données projet'!$A$62,$AF$205^A6,IF(A6='Données projet'!$A$62,'Données projet'!$B$62,AI5+AH6-AQ5)))</f>
        <v>2.0912791051825459</v>
      </c>
      <c r="AJ6" s="14">
        <f>AI6*VLOOKUP('Données projet'!$B$10,Paramètres!$A$1:$I$89,3,0)*VLOOKUP('Données projet'!$B$10,Paramètres!$A$1:$I$89,5,0)</f>
        <v>1.6311977020423858</v>
      </c>
      <c r="AK6" s="14">
        <f t="shared" si="35"/>
        <v>0.71010553443370616</v>
      </c>
      <c r="AL6" s="22">
        <f t="shared" si="4"/>
        <v>4.0777698035291934</v>
      </c>
      <c r="AM6" s="62">
        <f t="shared" si="5"/>
        <v>264.41110313686249</v>
      </c>
      <c r="AN6" s="62">
        <f ca="1">AVERAGE(OFFSET($AM$3,0,0,'Données projet'!$E$10+1,1))-AVERAGE(OFFSET($H$3,0,0,'Données projet'!$E$10+1,1))</f>
        <v>252.84702735189455</v>
      </c>
      <c r="AO6" s="62">
        <f t="shared" si="36"/>
        <v>283.48738729114024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1.4028300237564517</v>
      </c>
      <c r="BF6" s="14">
        <f t="shared" si="37"/>
        <v>0.62150657719326441</v>
      </c>
      <c r="BG6" s="22">
        <f t="shared" si="7"/>
        <v>3.5257195799874221</v>
      </c>
      <c r="BH6" s="62">
        <f t="shared" si="8"/>
        <v>263.85905291332074</v>
      </c>
      <c r="BI6" s="62">
        <f ca="1">AVERAGE(OFFSET($BH$3,0,0,'Données projet'!$E$11+1,1))-AVERAGE(OFFSET($H$3,0,0,'Données projet'!$E$11+1,1))</f>
        <v>221.98516361836096</v>
      </c>
      <c r="BJ6" s="62">
        <f t="shared" si="38"/>
        <v>249.72262393661117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projet'!$B$12,Paramètres!$A$1:$I$89,3,0)*VLOOKUP('Données projet'!$B$12,Paramètres!$A$1:$I$89,5,0)</f>
        <v>1.6638216560832335</v>
      </c>
      <c r="CA6" s="14">
        <f t="shared" si="39"/>
        <v>0.72264001999856631</v>
      </c>
      <c r="CB6" s="22">
        <f t="shared" si="10"/>
        <v>4.1564207525091357</v>
      </c>
      <c r="CC6" s="62">
        <f t="shared" si="11"/>
        <v>264.48975408584243</v>
      </c>
      <c r="CD6" s="62">
        <f ca="1">AVERAGE(OFFSET($CC$3,0,0,'Données projet'!$E$12+1,1))-AVERAGE(OFFSET($H$3,0,0,'Données projet'!$E$12+1,1))</f>
        <v>257.24784840892409</v>
      </c>
      <c r="CE6" s="62">
        <f t="shared" si="40"/>
        <v>288.30197520356643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7.9</v>
      </c>
      <c r="CT6" s="13">
        <f>IF('Données projet'!$A$140&gt;35,CT5+CS6-DB5,IF(A6&lt;'Données projet'!$A$140,$CQ$205^A6,IF(A6='Données projet'!$A$140,'Données projet'!$B$140,CT5+CS6-DB5)))</f>
        <v>2.1369706776057753</v>
      </c>
      <c r="CU6" s="18">
        <f>CT6*VLOOKUP('Données projet'!$B$13,Paramètres!$A$1:$I$89,3,0)*VLOOKUP('Données projet'!$B$13,Paramètres!$A$1:$I$89,5,0)</f>
        <v>1.0001022771195029</v>
      </c>
      <c r="CV6" s="14">
        <f t="shared" si="41"/>
        <v>0.46088365986243646</v>
      </c>
      <c r="CW6" s="22">
        <f t="shared" si="13"/>
        <v>2.5445505069102112</v>
      </c>
      <c r="CX6" s="62">
        <f t="shared" si="14"/>
        <v>262.8778838402435</v>
      </c>
      <c r="CY6" s="62">
        <f ca="1">AVERAGE(OFFSET($CX$3,0,0,'Données projet'!$E$13+1,1))-AVERAGE(OFFSET($H$3,0,0,'Données projet'!$E$13+1,1))</f>
        <v>199.0086462069545</v>
      </c>
      <c r="CZ6" s="62">
        <f t="shared" si="42"/>
        <v>254.08208375594057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12.6</v>
      </c>
      <c r="DO6" s="13">
        <f>IF('Données projet'!$A$166&gt;35,DO5+DN6-DW5,IF(A6&lt;'Données projet'!$A$166,$DL$205^A6,IF(A6='Données projet'!$A$166,'Données projet'!$B$166,DO5+DN6-DW5)))</f>
        <v>2.8529381783867689</v>
      </c>
      <c r="DP6" s="18">
        <f>DO6*VLOOKUP('Données projet'!$B$14,Paramètres!$A$1:$I$89,3,0)*VLOOKUP('Données projet'!$B$14,Paramètres!$A$1:$I$89,5,0)</f>
        <v>1.5947924417182038</v>
      </c>
      <c r="DQ6" s="14">
        <f t="shared" si="43"/>
        <v>0.69608370677295384</v>
      </c>
      <c r="DR6" s="22">
        <f t="shared" si="16"/>
        <v>3.9899426252887658</v>
      </c>
      <c r="DS6" s="62">
        <f t="shared" si="17"/>
        <v>264.32327595862211</v>
      </c>
      <c r="DT6" s="62">
        <f ca="1">AVERAGE(OFFSET($DS$3,0,0,'Données projet'!$E$14+1,1))-AVERAGE(OFFSET($H$3,0,0,'Données projet'!$E$14+1,1))</f>
        <v>534.78683721545372</v>
      </c>
      <c r="DU6" s="62">
        <f t="shared" si="44"/>
        <v>710.59298755711075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4.916666666666667</v>
      </c>
      <c r="EJ6" s="13">
        <f>IF('Données projet'!$A$192&gt;35,EJ5+EI6-ER5,IF(A6&lt;'Données projet'!$A$192,$EG$205^A6,IF(A6='Données projet'!$A$192,'Données projet'!$B$192,EJ5+EI6-ER5)))</f>
        <v>2.7714880024760369</v>
      </c>
      <c r="EK6" s="18">
        <f>EJ6*VLOOKUP('Données projet'!$B$15,Paramètres!$A$1:$I$89,3,0)*VLOOKUP('Données projet'!$B$15,Paramètres!$A$1:$I$89,5,0)</f>
        <v>1.6573498254806702</v>
      </c>
      <c r="EL6" s="14">
        <f t="shared" si="45"/>
        <v>0.72015576293558514</v>
      </c>
      <c r="EM6" s="22">
        <f t="shared" si="19"/>
        <v>4.1408222331583113</v>
      </c>
      <c r="EN6" s="62">
        <f t="shared" si="20"/>
        <v>264.47415556649162</v>
      </c>
      <c r="EO6" s="62">
        <f ca="1">AVERAGE(OFFSET($EN$3,0,0,'Données projet'!$E$15+1,1))-AVERAGE(OFFSET($H$3,0,0,'Données projet'!$E$15+1,1))</f>
        <v>292.87204407272162</v>
      </c>
      <c r="EP6" s="62">
        <f t="shared" si="46"/>
        <v>326.06531673481805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4.95</v>
      </c>
      <c r="N7" s="14">
        <f>IF('Données projet'!$A$36&gt;35,N6+M7-V6,IF(A7&lt;'Données projet'!$A$36,$K$205^A7,IF(A7='Données projet'!$A$36,'Données projet'!$B$36,N6+M7-V6)))</f>
        <v>2.5068424421340993</v>
      </c>
      <c r="O7" s="14">
        <f>N7*VLOOKUP('Données projet'!$B$9,Paramètres!$A$1:$I$89,3,0)*VLOOKUP('Données projet'!$B$9,Paramètres!$A$1:$I$89,5,0)</f>
        <v>1.8380168785727213</v>
      </c>
      <c r="P7" s="14">
        <f t="shared" si="33"/>
        <v>0.78909861084549604</v>
      </c>
      <c r="Q7" s="22">
        <f t="shared" si="2"/>
        <v>4.5755594774033952</v>
      </c>
      <c r="R7" s="62">
        <f t="shared" si="0"/>
        <v>266.13111503295892</v>
      </c>
      <c r="S7" s="62">
        <f ca="1">AVERAGE(OFFSET($R$3,0,0,'Données projet'!$E$9+1,1))-AVERAGE(OFFSET($H$3,0,0,'Données projet'!$E$9+1,1))</f>
        <v>451.25506262546861</v>
      </c>
      <c r="T7" s="62">
        <f t="shared" si="34"/>
        <v>534.19872447444368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2.6666666666666665</v>
      </c>
      <c r="AI7" s="14">
        <f>IF('Données projet'!$A$62&gt;35,AI6+AH7-AQ6,IF(A7&lt;'Données projet'!$A$62,$AF$205^A7,IF(A7='Données projet'!$A$62,'Données projet'!$B$62,AI6+AH7-AQ6)))</f>
        <v>2.6743361672197152</v>
      </c>
      <c r="AJ7" s="14">
        <f>AI7*VLOOKUP('Données projet'!$B$10,Paramètres!$A$1:$I$89,3,0)*VLOOKUP('Données projet'!$B$10,Paramètres!$A$1:$I$89,5,0)</f>
        <v>2.0859822104313781</v>
      </c>
      <c r="AK7" s="14">
        <f t="shared" si="35"/>
        <v>0.88245976121767966</v>
      </c>
      <c r="AL7" s="22">
        <f t="shared" si="4"/>
        <v>5.1700364339554419</v>
      </c>
      <c r="AM7" s="62">
        <f t="shared" si="5"/>
        <v>266.72559198951097</v>
      </c>
      <c r="AN7" s="62">
        <f ca="1">AVERAGE(OFFSET($AM$3,0,0,'Données projet'!$E$10+1,1))-AVERAGE(OFFSET($H$3,0,0,'Données projet'!$E$10+1,1))</f>
        <v>252.84702735189455</v>
      </c>
      <c r="AO7" s="62">
        <f t="shared" si="36"/>
        <v>283.48738729114024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1.7939447009709848</v>
      </c>
      <c r="BF7" s="14">
        <f t="shared" si="37"/>
        <v>0.77235638804387863</v>
      </c>
      <c r="BG7" s="22">
        <f t="shared" si="7"/>
        <v>4.4696410633675532</v>
      </c>
      <c r="BH7" s="62">
        <f t="shared" si="8"/>
        <v>266.02519661892308</v>
      </c>
      <c r="BI7" s="62">
        <f ca="1">AVERAGE(OFFSET($BH$3,0,0,'Données projet'!$E$11+1,1))-AVERAGE(OFFSET($H$3,0,0,'Données projet'!$E$11+1,1))</f>
        <v>221.98516361836096</v>
      </c>
      <c r="BJ7" s="62">
        <f t="shared" si="38"/>
        <v>249.72262393661117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projet'!$B$12,Paramètres!$A$1:$I$89,3,0)*VLOOKUP('Données projet'!$B$12,Paramètres!$A$1:$I$89,5,0)</f>
        <v>2.1277018546400055</v>
      </c>
      <c r="CA7" s="14">
        <f t="shared" si="39"/>
        <v>0.89803657142712812</v>
      </c>
      <c r="CB7" s="22">
        <f t="shared" si="10"/>
        <v>5.26982775873359</v>
      </c>
      <c r="CC7" s="62">
        <f t="shared" si="11"/>
        <v>266.82538331428913</v>
      </c>
      <c r="CD7" s="62">
        <f ca="1">AVERAGE(OFFSET($CC$3,0,0,'Données projet'!$E$12+1,1))-AVERAGE(OFFSET($H$3,0,0,'Données projet'!$E$12+1,1))</f>
        <v>257.24784840892409</v>
      </c>
      <c r="CE7" s="62">
        <f t="shared" si="40"/>
        <v>288.30197520356643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7.9</v>
      </c>
      <c r="CT7" s="13">
        <f>IF('Données projet'!$A$140&gt;35,CT6+CS7-DB6,IF(A7&lt;'Données projet'!$A$140,$CQ$205^A7,IF(A7='Données projet'!$A$140,'Données projet'!$B$140,CT6+CS7-DB6)))</f>
        <v>2.7525259203889356</v>
      </c>
      <c r="CU7" s="18">
        <f>CT7*VLOOKUP('Données projet'!$B$13,Paramètres!$A$1:$I$89,3,0)*VLOOKUP('Données projet'!$B$13,Paramètres!$A$1:$I$89,5,0)</f>
        <v>1.2881821307420218</v>
      </c>
      <c r="CV7" s="14">
        <f t="shared" si="41"/>
        <v>0.57640532069082717</v>
      </c>
      <c r="CW7" s="22">
        <f t="shared" si="13"/>
        <v>3.2474898112455457</v>
      </c>
      <c r="CX7" s="62">
        <f t="shared" si="14"/>
        <v>264.80304536680109</v>
      </c>
      <c r="CY7" s="62">
        <f ca="1">AVERAGE(OFFSET($CX$3,0,0,'Données projet'!$E$13+1,1))-AVERAGE(OFFSET($H$3,0,0,'Données projet'!$E$13+1,1))</f>
        <v>199.0086462069545</v>
      </c>
      <c r="CZ7" s="62">
        <f t="shared" si="42"/>
        <v>254.08208375594057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12.6</v>
      </c>
      <c r="DO7" s="13">
        <f>IF('Données projet'!$A$166&gt;35,DO6+DN7-DW6,IF(A7&lt;'Données projet'!$A$166,$DL$205^A7,IF(A7='Données projet'!$A$166,'Données projet'!$B$166,DO6+DN7-DW6)))</f>
        <v>4.046285112528988</v>
      </c>
      <c r="DP7" s="18">
        <f>DO7*VLOOKUP('Données projet'!$B$14,Paramètres!$A$1:$I$89,3,0)*VLOOKUP('Données projet'!$B$14,Paramètres!$A$1:$I$89,5,0)</f>
        <v>2.2618733779037044</v>
      </c>
      <c r="DQ7" s="14">
        <f t="shared" si="43"/>
        <v>0.94789502748398335</v>
      </c>
      <c r="DR7" s="22">
        <f t="shared" si="16"/>
        <v>5.5903466393835552</v>
      </c>
      <c r="DS7" s="62">
        <f t="shared" si="17"/>
        <v>267.14590219493908</v>
      </c>
      <c r="DT7" s="62">
        <f ca="1">AVERAGE(OFFSET($DS$3,0,0,'Données projet'!$E$14+1,1))-AVERAGE(OFFSET($H$3,0,0,'Données projet'!$E$14+1,1))</f>
        <v>534.78683721545372</v>
      </c>
      <c r="DU7" s="62">
        <f t="shared" si="44"/>
        <v>710.59298755711075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4.916666666666667</v>
      </c>
      <c r="EJ7" s="13">
        <f>IF('Données projet'!$A$192&gt;35,EJ6+EI7-ER6,IF(A7&lt;'Données projet'!$A$192,$EG$205^A7,IF(A7='Données projet'!$A$192,'Données projet'!$B$192,EJ6+EI7-ER6)))</f>
        <v>3.8929964158732622</v>
      </c>
      <c r="EK7" s="18">
        <f>EJ7*VLOOKUP('Données projet'!$B$15,Paramètres!$A$1:$I$89,3,0)*VLOOKUP('Données projet'!$B$15,Paramètres!$A$1:$I$89,5,0)</f>
        <v>2.328011856692211</v>
      </c>
      <c r="EL7" s="14">
        <f t="shared" si="45"/>
        <v>0.97234453332602078</v>
      </c>
      <c r="EM7" s="22">
        <f t="shared" si="19"/>
        <v>5.7481207126150871</v>
      </c>
      <c r="EN7" s="62">
        <f t="shared" si="20"/>
        <v>267.30367626817065</v>
      </c>
      <c r="EO7" s="62">
        <f ca="1">AVERAGE(OFFSET($EN$3,0,0,'Données projet'!$E$15+1,1))-AVERAGE(OFFSET($H$3,0,0,'Données projet'!$E$15+1,1))</f>
        <v>292.87204407272162</v>
      </c>
      <c r="EP7" s="62">
        <f t="shared" si="46"/>
        <v>326.06531673481805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4.95</v>
      </c>
      <c r="N8" s="14">
        <f>IF('Données projet'!$A$36&gt;35,N7+M8-V7,IF(A8&lt;'Données projet'!$A$36,$K$205^A8,IF(A8='Données projet'!$A$36,'Données projet'!$B$36,N7+M8-V7)))</f>
        <v>3.154342145529903</v>
      </c>
      <c r="O8" s="14">
        <f>N8*VLOOKUP('Données projet'!$B$9,Paramètres!$A$1:$I$89,3,0)*VLOOKUP('Données projet'!$B$9,Paramètres!$A$1:$I$89,5,0)</f>
        <v>2.3127636611025246</v>
      </c>
      <c r="P8" s="14">
        <f t="shared" si="33"/>
        <v>0.96671496521654487</v>
      </c>
      <c r="Q8" s="22">
        <f t="shared" si="2"/>
        <v>5.7117586075057121</v>
      </c>
      <c r="R8" s="62">
        <f t="shared" si="0"/>
        <v>268.48953638528349</v>
      </c>
      <c r="S8" s="62">
        <f ca="1">AVERAGE(OFFSET($R$3,0,0,'Données projet'!$E$9+1,1))-AVERAGE(OFFSET($H$3,0,0,'Données projet'!$E$9+1,1))</f>
        <v>451.25506262546861</v>
      </c>
      <c r="T8" s="62">
        <f t="shared" si="34"/>
        <v>534.19872447444368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2.6666666666666665</v>
      </c>
      <c r="AI8" s="14">
        <f>IF('Données projet'!$A$62&gt;35,AI7+AH8-AQ7,IF(A8&lt;'Données projet'!$A$62,$AF$205^A8,IF(A8='Données projet'!$A$62,'Données projet'!$B$62,AI7+AH8-AQ7)))</f>
        <v>3.4199518933533928</v>
      </c>
      <c r="AJ8" s="14">
        <f>AI8*VLOOKUP('Données projet'!$B$10,Paramètres!$A$1:$I$89,3,0)*VLOOKUP('Données projet'!$B$10,Paramètres!$A$1:$I$89,5,0)</f>
        <v>2.6675624768156463</v>
      </c>
      <c r="AK8" s="14">
        <f t="shared" si="35"/>
        <v>1.0966471776471767</v>
      </c>
      <c r="AL8" s="22">
        <f t="shared" si="4"/>
        <v>6.5559984815227494</v>
      </c>
      <c r="AM8" s="62">
        <f t="shared" si="5"/>
        <v>269.33377625930052</v>
      </c>
      <c r="AN8" s="62">
        <f ca="1">AVERAGE(OFFSET($AM$3,0,0,'Données projet'!$E$10+1,1))-AVERAGE(OFFSET($H$3,0,0,'Données projet'!$E$10+1,1))</f>
        <v>252.84702735189455</v>
      </c>
      <c r="AO8" s="62">
        <f t="shared" si="36"/>
        <v>283.48738729114024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2.294103730061456</v>
      </c>
      <c r="BF8" s="14">
        <f t="shared" si="37"/>
        <v>0.95981991509429754</v>
      </c>
      <c r="BG8" s="22">
        <f t="shared" si="7"/>
        <v>5.6672503486462702</v>
      </c>
      <c r="BH8" s="62">
        <f t="shared" si="8"/>
        <v>268.44502812642406</v>
      </c>
      <c r="BI8" s="62">
        <f ca="1">AVERAGE(OFFSET($BH$3,0,0,'Données projet'!$E$11+1,1))-AVERAGE(OFFSET($H$3,0,0,'Données projet'!$E$11+1,1))</f>
        <v>221.98516361836096</v>
      </c>
      <c r="BJ8" s="62">
        <f t="shared" si="38"/>
        <v>249.72262393661117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projet'!$B$12,Paramètres!$A$1:$I$89,3,0)*VLOOKUP('Données projet'!$B$12,Paramètres!$A$1:$I$89,5,0)</f>
        <v>2.7209137263519594</v>
      </c>
      <c r="CA8" s="14">
        <f t="shared" si="39"/>
        <v>1.116004734448822</v>
      </c>
      <c r="CB8" s="22">
        <f t="shared" si="10"/>
        <v>6.6826329858946929</v>
      </c>
      <c r="CC8" s="62">
        <f t="shared" si="11"/>
        <v>269.46041076367248</v>
      </c>
      <c r="CD8" s="62">
        <f ca="1">AVERAGE(OFFSET($CC$3,0,0,'Données projet'!$E$12+1,1))-AVERAGE(OFFSET($H$3,0,0,'Données projet'!$E$12+1,1))</f>
        <v>257.24784840892409</v>
      </c>
      <c r="CE8" s="62">
        <f t="shared" si="40"/>
        <v>288.30197520356643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7.9</v>
      </c>
      <c r="CT8" s="13">
        <f>IF('Données projet'!$A$140&gt;35,CT7+CS8-DB7,IF(A8&lt;'Données projet'!$A$140,$CQ$205^A8,IF(A8='Données projet'!$A$140,'Données projet'!$B$140,CT7+CS8-DB7)))</f>
        <v>3.5453920925585285</v>
      </c>
      <c r="CU8" s="18">
        <f>CT8*VLOOKUP('Données projet'!$B$13,Paramètres!$A$1:$I$89,3,0)*VLOOKUP('Données projet'!$B$13,Paramètres!$A$1:$I$89,5,0)</f>
        <v>1.6592434993173915</v>
      </c>
      <c r="CV8" s="14">
        <f t="shared" si="41"/>
        <v>0.72088277944126433</v>
      </c>
      <c r="CW8" s="22">
        <f t="shared" si="13"/>
        <v>4.1453866021713255</v>
      </c>
      <c r="CX8" s="62">
        <f t="shared" si="14"/>
        <v>266.92316437994907</v>
      </c>
      <c r="CY8" s="62">
        <f ca="1">AVERAGE(OFFSET($CX$3,0,0,'Données projet'!$E$13+1,1))-AVERAGE(OFFSET($H$3,0,0,'Données projet'!$E$13+1,1))</f>
        <v>199.0086462069545</v>
      </c>
      <c r="CZ8" s="62">
        <f t="shared" si="42"/>
        <v>254.08208375594057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12.6</v>
      </c>
      <c r="DO8" s="13">
        <f>IF('Données projet'!$A$166&gt;35,DO7+DN8-DW7,IF(A8&lt;'Données projet'!$A$166,$DL$205^A8,IF(A8='Données projet'!$A$166,'Données projet'!$B$166,DO7+DN8-DW7)))</f>
        <v>5.7387935483171679</v>
      </c>
      <c r="DP8" s="18">
        <f>DO8*VLOOKUP('Données projet'!$B$14,Paramètres!$A$1:$I$89,3,0)*VLOOKUP('Données projet'!$B$14,Paramètres!$A$1:$I$89,5,0)</f>
        <v>3.2079855935092971</v>
      </c>
      <c r="DQ8" s="14">
        <f t="shared" si="43"/>
        <v>1.2908001931180566</v>
      </c>
      <c r="DR8" s="22">
        <f t="shared" si="16"/>
        <v>7.83538524504264</v>
      </c>
      <c r="DS8" s="62">
        <f t="shared" si="17"/>
        <v>270.6131630228204</v>
      </c>
      <c r="DT8" s="62">
        <f ca="1">AVERAGE(OFFSET($DS$3,0,0,'Données projet'!$E$14+1,1))-AVERAGE(OFFSET($H$3,0,0,'Données projet'!$E$14+1,1))</f>
        <v>534.78683721545372</v>
      </c>
      <c r="DU8" s="62">
        <f t="shared" si="44"/>
        <v>710.59298755711075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4.916666666666667</v>
      </c>
      <c r="EJ8" s="13">
        <f>IF('Données projet'!$A$192&gt;35,EJ7+EI8-ER7,IF(A8&lt;'Données projet'!$A$192,$EG$205^A8,IF(A8='Données projet'!$A$192,'Données projet'!$B$192,EJ7+EI8-ER7)))</f>
        <v>5.4683336462081993</v>
      </c>
      <c r="EK8" s="18">
        <f>EJ8*VLOOKUP('Données projet'!$B$15,Paramètres!$A$1:$I$89,3,0)*VLOOKUP('Données projet'!$B$15,Paramètres!$A$1:$I$89,5,0)</f>
        <v>3.2700635204325033</v>
      </c>
      <c r="EL8" s="14">
        <f t="shared" si="45"/>
        <v>1.3128463870580231</v>
      </c>
      <c r="EM8" s="22">
        <f t="shared" si="19"/>
        <v>7.9819014222126663</v>
      </c>
      <c r="EN8" s="62">
        <f t="shared" si="20"/>
        <v>270.75967919999044</v>
      </c>
      <c r="EO8" s="62">
        <f ca="1">AVERAGE(OFFSET($EN$3,0,0,'Données projet'!$E$15+1,1))-AVERAGE(OFFSET($H$3,0,0,'Données projet'!$E$15+1,1))</f>
        <v>292.87204407272162</v>
      </c>
      <c r="EP8" s="62">
        <f t="shared" si="46"/>
        <v>326.06531673481805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4.95</v>
      </c>
      <c r="N9" s="14">
        <f>IF('Données projet'!$A$36&gt;35,N8+M9-V8,IF(A9&lt;'Données projet'!$A$36,$K$205^A9,IF(A9='Données projet'!$A$36,'Données projet'!$B$36,N8+M9-V8)))</f>
        <v>3.9690864506808676</v>
      </c>
      <c r="O9" s="14">
        <f>N9*VLOOKUP('Données projet'!$B$9,Paramètres!$A$1:$I$89,3,0)*VLOOKUP('Données projet'!$B$9,Paramètres!$A$1:$I$89,5,0)</f>
        <v>2.9101341856392118</v>
      </c>
      <c r="P9" s="14">
        <f t="shared" si="33"/>
        <v>1.1843105679432075</v>
      </c>
      <c r="Q9" s="22">
        <f t="shared" si="2"/>
        <v>7.1311579458227117</v>
      </c>
      <c r="R9" s="62">
        <f t="shared" si="0"/>
        <v>271.13115794582274</v>
      </c>
      <c r="S9" s="62">
        <f ca="1">AVERAGE(OFFSET($R$3,0,0,'Données projet'!$E$9+1,1))-AVERAGE(OFFSET($H$3,0,0,'Données projet'!$E$9+1,1))</f>
        <v>451.25506262546861</v>
      </c>
      <c r="T9" s="62">
        <f t="shared" si="34"/>
        <v>534.19872447444368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2.6666666666666665</v>
      </c>
      <c r="AI9" s="14">
        <f>IF('Données projet'!$A$62&gt;35,AI8+AH9-AQ8,IF(A9&lt;'Données projet'!$A$62,$AF$205^A9,IF(A9='Données projet'!$A$62,'Données projet'!$B$62,AI8+AH9-AQ8)))</f>
        <v>4.3734482957731098</v>
      </c>
      <c r="AJ9" s="14">
        <f>AI9*VLOOKUP('Données projet'!$B$10,Paramètres!$A$1:$I$89,3,0)*VLOOKUP('Données projet'!$B$10,Paramètres!$A$1:$I$89,5,0)</f>
        <v>3.4112896707030256</v>
      </c>
      <c r="AK9" s="14">
        <f t="shared" si="35"/>
        <v>1.3628213830192535</v>
      </c>
      <c r="AL9" s="22">
        <f t="shared" si="4"/>
        <v>8.3149100852329703</v>
      </c>
      <c r="AM9" s="62">
        <f t="shared" si="5"/>
        <v>272.31491008523295</v>
      </c>
      <c r="AN9" s="62">
        <f ca="1">AVERAGE(OFFSET($AM$3,0,0,'Données projet'!$E$10+1,1))-AVERAGE(OFFSET($H$3,0,0,'Données projet'!$E$10+1,1))</f>
        <v>252.84702735189455</v>
      </c>
      <c r="AO9" s="62">
        <f t="shared" si="36"/>
        <v>283.48738729114024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2.9337091168046019</v>
      </c>
      <c r="BF9" s="14">
        <f t="shared" si="37"/>
        <v>1.1927839060732757</v>
      </c>
      <c r="BG9" s="22">
        <f t="shared" si="7"/>
        <v>7.1869753481789695</v>
      </c>
      <c r="BH9" s="62">
        <f t="shared" si="8"/>
        <v>271.18697534817898</v>
      </c>
      <c r="BI9" s="62">
        <f ca="1">AVERAGE(OFFSET($BH$3,0,0,'Données projet'!$E$11+1,1))-AVERAGE(OFFSET($H$3,0,0,'Données projet'!$E$11+1,1))</f>
        <v>221.98516361836096</v>
      </c>
      <c r="BJ9" s="62">
        <f t="shared" si="38"/>
        <v>249.72262393661117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projet'!$B$12,Paramètres!$A$1:$I$89,3,0)*VLOOKUP('Données projet'!$B$12,Paramètres!$A$1:$I$89,5,0)</f>
        <v>3.4795154641170867</v>
      </c>
      <c r="CA9" s="14">
        <f t="shared" si="39"/>
        <v>1.386877335444072</v>
      </c>
      <c r="CB9" s="22">
        <f t="shared" si="10"/>
        <v>8.4756341259023511</v>
      </c>
      <c r="CC9" s="62">
        <f t="shared" si="11"/>
        <v>272.47563412590233</v>
      </c>
      <c r="CD9" s="62">
        <f ca="1">AVERAGE(OFFSET($CC$3,0,0,'Données projet'!$E$12+1,1))-AVERAGE(OFFSET($H$3,0,0,'Données projet'!$E$12+1,1))</f>
        <v>257.24784840892409</v>
      </c>
      <c r="CE9" s="62">
        <f t="shared" si="40"/>
        <v>288.30197520356643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7.9</v>
      </c>
      <c r="CT9" s="13">
        <f>IF('Données projet'!$A$140&gt;35,CT8+CS9-DB8,IF(A9&lt;'Données projet'!$A$140,$CQ$205^A9,IF(A9='Données projet'!$A$140,'Données projet'!$B$140,CT8+CS9-DB8)))</f>
        <v>4.566643676946887</v>
      </c>
      <c r="CU9" s="18">
        <f>CT9*VLOOKUP('Données projet'!$B$13,Paramètres!$A$1:$I$89,3,0)*VLOOKUP('Données projet'!$B$13,Paramètres!$A$1:$I$89,5,0)</f>
        <v>2.1371892408111433</v>
      </c>
      <c r="CV9" s="14">
        <f t="shared" si="41"/>
        <v>0.9015738804633705</v>
      </c>
      <c r="CW9" s="22">
        <f t="shared" si="13"/>
        <v>5.292512436219778</v>
      </c>
      <c r="CX9" s="62">
        <f t="shared" si="14"/>
        <v>269.29251243621979</v>
      </c>
      <c r="CY9" s="62">
        <f ca="1">AVERAGE(OFFSET($CX$3,0,0,'Données projet'!$E$13+1,1))-AVERAGE(OFFSET($H$3,0,0,'Données projet'!$E$13+1,1))</f>
        <v>199.0086462069545</v>
      </c>
      <c r="CZ9" s="62">
        <f t="shared" si="42"/>
        <v>254.08208375594057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12.6</v>
      </c>
      <c r="DO9" s="13">
        <f>IF('Données projet'!$A$166&gt;35,DO8+DN9-DW8,IF(A9&lt;'Données projet'!$A$166,$DL$205^A9,IF(A9='Données projet'!$A$166,'Données projet'!$B$166,DO8+DN9-DW8)))</f>
        <v>8.1392562496968175</v>
      </c>
      <c r="DP9" s="18">
        <f>DO9*VLOOKUP('Données projet'!$B$14,Paramètres!$A$1:$I$89,3,0)*VLOOKUP('Données projet'!$B$14,Paramètres!$A$1:$I$89,5,0)</f>
        <v>4.5498442435805213</v>
      </c>
      <c r="DQ9" s="14">
        <f t="shared" si="43"/>
        <v>1.7577527998813831</v>
      </c>
      <c r="DR9" s="22">
        <f t="shared" si="16"/>
        <v>10.985731517362817</v>
      </c>
      <c r="DS9" s="62">
        <f t="shared" si="17"/>
        <v>274.98573151736281</v>
      </c>
      <c r="DT9" s="62">
        <f ca="1">AVERAGE(OFFSET($DS$3,0,0,'Données projet'!$E$14+1,1))-AVERAGE(OFFSET($H$3,0,0,'Données projet'!$E$14+1,1))</f>
        <v>534.78683721545372</v>
      </c>
      <c r="DU9" s="62">
        <f t="shared" si="44"/>
        <v>710.59298755711075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4.916666666666667</v>
      </c>
      <c r="EJ9" s="13">
        <f>IF('Données projet'!$A$192&gt;35,EJ8+EI9-ER8,IF(A9&lt;'Données projet'!$A$192,$EG$205^A9,IF(A9='Données projet'!$A$192,'Données projet'!$B$192,EJ8+EI9-ER8)))</f>
        <v>7.6811457478686131</v>
      </c>
      <c r="EK9" s="18">
        <f>EJ9*VLOOKUP('Données projet'!$B$15,Paramètres!$A$1:$I$89,3,0)*VLOOKUP('Données projet'!$B$15,Paramètres!$A$1:$I$89,5,0)</f>
        <v>4.593325157225431</v>
      </c>
      <c r="EL9" s="14">
        <f t="shared" si="45"/>
        <v>1.7725873668622809</v>
      </c>
      <c r="EM9" s="22">
        <f t="shared" si="19"/>
        <v>11.087297646119431</v>
      </c>
      <c r="EN9" s="62">
        <f t="shared" si="20"/>
        <v>275.08729764611945</v>
      </c>
      <c r="EO9" s="62">
        <f ca="1">AVERAGE(OFFSET($EN$3,0,0,'Données projet'!$E$15+1,1))-AVERAGE(OFFSET($H$3,0,0,'Données projet'!$E$15+1,1))</f>
        <v>292.87204407272162</v>
      </c>
      <c r="EP9" s="62">
        <f t="shared" si="46"/>
        <v>326.06531673481805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4.95</v>
      </c>
      <c r="N10" s="14">
        <f>IF('Données projet'!$A$36&gt;35,N9+M10-V9,IF(A10&lt;'Données projet'!$A$36,$K$205^A10,IF(A10='Données projet'!$A$36,'Données projet'!$B$36,N9+M10-V9)))</f>
        <v>4.9942734574000909</v>
      </c>
      <c r="O10" s="14">
        <f>N10*VLOOKUP('Données projet'!$B$9,Paramètres!$A$1:$I$89,3,0)*VLOOKUP('Données projet'!$B$9,Paramètres!$A$1:$I$89,5,0)</f>
        <v>3.6618012989657469</v>
      </c>
      <c r="P10" s="14">
        <f t="shared" si="33"/>
        <v>1.4508842542101139</v>
      </c>
      <c r="Q10" s="22">
        <f t="shared" si="2"/>
        <v>8.9045940051146228</v>
      </c>
      <c r="R10" s="62">
        <f t="shared" si="0"/>
        <v>274.12681622733686</v>
      </c>
      <c r="S10" s="62">
        <f ca="1">AVERAGE(OFFSET($R$3,0,0,'Données projet'!$E$9+1,1))-AVERAGE(OFFSET($H$3,0,0,'Données projet'!$E$9+1,1))</f>
        <v>451.25506262546861</v>
      </c>
      <c r="T10" s="62">
        <f t="shared" si="34"/>
        <v>534.19872447444368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2.6666666666666665</v>
      </c>
      <c r="AI10" s="14">
        <f>IF('Données projet'!$A$62&gt;35,AI9+AH10-AQ9,IF(A10&lt;'Données projet'!$A$62,$AF$205^A10,IF(A10='Données projet'!$A$62,'Données projet'!$B$62,AI9+AH10-AQ9)))</f>
        <v>5.5927833467405659</v>
      </c>
      <c r="AJ10" s="14">
        <f>AI10*VLOOKUP('Données projet'!$B$10,Paramètres!$A$1:$I$89,3,0)*VLOOKUP('Données projet'!$B$10,Paramètres!$A$1:$I$89,5,0)</f>
        <v>4.3623710104576414</v>
      </c>
      <c r="AK10" s="14">
        <f t="shared" si="35"/>
        <v>1.6936004212396314</v>
      </c>
      <c r="AL10" s="22">
        <f t="shared" si="4"/>
        <v>10.54748357687275</v>
      </c>
      <c r="AM10" s="62">
        <f t="shared" si="5"/>
        <v>275.76970579909499</v>
      </c>
      <c r="AN10" s="62">
        <f ca="1">AVERAGE(OFFSET($AM$3,0,0,'Données projet'!$E$10+1,1))-AVERAGE(OFFSET($H$3,0,0,'Données projet'!$E$10+1,1))</f>
        <v>252.84702735189455</v>
      </c>
      <c r="AO10" s="62">
        <f t="shared" si="36"/>
        <v>283.48738729114024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3.7516390689935712</v>
      </c>
      <c r="BF10" s="14">
        <f t="shared" si="37"/>
        <v>1.4822920677236051</v>
      </c>
      <c r="BG10" s="22">
        <f t="shared" si="7"/>
        <v>9.115763396449081</v>
      </c>
      <c r="BH10" s="62">
        <f t="shared" si="8"/>
        <v>274.33798561867133</v>
      </c>
      <c r="BI10" s="62">
        <f ca="1">AVERAGE(OFFSET($BH$3,0,0,'Données projet'!$E$11+1,1))-AVERAGE(OFFSET($H$3,0,0,'Données projet'!$E$11+1,1))</f>
        <v>221.98516361836096</v>
      </c>
      <c r="BJ10" s="62">
        <f t="shared" si="38"/>
        <v>249.72262393661117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projet'!$B$12,Paramètres!$A$1:$I$89,3,0)*VLOOKUP('Données projet'!$B$12,Paramètres!$A$1:$I$89,5,0)</f>
        <v>4.4496184306667947</v>
      </c>
      <c r="CA10" s="14">
        <f t="shared" si="39"/>
        <v>1.7234951467463102</v>
      </c>
      <c r="CB10" s="22">
        <f t="shared" si="10"/>
        <v>10.751506147327824</v>
      </c>
      <c r="CC10" s="62">
        <f t="shared" si="11"/>
        <v>275.97372836955003</v>
      </c>
      <c r="CD10" s="62">
        <f ca="1">AVERAGE(OFFSET($CC$3,0,0,'Données projet'!$E$12+1,1))-AVERAGE(OFFSET($H$3,0,0,'Données projet'!$E$12+1,1))</f>
        <v>257.24784840892409</v>
      </c>
      <c r="CE10" s="62">
        <f t="shared" si="40"/>
        <v>288.30197520356643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7.9</v>
      </c>
      <c r="CT10" s="13">
        <f>IF('Données projet'!$A$140&gt;35,CT9+CS10-DB9,IF(A10&lt;'Données projet'!$A$140,$CQ$205^A10,IF(A10='Données projet'!$A$140,'Données projet'!$B$140,CT9+CS10-DB9)))</f>
        <v>5.8820671812210037</v>
      </c>
      <c r="CU10" s="18">
        <f>CT10*VLOOKUP('Données projet'!$B$13,Paramètres!$A$1:$I$89,3,0)*VLOOKUP('Données projet'!$B$13,Paramètres!$A$1:$I$89,5,0)</f>
        <v>2.7528074408114294</v>
      </c>
      <c r="CV10" s="14">
        <f t="shared" si="41"/>
        <v>1.1275556652411438</v>
      </c>
      <c r="CW10" s="22">
        <f t="shared" si="13"/>
        <v>6.7582990763748976</v>
      </c>
      <c r="CX10" s="62">
        <f t="shared" si="14"/>
        <v>271.98052129859713</v>
      </c>
      <c r="CY10" s="62">
        <f ca="1">AVERAGE(OFFSET($CX$3,0,0,'Données projet'!$E$13+1,1))-AVERAGE(OFFSET($H$3,0,0,'Données projet'!$E$13+1,1))</f>
        <v>199.0086462069545</v>
      </c>
      <c r="CZ10" s="62">
        <f t="shared" si="42"/>
        <v>254.08208375594057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12.6</v>
      </c>
      <c r="DO10" s="13">
        <f>IF('Données projet'!$A$166&gt;35,DO9+DN10-DW9,IF(A10&lt;'Données projet'!$A$166,$DL$205^A10,IF(A10='Données projet'!$A$166,'Données projet'!$B$166,DO9+DN10-DW9)))</f>
        <v>11.543801278171953</v>
      </c>
      <c r="DP10" s="18">
        <f>DO10*VLOOKUP('Données projet'!$B$14,Paramètres!$A$1:$I$89,3,0)*VLOOKUP('Données projet'!$B$14,Paramètres!$A$1:$I$89,5,0)</f>
        <v>6.4529849144981215</v>
      </c>
      <c r="DQ10" s="14">
        <f t="shared" si="43"/>
        <v>2.3936275513155714</v>
      </c>
      <c r="DR10" s="22">
        <f t="shared" si="16"/>
        <v>15.407850044625512</v>
      </c>
      <c r="DS10" s="62">
        <f t="shared" si="17"/>
        <v>280.63007226684772</v>
      </c>
      <c r="DT10" s="62">
        <f ca="1">AVERAGE(OFFSET($DS$3,0,0,'Données projet'!$E$14+1,1))-AVERAGE(OFFSET($H$3,0,0,'Données projet'!$E$14+1,1))</f>
        <v>534.78683721545372</v>
      </c>
      <c r="DU10" s="62">
        <f t="shared" si="44"/>
        <v>710.59298755711075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4.916666666666667</v>
      </c>
      <c r="EJ10" s="13">
        <f>IF('Données projet'!$A$192&gt;35,EJ9+EI10-ER9,IF(A10&lt;'Données projet'!$A$192,$EG$205^A10,IF(A10='Données projet'!$A$192,'Données projet'!$B$192,EJ9+EI10-ER9)))</f>
        <v>10.789392860274958</v>
      </c>
      <c r="EK10" s="18">
        <f>EJ10*VLOOKUP('Données projet'!$B$15,Paramètres!$A$1:$I$89,3,0)*VLOOKUP('Données projet'!$B$15,Paramètres!$A$1:$I$89,5,0)</f>
        <v>6.4520569304444253</v>
      </c>
      <c r="EL10" s="14">
        <f t="shared" si="45"/>
        <v>2.3933233957408047</v>
      </c>
      <c r="EM10" s="22">
        <f t="shared" si="19"/>
        <v>15.405704068105942</v>
      </c>
      <c r="EN10" s="62">
        <f t="shared" si="20"/>
        <v>280.62792629032816</v>
      </c>
      <c r="EO10" s="62">
        <f ca="1">AVERAGE(OFFSET($EN$3,0,0,'Données projet'!$E$15+1,1))-AVERAGE(OFFSET($H$3,0,0,'Données projet'!$E$15+1,1))</f>
        <v>292.87204407272162</v>
      </c>
      <c r="EP10" s="62">
        <f t="shared" si="46"/>
        <v>326.06531673481805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4.95</v>
      </c>
      <c r="N11" s="14">
        <f>IF('Données projet'!$A$36&gt;35,N10+M11-V10,IF(A11&lt;'Données projet'!$A$36,$K$205^A11,IF(A11='Données projet'!$A$36,'Données projet'!$B$36,N10+M11-V10)))</f>
        <v>6.2842590296848551</v>
      </c>
      <c r="O11" s="14">
        <f>N11*VLOOKUP('Données projet'!$B$9,Paramètres!$A$1:$I$89,3,0)*VLOOKUP('Données projet'!$B$9,Paramètres!$A$1:$I$89,5,0)</f>
        <v>4.6076187205649362</v>
      </c>
      <c r="P11" s="14">
        <f t="shared" si="33"/>
        <v>1.7774603858941374</v>
      </c>
      <c r="Q11" s="22">
        <f t="shared" si="2"/>
        <v>11.120679443749554</v>
      </c>
      <c r="R11" s="62">
        <f t="shared" si="0"/>
        <v>277.56512388819402</v>
      </c>
      <c r="S11" s="62">
        <f ca="1">AVERAGE(OFFSET($R$3,0,0,'Données projet'!$E$9+1,1))-AVERAGE(OFFSET($H$3,0,0,'Données projet'!$E$9+1,1))</f>
        <v>451.25506262546861</v>
      </c>
      <c r="T11" s="62">
        <f t="shared" si="34"/>
        <v>534.19872447444368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2.6666666666666665</v>
      </c>
      <c r="AI11" s="14">
        <f>IF('Données projet'!$A$62&gt;35,AI10+AH11-AQ10,IF(A11&lt;'Données projet'!$A$62,$AF$205^A11,IF(A11='Données projet'!$A$62,'Données projet'!$B$62,AI10+AH11-AQ10)))</f>
        <v>7.1520739352994367</v>
      </c>
      <c r="AJ11" s="14">
        <f>AI11*VLOOKUP('Données projet'!$B$10,Paramètres!$A$1:$I$89,3,0)*VLOOKUP('Données projet'!$B$10,Paramètres!$A$1:$I$89,5,0)</f>
        <v>5.5786176695335605</v>
      </c>
      <c r="AK11" s="14">
        <f t="shared" si="35"/>
        <v>2.1046649418345189</v>
      </c>
      <c r="AL11" s="22">
        <f t="shared" si="4"/>
        <v>13.381717214799407</v>
      </c>
      <c r="AM11" s="62">
        <f t="shared" si="5"/>
        <v>279.82616165924384</v>
      </c>
      <c r="AN11" s="62">
        <f ca="1">AVERAGE(OFFSET($AM$3,0,0,'Données projet'!$E$10+1,1))-AVERAGE(OFFSET($H$3,0,0,'Données projet'!$E$10+1,1))</f>
        <v>252.84702735189455</v>
      </c>
      <c r="AO11" s="62">
        <f t="shared" si="36"/>
        <v>283.48738729114024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4.7976111957988623</v>
      </c>
      <c r="BF11" s="14">
        <f t="shared" si="37"/>
        <v>1.8420685950312794</v>
      </c>
      <c r="BG11" s="22">
        <f t="shared" si="7"/>
        <v>11.564108969029164</v>
      </c>
      <c r="BH11" s="62">
        <f t="shared" si="8"/>
        <v>278.00855341347363</v>
      </c>
      <c r="BI11" s="62">
        <f ca="1">AVERAGE(OFFSET($BH$3,0,0,'Données projet'!$E$11+1,1))-AVERAGE(OFFSET($H$3,0,0,'Données projet'!$E$11+1,1))</f>
        <v>221.98516361836096</v>
      </c>
      <c r="BJ11" s="62">
        <f t="shared" si="38"/>
        <v>249.72262393661117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projet'!$B$12,Paramètres!$A$1:$I$89,3,0)*VLOOKUP('Données projet'!$B$12,Paramètres!$A$1:$I$89,5,0)</f>
        <v>5.6901900229242317</v>
      </c>
      <c r="CA11" s="14">
        <f t="shared" si="39"/>
        <v>2.1418156061415221</v>
      </c>
      <c r="CB11" s="22">
        <f t="shared" si="10"/>
        <v>13.640743137289521</v>
      </c>
      <c r="CC11" s="62">
        <f t="shared" si="11"/>
        <v>280.08518758173398</v>
      </c>
      <c r="CD11" s="62">
        <f ca="1">AVERAGE(OFFSET($CC$3,0,0,'Données projet'!$E$12+1,1))-AVERAGE(OFFSET($H$3,0,0,'Données projet'!$E$12+1,1))</f>
        <v>257.24784840892409</v>
      </c>
      <c r="CE11" s="62">
        <f t="shared" si="40"/>
        <v>288.30197520356643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7.9</v>
      </c>
      <c r="CT11" s="13">
        <f>IF('Données projet'!$A$140&gt;35,CT10+CS11-DB10,IF(A11&lt;'Données projet'!$A$140,$CQ$205^A11,IF(A11='Données projet'!$A$140,'Données projet'!$B$140,CT10+CS11-DB10)))</f>
        <v>7.5763989424129567</v>
      </c>
      <c r="CU11" s="18">
        <f>CT11*VLOOKUP('Données projet'!$B$13,Paramètres!$A$1:$I$89,3,0)*VLOOKUP('Données projet'!$B$13,Paramètres!$A$1:$I$89,5,0)</f>
        <v>3.5457547050492639</v>
      </c>
      <c r="CV11" s="14">
        <f t="shared" si="41"/>
        <v>1.4101803587787649</v>
      </c>
      <c r="CW11" s="22">
        <f t="shared" si="13"/>
        <v>8.631586902833817</v>
      </c>
      <c r="CX11" s="62">
        <f t="shared" si="14"/>
        <v>275.07603134727827</v>
      </c>
      <c r="CY11" s="62">
        <f ca="1">AVERAGE(OFFSET($CX$3,0,0,'Données projet'!$E$13+1,1))-AVERAGE(OFFSET($H$3,0,0,'Données projet'!$E$13+1,1))</f>
        <v>199.0086462069545</v>
      </c>
      <c r="CZ11" s="62">
        <f t="shared" si="42"/>
        <v>254.08208375594057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12.6</v>
      </c>
      <c r="DO11" s="13">
        <f>IF('Données projet'!$A$166&gt;35,DO10+DN11-DW10,IF(A11&lt;'Données projet'!$A$166,$DL$205^A11,IF(A11='Données projet'!$A$166,'Données projet'!$B$166,DO10+DN11-DW10)))</f>
        <v>16.372423211873727</v>
      </c>
      <c r="DP11" s="18">
        <f>DO11*VLOOKUP('Données projet'!$B$14,Paramètres!$A$1:$I$89,3,0)*VLOOKUP('Données projet'!$B$14,Paramètres!$A$1:$I$89,5,0)</f>
        <v>9.1521845754374134</v>
      </c>
      <c r="DQ11" s="14">
        <f t="shared" si="43"/>
        <v>3.2595327709354898</v>
      </c>
      <c r="DR11" s="22">
        <f t="shared" si="16"/>
        <v>21.617074378266139</v>
      </c>
      <c r="DS11" s="62">
        <f t="shared" si="17"/>
        <v>288.06151882271058</v>
      </c>
      <c r="DT11" s="62">
        <f ca="1">AVERAGE(OFFSET($DS$3,0,0,'Données projet'!$E$14+1,1))-AVERAGE(OFFSET($H$3,0,0,'Données projet'!$E$14+1,1))</f>
        <v>534.78683721545372</v>
      </c>
      <c r="DU11" s="62">
        <f t="shared" si="44"/>
        <v>710.59298755711075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4.916666666666667</v>
      </c>
      <c r="EJ11" s="13">
        <f>IF('Données projet'!$A$192&gt;35,EJ10+EI11-ER10,IF(A11&lt;'Données projet'!$A$192,$EG$205^A11,IF(A11='Données projet'!$A$192,'Données projet'!$B$192,EJ10+EI11-ER10)))</f>
        <v>15.155421094002065</v>
      </c>
      <c r="EK11" s="18">
        <f>EJ11*VLOOKUP('Données projet'!$B$15,Paramètres!$A$1:$I$89,3,0)*VLOOKUP('Données projet'!$B$15,Paramètres!$A$1:$I$89,5,0)</f>
        <v>9.0629418142132359</v>
      </c>
      <c r="EL11" s="14">
        <f t="shared" si="45"/>
        <v>3.2314327539971277</v>
      </c>
      <c r="EM11" s="22">
        <f t="shared" si="19"/>
        <v>21.412702372966379</v>
      </c>
      <c r="EN11" s="62">
        <f t="shared" si="20"/>
        <v>287.85714681741081</v>
      </c>
      <c r="EO11" s="62">
        <f ca="1">AVERAGE(OFFSET($EN$3,0,0,'Données projet'!$E$15+1,1))-AVERAGE(OFFSET($H$3,0,0,'Données projet'!$E$15+1,1))</f>
        <v>292.87204407272162</v>
      </c>
      <c r="EP11" s="62">
        <f t="shared" si="46"/>
        <v>326.06531673481805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4.95</v>
      </c>
      <c r="N12" s="14">
        <f>IF('Données projet'!$A$36&gt;35,N11+M12-V11,IF(A12&lt;'Données projet'!$A$36,$K$205^A12,IF(A12='Données projet'!$A$36,'Données projet'!$B$36,N11+M12-V11)))</f>
        <v>7.9074387674266964</v>
      </c>
      <c r="O12" s="14">
        <f>N12*VLOOKUP('Données projet'!$B$9,Paramètres!$A$1:$I$89,3,0)*VLOOKUP('Données projet'!$B$9,Paramètres!$A$1:$I$89,5,0)</f>
        <v>5.7977341042772537</v>
      </c>
      <c r="P12" s="14">
        <f t="shared" si="33"/>
        <v>2.1775447726138206</v>
      </c>
      <c r="Q12" s="22">
        <f t="shared" si="2"/>
        <v>13.890277377251955</v>
      </c>
      <c r="R12" s="62">
        <f t="shared" si="0"/>
        <v>281.55694404391863</v>
      </c>
      <c r="S12" s="62">
        <f ca="1">AVERAGE(OFFSET($R$3,0,0,'Données projet'!$E$9+1,1))-AVERAGE(OFFSET($H$3,0,0,'Données projet'!$E$9+1,1))</f>
        <v>451.25506262546861</v>
      </c>
      <c r="T12" s="62">
        <f t="shared" si="34"/>
        <v>534.19872447444368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2.6666666666666665</v>
      </c>
      <c r="AI12" s="14">
        <f>IF('Données projet'!$A$62&gt;35,AI11+AH12-AQ11,IF(A12&lt;'Données projet'!$A$62,$AF$205^A12,IF(A12='Données projet'!$A$62,'Données projet'!$B$62,AI11+AH12-AQ11)))</f>
        <v>9.1461010385465205</v>
      </c>
      <c r="AJ12" s="14">
        <f>AI12*VLOOKUP('Données projet'!$B$10,Paramètres!$A$1:$I$89,3,0)*VLOOKUP('Données projet'!$B$10,Paramètres!$A$1:$I$89,5,0)</f>
        <v>7.1339588100662858</v>
      </c>
      <c r="AK12" s="14">
        <f t="shared" si="35"/>
        <v>2.6155015444227643</v>
      </c>
      <c r="AL12" s="22">
        <f t="shared" si="4"/>
        <v>16.980310117401761</v>
      </c>
      <c r="AM12" s="62">
        <f t="shared" si="5"/>
        <v>284.64697678406844</v>
      </c>
      <c r="AN12" s="62">
        <f ca="1">AVERAGE(OFFSET($AM$3,0,0,'Données projet'!$E$10+1,1))-AVERAGE(OFFSET($H$3,0,0,'Données projet'!$E$10+1,1))</f>
        <v>252.84702735189455</v>
      </c>
      <c r="AO12" s="62">
        <f t="shared" si="36"/>
        <v>283.48738729114024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6.1352045766570056</v>
      </c>
      <c r="BF12" s="14">
        <f t="shared" si="37"/>
        <v>2.2891687695607548</v>
      </c>
      <c r="BG12" s="22">
        <f t="shared" si="7"/>
        <v>14.672450244662597</v>
      </c>
      <c r="BH12" s="62">
        <f t="shared" si="8"/>
        <v>282.33911691132926</v>
      </c>
      <c r="BI12" s="62">
        <f ca="1">AVERAGE(OFFSET($BH$3,0,0,'Données projet'!$E$11+1,1))-AVERAGE(OFFSET($H$3,0,0,'Données projet'!$E$11+1,1))</f>
        <v>221.98516361836096</v>
      </c>
      <c r="BJ12" s="62">
        <f t="shared" si="38"/>
        <v>249.72262393661117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projet'!$B$12,Paramètres!$A$1:$I$89,3,0)*VLOOKUP('Données projet'!$B$12,Paramètres!$A$1:$I$89,5,0)</f>
        <v>7.2766379862676125</v>
      </c>
      <c r="CA12" s="14">
        <f t="shared" si="39"/>
        <v>2.6616692825457759</v>
      </c>
      <c r="CB12" s="22">
        <f t="shared" si="10"/>
        <v>17.30921849318332</v>
      </c>
      <c r="CC12" s="62">
        <f t="shared" si="11"/>
        <v>284.97588515985001</v>
      </c>
      <c r="CD12" s="62">
        <f ca="1">AVERAGE(OFFSET($CC$3,0,0,'Données projet'!$E$12+1,1))-AVERAGE(OFFSET($H$3,0,0,'Données projet'!$E$12+1,1))</f>
        <v>257.24784840892409</v>
      </c>
      <c r="CE12" s="62">
        <f t="shared" si="40"/>
        <v>288.30197520356643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7.9</v>
      </c>
      <c r="CT12" s="13">
        <f>IF('Données projet'!$A$140&gt;35,CT11+CS12-DB11,IF(A12&lt;'Données projet'!$A$140,$CQ$205^A12,IF(A12='Données projet'!$A$140,'Données projet'!$B$140,CT11+CS12-DB11)))</f>
        <v>9.7587836327093171</v>
      </c>
      <c r="CU12" s="18">
        <f>CT12*VLOOKUP('Données projet'!$B$13,Paramètres!$A$1:$I$89,3,0)*VLOOKUP('Données projet'!$B$13,Paramètres!$A$1:$I$89,5,0)</f>
        <v>4.5671107401079603</v>
      </c>
      <c r="CV12" s="14">
        <f t="shared" si="41"/>
        <v>1.763645650133036</v>
      </c>
      <c r="CW12" s="22">
        <f t="shared" si="13"/>
        <v>11.026067379669733</v>
      </c>
      <c r="CX12" s="62">
        <f t="shared" si="14"/>
        <v>278.6927340463364</v>
      </c>
      <c r="CY12" s="62">
        <f ca="1">AVERAGE(OFFSET($CX$3,0,0,'Données projet'!$E$13+1,1))-AVERAGE(OFFSET($H$3,0,0,'Données projet'!$E$13+1,1))</f>
        <v>199.0086462069545</v>
      </c>
      <c r="CZ12" s="62">
        <f t="shared" si="42"/>
        <v>254.08208375594057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12.6</v>
      </c>
      <c r="DO12" s="13">
        <f>IF('Données projet'!$A$166&gt;35,DO11+DN12-DW11,IF(A12&lt;'Données projet'!$A$166,$DL$205^A12,IF(A12='Données projet'!$A$166,'Données projet'!$B$166,DO11+DN12-DW11)))</f>
        <v>23.220794898433166</v>
      </c>
      <c r="DP12" s="18">
        <f>DO12*VLOOKUP('Données projet'!$B$14,Paramètres!$A$1:$I$89,3,0)*VLOOKUP('Données projet'!$B$14,Paramètres!$A$1:$I$89,5,0)</f>
        <v>12.98042434822414</v>
      </c>
      <c r="DQ12" s="14">
        <f t="shared" si="43"/>
        <v>4.4386829851465368</v>
      </c>
      <c r="DR12" s="22">
        <f t="shared" si="16"/>
        <v>30.338278605620587</v>
      </c>
      <c r="DS12" s="62">
        <f t="shared" si="17"/>
        <v>298.00494527228727</v>
      </c>
      <c r="DT12" s="62">
        <f ca="1">AVERAGE(OFFSET($DS$3,0,0,'Données projet'!$E$14+1,1))-AVERAGE(OFFSET($H$3,0,0,'Données projet'!$E$14+1,1))</f>
        <v>534.78683721545372</v>
      </c>
      <c r="DU12" s="62">
        <f t="shared" si="44"/>
        <v>710.59298755711075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4.916666666666667</v>
      </c>
      <c r="EJ12" s="13">
        <f>IF('Données projet'!$A$192&gt;35,EJ11+EI12-ER11,IF(A12&lt;'Données projet'!$A$192,$EG$205^A12,IF(A12='Données projet'!$A$192,'Données projet'!$B$192,EJ11+EI12-ER11)))</f>
        <v>21.288203285487686</v>
      </c>
      <c r="EK12" s="18">
        <f>EJ12*VLOOKUP('Données projet'!$B$15,Paramètres!$A$1:$I$89,3,0)*VLOOKUP('Données projet'!$B$15,Paramètres!$A$1:$I$89,5,0)</f>
        <v>12.730345564721638</v>
      </c>
      <c r="EL12" s="14">
        <f t="shared" si="45"/>
        <v>4.363036630230785</v>
      </c>
      <c r="EM12" s="22">
        <f t="shared" si="19"/>
        <v>29.770973989542131</v>
      </c>
      <c r="EN12" s="62">
        <f t="shared" si="20"/>
        <v>297.43764065620883</v>
      </c>
      <c r="EO12" s="62">
        <f ca="1">AVERAGE(OFFSET($EN$3,0,0,'Données projet'!$E$15+1,1))-AVERAGE(OFFSET($H$3,0,0,'Données projet'!$E$15+1,1))</f>
        <v>292.87204407272162</v>
      </c>
      <c r="EP12" s="62">
        <f t="shared" si="46"/>
        <v>326.06531673481805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4.95</v>
      </c>
      <c r="N13" s="14">
        <f>IF('Données projet'!$A$36&gt;35,N12+M13-V12,IF(A13&lt;'Données projet'!$A$36,$K$205^A13,IF(A13='Données projet'!$A$36,'Données projet'!$B$36,N12+M13-V12)))</f>
        <v>9.9498743710661905</v>
      </c>
      <c r="O13" s="14">
        <f>N13*VLOOKUP('Données projet'!$B$9,Paramètres!$A$1:$I$89,3,0)*VLOOKUP('Données projet'!$B$9,Paramètres!$A$1:$I$89,5,0)</f>
        <v>7.2952478888657311</v>
      </c>
      <c r="P13" s="14">
        <f t="shared" si="33"/>
        <v>2.6676832149778122</v>
      </c>
      <c r="Q13" s="22">
        <f t="shared" si="2"/>
        <v>17.352105005860839</v>
      </c>
      <c r="R13" s="62">
        <f t="shared" si="0"/>
        <v>286.24099389474969</v>
      </c>
      <c r="S13" s="62">
        <f ca="1">AVERAGE(OFFSET($R$3,0,0,'Données projet'!$E$9+1,1))-AVERAGE(OFFSET($H$3,0,0,'Données projet'!$E$9+1,1))</f>
        <v>451.25506262546861</v>
      </c>
      <c r="T13" s="62">
        <f t="shared" si="34"/>
        <v>534.19872447444368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2.6666666666666665</v>
      </c>
      <c r="AI13" s="14">
        <f>IF('Données projet'!$A$62&gt;35,AI12+AH13-AQ12,IF(A13&lt;'Données projet'!$A$62,$AF$205^A13,IF(A13='Données projet'!$A$62,'Données projet'!$B$62,AI12+AH13-AQ12)))</f>
        <v>11.696070952851455</v>
      </c>
      <c r="AJ13" s="14">
        <f>AI13*VLOOKUP('Données projet'!$B$10,Paramètres!$A$1:$I$89,3,0)*VLOOKUP('Données projet'!$B$10,Paramètres!$A$1:$I$89,5,0)</f>
        <v>9.1229353432241354</v>
      </c>
      <c r="AK13" s="14">
        <f t="shared" si="35"/>
        <v>3.2503265450485803</v>
      </c>
      <c r="AL13" s="22">
        <f t="shared" si="4"/>
        <v>21.550097788741649</v>
      </c>
      <c r="AM13" s="62">
        <f t="shared" si="5"/>
        <v>290.43898667763051</v>
      </c>
      <c r="AN13" s="62">
        <f ca="1">AVERAGE(OFFSET($AM$3,0,0,'Données projet'!$E$10+1,1))-AVERAGE(OFFSET($H$3,0,0,'Données projet'!$E$10+1,1))</f>
        <v>252.84702735189455</v>
      </c>
      <c r="AO13" s="62">
        <f t="shared" si="36"/>
        <v>283.48738729114024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7.8457243951727564</v>
      </c>
      <c r="BF13" s="14">
        <f t="shared" si="37"/>
        <v>2.8447874686465271</v>
      </c>
      <c r="BG13" s="22">
        <f t="shared" si="7"/>
        <v>18.619308162818584</v>
      </c>
      <c r="BH13" s="62">
        <f t="shared" si="8"/>
        <v>287.50819705170744</v>
      </c>
      <c r="BI13" s="62">
        <f ca="1">AVERAGE(OFFSET($BH$3,0,0,'Données projet'!$E$11+1,1))-AVERAGE(OFFSET($H$3,0,0,'Données projet'!$E$11+1,1))</f>
        <v>221.98516361836096</v>
      </c>
      <c r="BJ13" s="62">
        <f t="shared" si="38"/>
        <v>249.72262393661117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projet'!$B$12,Paramètres!$A$1:$I$89,3,0)*VLOOKUP('Données projet'!$B$12,Paramètres!$A$1:$I$89,5,0)</f>
        <v>9.3053940500886192</v>
      </c>
      <c r="CA13" s="14">
        <f t="shared" si="39"/>
        <v>3.3076999482744602</v>
      </c>
      <c r="CB13" s="22">
        <f t="shared" si="10"/>
        <v>21.967805380482361</v>
      </c>
      <c r="CC13" s="62">
        <f t="shared" si="11"/>
        <v>290.85669426937125</v>
      </c>
      <c r="CD13" s="62">
        <f ca="1">AVERAGE(OFFSET($CC$3,0,0,'Données projet'!$E$12+1,1))-AVERAGE(OFFSET($H$3,0,0,'Données projet'!$E$12+1,1))</f>
        <v>257.24784840892409</v>
      </c>
      <c r="CE13" s="62">
        <f t="shared" si="40"/>
        <v>288.30197520356643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7.9</v>
      </c>
      <c r="CT13" s="13">
        <f>IF('Données projet'!$A$140&gt;35,CT12+CS13-DB12,IF(A13&lt;'Données projet'!$A$140,$CQ$205^A13,IF(A13='Données projet'!$A$140,'Données projet'!$B$140,CT12+CS13-DB12)))</f>
        <v>12.569805089976542</v>
      </c>
      <c r="CU13" s="18">
        <f>CT13*VLOOKUP('Données projet'!$B$13,Paramètres!$A$1:$I$89,3,0)*VLOOKUP('Données projet'!$B$13,Paramètres!$A$1:$I$89,5,0)</f>
        <v>5.8826687821090227</v>
      </c>
      <c r="CV13" s="14">
        <f t="shared" si="41"/>
        <v>2.2057079152108381</v>
      </c>
      <c r="CW13" s="22">
        <f t="shared" si="13"/>
        <v>14.087256081165423</v>
      </c>
      <c r="CX13" s="62">
        <f t="shared" si="14"/>
        <v>282.97614497005429</v>
      </c>
      <c r="CY13" s="62">
        <f ca="1">AVERAGE(OFFSET($CX$3,0,0,'Données projet'!$E$13+1,1))-AVERAGE(OFFSET($H$3,0,0,'Données projet'!$E$13+1,1))</f>
        <v>199.0086462069545</v>
      </c>
      <c r="CZ13" s="62">
        <f t="shared" si="42"/>
        <v>254.08208375594057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12.6</v>
      </c>
      <c r="DO13" s="13">
        <f>IF('Données projet'!$A$166&gt;35,DO12+DN13-DW12,IF(A13&lt;'Données projet'!$A$166,$DL$205^A13,IF(A13='Données projet'!$A$166,'Données projet'!$B$166,DO12+DN13-DW12)))</f>
        <v>32.933751390206758</v>
      </c>
      <c r="DP13" s="18">
        <f>DO13*VLOOKUP('Données projet'!$B$14,Paramètres!$A$1:$I$89,3,0)*VLOOKUP('Données projet'!$B$14,Paramètres!$A$1:$I$89,5,0)</f>
        <v>18.409967027125578</v>
      </c>
      <c r="DQ13" s="14">
        <f t="shared" si="43"/>
        <v>6.0443959386777069</v>
      </c>
      <c r="DR13" s="22">
        <f t="shared" si="16"/>
        <v>42.591348832107379</v>
      </c>
      <c r="DS13" s="62">
        <f t="shared" si="17"/>
        <v>311.48023772099623</v>
      </c>
      <c r="DT13" s="62">
        <f ca="1">AVERAGE(OFFSET($DS$3,0,0,'Données projet'!$E$14+1,1))-AVERAGE(OFFSET($H$3,0,0,'Données projet'!$E$14+1,1))</f>
        <v>534.78683721545372</v>
      </c>
      <c r="DU13" s="62">
        <f t="shared" si="44"/>
        <v>710.59298755711075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4.916666666666667</v>
      </c>
      <c r="EJ13" s="13">
        <f>IF('Données projet'!$A$192&gt;35,EJ12+EI13-ER12,IF(A13&lt;'Données projet'!$A$192,$EG$205^A13,IF(A13='Données projet'!$A$192,'Données projet'!$B$192,EJ12+EI13-ER12)))</f>
        <v>29.902672866252658</v>
      </c>
      <c r="EK13" s="18">
        <f>EJ13*VLOOKUP('Données projet'!$B$15,Paramètres!$A$1:$I$89,3,0)*VLOOKUP('Données projet'!$B$15,Paramètres!$A$1:$I$89,5,0)</f>
        <v>17.881798374019091</v>
      </c>
      <c r="EL13" s="14">
        <f t="shared" si="45"/>
        <v>5.8909128197666716</v>
      </c>
      <c r="EM13" s="22">
        <f t="shared" si="19"/>
        <v>41.404138662510206</v>
      </c>
      <c r="EN13" s="62">
        <f t="shared" si="20"/>
        <v>310.29302755139906</v>
      </c>
      <c r="EO13" s="62">
        <f ca="1">AVERAGE(OFFSET($EN$3,0,0,'Données projet'!$E$15+1,1))-AVERAGE(OFFSET($H$3,0,0,'Données projet'!$E$15+1,1))</f>
        <v>292.87204407272162</v>
      </c>
      <c r="EP13" s="62">
        <f t="shared" si="46"/>
        <v>326.06531673481805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4.95</v>
      </c>
      <c r="N14" s="14">
        <f>IF('Données projet'!$A$36&gt;35,N13+M14-V13,IF(A14&lt;'Données projet'!$A$36,$K$205^A14,IF(A14='Données projet'!$A$36,'Données projet'!$B$36,N13+M14-V13)))</f>
        <v>12.519856670634356</v>
      </c>
      <c r="O14" s="14">
        <f>N14*VLOOKUP('Données projet'!$B$9,Paramètres!$A$1:$I$89,3,0)*VLOOKUP('Données projet'!$B$9,Paramètres!$A$1:$I$89,5,0)</f>
        <v>9.17955891090911</v>
      </c>
      <c r="P14" s="14">
        <f t="shared" si="33"/>
        <v>3.268145769022242</v>
      </c>
      <c r="Q14" s="22">
        <f t="shared" si="2"/>
        <v>21.679752317547102</v>
      </c>
      <c r="R14" s="62">
        <f t="shared" si="0"/>
        <v>291.79086342865827</v>
      </c>
      <c r="S14" s="62">
        <f ca="1">AVERAGE(OFFSET($R$3,0,0,'Données projet'!$E$9+1,1))-AVERAGE(OFFSET($H$3,0,0,'Données projet'!$E$9+1,1))</f>
        <v>451.25506262546861</v>
      </c>
      <c r="T14" s="62">
        <f t="shared" si="34"/>
        <v>534.19872447444368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2.6666666666666665</v>
      </c>
      <c r="AI14" s="14">
        <f>IF('Données projet'!$A$62&gt;35,AI13+AH14-AQ13,IF(A14&lt;'Données projet'!$A$62,$AF$205^A14,IF(A14='Données projet'!$A$62,'Données projet'!$B$62,AI13+AH14-AQ13)))</f>
        <v>14.956982779612416</v>
      </c>
      <c r="AJ14" s="14">
        <f>AI14*VLOOKUP('Données projet'!$B$10,Paramètres!$A$1:$I$89,3,0)*VLOOKUP('Données projet'!$B$10,Paramètres!$A$1:$I$89,5,0)</f>
        <v>11.666446568097685</v>
      </c>
      <c r="AK14" s="14">
        <f t="shared" si="35"/>
        <v>4.0392339557111736</v>
      </c>
      <c r="AL14" s="22">
        <f t="shared" si="4"/>
        <v>27.354060245633761</v>
      </c>
      <c r="AM14" s="62">
        <f t="shared" si="5"/>
        <v>297.46517135674492</v>
      </c>
      <c r="AN14" s="62">
        <f ca="1">AVERAGE(OFFSET($AM$3,0,0,'Données projet'!$E$10+1,1))-AVERAGE(OFFSET($H$3,0,0,'Données projet'!$E$10+1,1))</f>
        <v>252.84702735189455</v>
      </c>
      <c r="AO14" s="62">
        <f t="shared" si="36"/>
        <v>283.48738729114024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10.033144048564008</v>
      </c>
      <c r="BF14" s="14">
        <f t="shared" si="37"/>
        <v>3.5352639129884524</v>
      </c>
      <c r="BG14" s="22">
        <f t="shared" si="7"/>
        <v>23.631643866370535</v>
      </c>
      <c r="BH14" s="62">
        <f t="shared" si="8"/>
        <v>293.7427549774817</v>
      </c>
      <c r="BI14" s="62">
        <f ca="1">AVERAGE(OFFSET($BH$3,0,0,'Données projet'!$E$11+1,1))-AVERAGE(OFFSET($H$3,0,0,'Données projet'!$E$11+1,1))</f>
        <v>221.98516361836096</v>
      </c>
      <c r="BJ14" s="62">
        <f t="shared" si="38"/>
        <v>249.72262393661117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projet'!$B$12,Paramètres!$A$1:$I$89,3,0)*VLOOKUP('Données projet'!$B$12,Paramètres!$A$1:$I$89,5,0)</f>
        <v>11.899775499459638</v>
      </c>
      <c r="CA14" s="14">
        <f t="shared" si="39"/>
        <v>4.1105328222258946</v>
      </c>
      <c r="CB14" s="22">
        <f t="shared" si="10"/>
        <v>27.884620326935632</v>
      </c>
      <c r="CC14" s="62">
        <f t="shared" si="11"/>
        <v>297.99573143804679</v>
      </c>
      <c r="CD14" s="62">
        <f ca="1">AVERAGE(OFFSET($CC$3,0,0,'Données projet'!$E$12+1,1))-AVERAGE(OFFSET($H$3,0,0,'Données projet'!$E$12+1,1))</f>
        <v>257.24784840892409</v>
      </c>
      <c r="CE14" s="62">
        <f t="shared" si="40"/>
        <v>288.30197520356643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7.9</v>
      </c>
      <c r="CT14" s="13">
        <f>IF('Données projet'!$A$140&gt;35,CT13+CS14-DB13,IF(A14&lt;'Données projet'!$A$140,$CQ$205^A14,IF(A14='Données projet'!$A$140,'Données projet'!$B$140,CT13+CS14-DB13)))</f>
        <v>16.190542381779895</v>
      </c>
      <c r="CU14" s="18">
        <f>CT14*VLOOKUP('Données projet'!$B$13,Paramètres!$A$1:$I$89,3,0)*VLOOKUP('Données projet'!$B$13,Paramètres!$A$1:$I$89,5,0)</f>
        <v>7.5771738346729904</v>
      </c>
      <c r="CV14" s="14">
        <f t="shared" si="41"/>
        <v>2.7585742106736397</v>
      </c>
      <c r="CW14" s="22">
        <f t="shared" si="13"/>
        <v>18.001427845645381</v>
      </c>
      <c r="CX14" s="62">
        <f t="shared" si="14"/>
        <v>288.11253895675651</v>
      </c>
      <c r="CY14" s="62">
        <f ca="1">AVERAGE(OFFSET($CX$3,0,0,'Données projet'!$E$13+1,1))-AVERAGE(OFFSET($H$3,0,0,'Données projet'!$E$13+1,1))</f>
        <v>199.0086462069545</v>
      </c>
      <c r="CZ14" s="62">
        <f t="shared" si="42"/>
        <v>254.08208375594057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12.6</v>
      </c>
      <c r="DO14" s="13">
        <f>IF('Données projet'!$A$166&gt;35,DO13+DN14-DW13,IF(A14&lt;'Données projet'!$A$166,$DL$205^A14,IF(A14='Données projet'!$A$166,'Données projet'!$B$166,DO13+DN14-DW13)))</f>
        <v>46.709511253860285</v>
      </c>
      <c r="DP14" s="18">
        <f>DO14*VLOOKUP('Données projet'!$B$14,Paramètres!$A$1:$I$89,3,0)*VLOOKUP('Données projet'!$B$14,Paramètres!$A$1:$I$89,5,0)</f>
        <v>26.110616790907901</v>
      </c>
      <c r="DQ14" s="14">
        <f t="shared" si="43"/>
        <v>8.2309825652704038</v>
      </c>
      <c r="DR14" s="22">
        <f t="shared" si="16"/>
        <v>59.811618878677223</v>
      </c>
      <c r="DS14" s="62">
        <f t="shared" si="17"/>
        <v>329.92272998978837</v>
      </c>
      <c r="DT14" s="62">
        <f ca="1">AVERAGE(OFFSET($DS$3,0,0,'Données projet'!$E$14+1,1))-AVERAGE(OFFSET($H$3,0,0,'Données projet'!$E$14+1,1))</f>
        <v>534.78683721545372</v>
      </c>
      <c r="DU14" s="62">
        <f t="shared" si="44"/>
        <v>710.59298755711075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4.916666666666667</v>
      </c>
      <c r="EJ14" s="13">
        <f>IF('Données projet'!$A$192&gt;35,EJ13+EI14-ER13,IF(A14&lt;'Données projet'!$A$192,$EG$205^A14,IF(A14='Données projet'!$A$192,'Données projet'!$B$192,EJ13+EI14-ER13)))</f>
        <v>42.003067734498977</v>
      </c>
      <c r="EK14" s="18">
        <f>EJ14*VLOOKUP('Données projet'!$B$15,Paramètres!$A$1:$I$89,3,0)*VLOOKUP('Données projet'!$B$15,Paramètres!$A$1:$I$89,5,0)</f>
        <v>25.117834505230391</v>
      </c>
      <c r="EL14" s="14">
        <f t="shared" si="45"/>
        <v>7.9538305064048211</v>
      </c>
      <c r="EM14" s="22">
        <f t="shared" si="19"/>
        <v>57.599816561931327</v>
      </c>
      <c r="EN14" s="62">
        <f t="shared" si="20"/>
        <v>327.71092767304248</v>
      </c>
      <c r="EO14" s="62">
        <f ca="1">AVERAGE(OFFSET($EN$3,0,0,'Données projet'!$E$15+1,1))-AVERAGE(OFFSET($H$3,0,0,'Données projet'!$E$15+1,1))</f>
        <v>292.87204407272162</v>
      </c>
      <c r="EP14" s="62">
        <f t="shared" si="46"/>
        <v>326.06531673481805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4.95</v>
      </c>
      <c r="N15" s="14">
        <f>IF('Données projet'!$A$36&gt;35,N14+M15-V14,IF(A15&lt;'Données projet'!$A$36,$K$205^A15,IF(A15='Données projet'!$A$36,'Données projet'!$B$36,N14+M15-V14)))</f>
        <v>15.753647252978448</v>
      </c>
      <c r="O15" s="14">
        <f>N15*VLOOKUP('Données projet'!$B$9,Paramètres!$A$1:$I$89,3,0)*VLOOKUP('Données projet'!$B$9,Paramètres!$A$1:$I$89,5,0)</f>
        <v>11.550574165883798</v>
      </c>
      <c r="P15" s="14">
        <f t="shared" si="33"/>
        <v>4.0037650301243923</v>
      </c>
      <c r="Q15" s="22">
        <f t="shared" si="2"/>
        <v>27.09047409971426</v>
      </c>
      <c r="R15" s="62">
        <f t="shared" si="0"/>
        <v>298.42380743304756</v>
      </c>
      <c r="S15" s="62">
        <f ca="1">AVERAGE(OFFSET($R$3,0,0,'Données projet'!$E$9+1,1))-AVERAGE(OFFSET($H$3,0,0,'Données projet'!$E$9+1,1))</f>
        <v>451.25506262546861</v>
      </c>
      <c r="T15" s="62">
        <f t="shared" si="34"/>
        <v>534.19872447444368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2.6666666666666665</v>
      </c>
      <c r="AI15" s="14">
        <f>IF('Données projet'!$A$62&gt;35,AI14+AH15-AQ14,IF(A15&lt;'Données projet'!$A$62,$AF$205^A15,IF(A15='Données projet'!$A$62,'Données projet'!$B$62,AI14+AH15-AQ14)))</f>
        <v>19.127049995800721</v>
      </c>
      <c r="AJ15" s="14">
        <f>AI15*VLOOKUP('Données projet'!$B$10,Paramètres!$A$1:$I$89,3,0)*VLOOKUP('Données projet'!$B$10,Paramètres!$A$1:$I$89,5,0)</f>
        <v>14.919098996724562</v>
      </c>
      <c r="AK15" s="14">
        <f t="shared" si="35"/>
        <v>5.019622097301081</v>
      </c>
      <c r="AL15" s="22">
        <f t="shared" si="4"/>
        <v>34.726605905427995</v>
      </c>
      <c r="AM15" s="62">
        <f t="shared" si="5"/>
        <v>306.05993923876133</v>
      </c>
      <c r="AN15" s="62">
        <f ca="1">AVERAGE(OFFSET($AM$3,0,0,'Données projet'!$E$10+1,1))-AVERAGE(OFFSET($H$3,0,0,'Données projet'!$E$10+1,1))</f>
        <v>252.84702735189455</v>
      </c>
      <c r="AO15" s="62">
        <f t="shared" si="36"/>
        <v>283.48738729114024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12.830425137183123</v>
      </c>
      <c r="BF15" s="14">
        <f t="shared" si="37"/>
        <v>4.3933302829208145</v>
      </c>
      <c r="BG15" s="22">
        <f t="shared" si="7"/>
        <v>29.998040690014353</v>
      </c>
      <c r="BH15" s="62">
        <f t="shared" si="8"/>
        <v>301.33137402334768</v>
      </c>
      <c r="BI15" s="62">
        <f ca="1">AVERAGE(OFFSET($BH$3,0,0,'Données projet'!$E$11+1,1))-AVERAGE(OFFSET($H$3,0,0,'Données projet'!$E$11+1,1))</f>
        <v>221.98516361836096</v>
      </c>
      <c r="BJ15" s="62">
        <f t="shared" si="38"/>
        <v>249.72262393661117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projet'!$B$12,Paramètres!$A$1:$I$89,3,0)*VLOOKUP('Données projet'!$B$12,Paramètres!$A$1:$I$89,5,0)</f>
        <v>15.217480976659054</v>
      </c>
      <c r="CA15" s="14">
        <f t="shared" si="39"/>
        <v>5.1082263647918982</v>
      </c>
      <c r="CB15" s="22">
        <f t="shared" si="10"/>
        <v>35.400606953027072</v>
      </c>
      <c r="CC15" s="62">
        <f t="shared" si="11"/>
        <v>306.73394028636039</v>
      </c>
      <c r="CD15" s="62">
        <f ca="1">AVERAGE(OFFSET($CC$3,0,0,'Données projet'!$E$12+1,1))-AVERAGE(OFFSET($H$3,0,0,'Données projet'!$E$12+1,1))</f>
        <v>257.24784840892409</v>
      </c>
      <c r="CE15" s="62">
        <f t="shared" si="40"/>
        <v>288.30197520356643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7.9</v>
      </c>
      <c r="CT15" s="13">
        <f>IF('Données projet'!$A$140&gt;35,CT14+CS15-DB14,IF(A15&lt;'Données projet'!$A$140,$CQ$205^A15,IF(A15='Données projet'!$A$140,'Données projet'!$B$140,CT14+CS15-DB14)))</f>
        <v>20.854234472198982</v>
      </c>
      <c r="CU15" s="18">
        <f>CT15*VLOOKUP('Données projet'!$B$13,Paramètres!$A$1:$I$89,3,0)*VLOOKUP('Données projet'!$B$13,Paramètres!$A$1:$I$89,5,0)</f>
        <v>9.7597817329891239</v>
      </c>
      <c r="CV15" s="14">
        <f t="shared" si="41"/>
        <v>3.4500178483814818</v>
      </c>
      <c r="CW15" s="22">
        <f t="shared" si="13"/>
        <v>23.00706760422047</v>
      </c>
      <c r="CX15" s="62">
        <f t="shared" si="14"/>
        <v>294.3404009375538</v>
      </c>
      <c r="CY15" s="62">
        <f ca="1">AVERAGE(OFFSET($CX$3,0,0,'Données projet'!$E$13+1,1))-AVERAGE(OFFSET($H$3,0,0,'Données projet'!$E$13+1,1))</f>
        <v>199.0086462069545</v>
      </c>
      <c r="CZ15" s="62">
        <f t="shared" si="42"/>
        <v>254.08208375594057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12.6</v>
      </c>
      <c r="DO15" s="13">
        <f>IF('Données projet'!$A$166&gt;35,DO14+DN15-DW14,IF(A15&lt;'Données projet'!$A$166,$DL$205^A15,IF(A15='Données projet'!$A$166,'Données projet'!$B$166,DO14+DN15-DW14)))</f>
        <v>66.247492298228693</v>
      </c>
      <c r="DP15" s="18">
        <f>DO15*VLOOKUP('Données projet'!$B$14,Paramètres!$A$1:$I$89,3,0)*VLOOKUP('Données projet'!$B$14,Paramètres!$A$1:$I$89,5,0)</f>
        <v>37.03234819470984</v>
      </c>
      <c r="DQ15" s="14">
        <f t="shared" si="43"/>
        <v>11.20857645282026</v>
      </c>
      <c r="DR15" s="22">
        <f t="shared" si="16"/>
        <v>84.019610427781586</v>
      </c>
      <c r="DS15" s="62">
        <f t="shared" si="17"/>
        <v>355.35294376111489</v>
      </c>
      <c r="DT15" s="62">
        <f ca="1">AVERAGE(OFFSET($DS$3,0,0,'Données projet'!$E$14+1,1))-AVERAGE(OFFSET($H$3,0,0,'Données projet'!$E$14+1,1))</f>
        <v>534.78683721545372</v>
      </c>
      <c r="DU15" s="62">
        <f t="shared" si="44"/>
        <v>710.59298755711075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>
        <f>VLOOKUP(A15,'Données projet'!$A$191:$I$211,2,0)</f>
        <v>59</v>
      </c>
      <c r="EH15" s="13">
        <f>VLOOKUP(A15,'Données projet'!$A$191:$I$211,9,0)</f>
        <v>4.916666666666667</v>
      </c>
      <c r="EI15" s="13">
        <f t="array" ref="EI15">INDEX(EH:EH,MIN(IF(ISNUMBER(EH15:EH211),ROW(EH15:EH211),"")))</f>
        <v>4.916666666666667</v>
      </c>
      <c r="EJ15" s="13">
        <f>IF('Données projet'!$A$192&gt;35,EJ14+EI15-ER14,IF(A15&lt;'Données projet'!$A$192,$EG$205^A15,IF(A15='Données projet'!$A$192,'Données projet'!$B$192,EJ14+EI15-ER14)))</f>
        <v>59</v>
      </c>
      <c r="EK15" s="18">
        <f>EJ15*VLOOKUP('Données projet'!$B$15,Paramètres!$A$1:$I$89,3,0)*VLOOKUP('Données projet'!$B$15,Paramètres!$A$1:$I$89,5,0)</f>
        <v>35.282000000000004</v>
      </c>
      <c r="EL15" s="14">
        <f t="shared" si="45"/>
        <v>10.73915395799758</v>
      </c>
      <c r="EM15" s="22">
        <f t="shared" si="19"/>
        <v>80.153509810179131</v>
      </c>
      <c r="EN15" s="62">
        <f t="shared" si="20"/>
        <v>351.48684314351243</v>
      </c>
      <c r="EO15" s="62">
        <f ca="1">AVERAGE(OFFSET($EN$3,0,0,'Données projet'!$E$15+1,1))-AVERAGE(OFFSET($H$3,0,0,'Données projet'!$E$15+1,1))</f>
        <v>292.87204407272162</v>
      </c>
      <c r="EP15" s="62">
        <f t="shared" si="46"/>
        <v>326.06531673481805</v>
      </c>
      <c r="EQ15" s="16">
        <f>IF(ISNA(VLOOKUP(A15,'Données projet'!$A$191:$I$211,3,0)),0,VLOOKUP(A15,'Données projet'!$A$191:$I$211,3,0))</f>
        <v>1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4.95</v>
      </c>
      <c r="N16" s="14">
        <f>IF('Données projet'!$A$36&gt;35,N15+M16-V15,IF(A16&lt;'Données projet'!$A$36,$K$205^A16,IF(A16='Données projet'!$A$36,'Données projet'!$B$36,N15+M16-V15)))</f>
        <v>19.822703110761793</v>
      </c>
      <c r="O16" s="14">
        <f>N16*VLOOKUP('Données projet'!$B$9,Paramètres!$A$1:$I$89,3,0)*VLOOKUP('Données projet'!$B$9,Paramètres!$A$1:$I$89,5,0)</f>
        <v>14.534005920810547</v>
      </c>
      <c r="P16" s="14">
        <f t="shared" si="33"/>
        <v>4.9049631042751374</v>
      </c>
      <c r="Q16" s="22">
        <f t="shared" si="2"/>
        <v>33.856204385357564</v>
      </c>
      <c r="R16" s="62">
        <f t="shared" si="0"/>
        <v>306.4117599409131</v>
      </c>
      <c r="S16" s="62">
        <f ca="1">AVERAGE(OFFSET($R$3,0,0,'Données projet'!$E$9+1,1))-AVERAGE(OFFSET($H$3,0,0,'Données projet'!$E$9+1,1))</f>
        <v>451.25506262546861</v>
      </c>
      <c r="T16" s="62">
        <f t="shared" si="34"/>
        <v>534.19872447444368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2.6666666666666665</v>
      </c>
      <c r="AI16" s="14">
        <f>IF('Données projet'!$A$62&gt;35,AI15+AH16-AQ15,IF(A16&lt;'Données projet'!$A$62,$AF$205^A16,IF(A16='Données projet'!$A$62,'Données projet'!$B$62,AI15+AH16-AQ15)))</f>
        <v>24.459748796430759</v>
      </c>
      <c r="AJ16" s="14">
        <f>AI16*VLOOKUP('Données projet'!$B$10,Paramètres!$A$1:$I$89,3,0)*VLOOKUP('Données projet'!$B$10,Paramètres!$A$1:$I$89,5,0)</f>
        <v>19.078604061215994</v>
      </c>
      <c r="AK16" s="14">
        <f t="shared" si="35"/>
        <v>6.2379664748280286</v>
      </c>
      <c r="AL16" s="22">
        <f t="shared" si="4"/>
        <v>44.093027016943331</v>
      </c>
      <c r="AM16" s="62">
        <f t="shared" si="5"/>
        <v>316.64858257249887</v>
      </c>
      <c r="AN16" s="62">
        <f ca="1">AVERAGE(OFFSET($AM$3,0,0,'Données projet'!$E$10+1,1))-AVERAGE(OFFSET($H$3,0,0,'Données projet'!$E$10+1,1))</f>
        <v>252.84702735189455</v>
      </c>
      <c r="AO16" s="62">
        <f t="shared" si="36"/>
        <v>283.48738729114024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16.407599492645755</v>
      </c>
      <c r="BF16" s="14">
        <f t="shared" si="37"/>
        <v>5.4596633942706498</v>
      </c>
      <c r="BG16" s="22">
        <f t="shared" si="7"/>
        <v>38.085482861379397</v>
      </c>
      <c r="BH16" s="62">
        <f t="shared" si="8"/>
        <v>310.64103841693492</v>
      </c>
      <c r="BI16" s="62">
        <f ca="1">AVERAGE(OFFSET($BH$3,0,0,'Données projet'!$E$11+1,1))-AVERAGE(OFFSET($H$3,0,0,'Données projet'!$E$11+1,1))</f>
        <v>221.98516361836096</v>
      </c>
      <c r="BJ16" s="62">
        <f t="shared" si="38"/>
        <v>249.72262393661117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projet'!$B$12,Paramètres!$A$1:$I$89,3,0)*VLOOKUP('Données projet'!$B$12,Paramètres!$A$1:$I$89,5,0)</f>
        <v>19.460176142440314</v>
      </c>
      <c r="CA16" s="14">
        <f t="shared" si="39"/>
        <v>6.3480764471368154</v>
      </c>
      <c r="CB16" s="22">
        <f t="shared" si="10"/>
        <v>44.94937326018016</v>
      </c>
      <c r="CC16" s="62">
        <f t="shared" si="11"/>
        <v>317.5049288157357</v>
      </c>
      <c r="CD16" s="62">
        <f ca="1">AVERAGE(OFFSET($CC$3,0,0,'Données projet'!$E$12+1,1))-AVERAGE(OFFSET($H$3,0,0,'Données projet'!$E$12+1,1))</f>
        <v>257.24784840892409</v>
      </c>
      <c r="CE16" s="62">
        <f t="shared" si="40"/>
        <v>288.30197520356643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7.9</v>
      </c>
      <c r="CT16" s="13">
        <f>IF('Données projet'!$A$140&gt;35,CT15+CS16-DB15,IF(A16&lt;'Données projet'!$A$140,$CQ$205^A16,IF(A16='Données projet'!$A$140,'Données projet'!$B$140,CT15+CS16-DB15)))</f>
        <v>26.861304900499697</v>
      </c>
      <c r="CU16" s="18">
        <f>CT16*VLOOKUP('Données projet'!$B$13,Paramètres!$A$1:$I$89,3,0)*VLOOKUP('Données projet'!$B$13,Paramètres!$A$1:$I$89,5,0)</f>
        <v>12.571090693433858</v>
      </c>
      <c r="CV16" s="14">
        <f t="shared" si="41"/>
        <v>4.3147735914069099</v>
      </c>
      <c r="CW16" s="22">
        <f t="shared" si="13"/>
        <v>29.409546962764335</v>
      </c>
      <c r="CX16" s="62">
        <f t="shared" si="14"/>
        <v>301.9651025183199</v>
      </c>
      <c r="CY16" s="62">
        <f ca="1">AVERAGE(OFFSET($CX$3,0,0,'Données projet'!$E$13+1,1))-AVERAGE(OFFSET($H$3,0,0,'Données projet'!$E$13+1,1))</f>
        <v>199.0086462069545</v>
      </c>
      <c r="CZ16" s="62">
        <f t="shared" si="42"/>
        <v>254.08208375594057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12.6</v>
      </c>
      <c r="DO16" s="13">
        <f>IF('Données projet'!$A$166&gt;35,DO15+DN16-DW15,IF(A16&lt;'Données projet'!$A$166,$DL$205^A16,IF(A16='Données projet'!$A$166,'Données projet'!$B$166,DO15+DN16-DW15)))</f>
        <v>93.957956698619185</v>
      </c>
      <c r="DP16" s="18">
        <f>DO16*VLOOKUP('Données projet'!$B$14,Paramètres!$A$1:$I$89,3,0)*VLOOKUP('Données projet'!$B$14,Paramètres!$A$1:$I$89,5,0)</f>
        <v>52.522497794528128</v>
      </c>
      <c r="DQ16" s="14">
        <f t="shared" si="43"/>
        <v>15.263327932294025</v>
      </c>
      <c r="DR16" s="22">
        <f t="shared" si="16"/>
        <v>118.06031314088193</v>
      </c>
      <c r="DS16" s="62">
        <f t="shared" si="17"/>
        <v>390.61586869643747</v>
      </c>
      <c r="DT16" s="62">
        <f ca="1">AVERAGE(OFFSET($DS$3,0,0,'Données projet'!$E$14+1,1))-AVERAGE(OFFSET($H$3,0,0,'Données projet'!$E$14+1,1))</f>
        <v>534.78683721545372</v>
      </c>
      <c r="DU16" s="62">
        <f t="shared" si="44"/>
        <v>710.59298755711075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14.5</v>
      </c>
      <c r="EJ16" s="13">
        <f>IF('Données projet'!$A$192&gt;35,EJ15+EI16-ER15,IF(A16&lt;'Données projet'!$A$192,$EG$205^A16,IF(A16='Données projet'!$A$192,'Données projet'!$B$192,EJ15+EI16-ER15)))</f>
        <v>73.5</v>
      </c>
      <c r="EK16" s="18">
        <f>EJ16*VLOOKUP('Données projet'!$B$15,Paramètres!$A$1:$I$89,3,0)*VLOOKUP('Données projet'!$B$15,Paramètres!$A$1:$I$89,5,0)</f>
        <v>43.953000000000003</v>
      </c>
      <c r="EL16" s="14">
        <f t="shared" si="45"/>
        <v>13.040574478360242</v>
      </c>
      <c r="EM16" s="22">
        <f t="shared" si="19"/>
        <v>99.26380888314408</v>
      </c>
      <c r="EN16" s="62">
        <f t="shared" si="20"/>
        <v>371.81936443869961</v>
      </c>
      <c r="EO16" s="62">
        <f ca="1">AVERAGE(OFFSET($EN$3,0,0,'Données projet'!$E$15+1,1))-AVERAGE(OFFSET($H$3,0,0,'Données projet'!$E$15+1,1))</f>
        <v>292.87204407272162</v>
      </c>
      <c r="EP16" s="62">
        <f t="shared" si="46"/>
        <v>326.06531673481805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4.95</v>
      </c>
      <c r="N17" s="14">
        <f>IF('Données projet'!$A$36&gt;35,N16+M17-V16,IF(A17&lt;'Données projet'!$A$36,$K$205^A17,IF(A17='Données projet'!$A$36,'Données projet'!$B$36,N16+M17-V16)))</f>
        <v>24.942767367291054</v>
      </c>
      <c r="O17" s="14">
        <f>N17*VLOOKUP('Données projet'!$B$9,Paramètres!$A$1:$I$89,3,0)*VLOOKUP('Données projet'!$B$9,Paramètres!$A$1:$I$89,5,0)</f>
        <v>18.288037033697801</v>
      </c>
      <c r="P17" s="14">
        <f t="shared" si="33"/>
        <v>6.0090097379048473</v>
      </c>
      <c r="Q17" s="22">
        <f t="shared" si="2"/>
        <v>42.317356460541276</v>
      </c>
      <c r="R17" s="62">
        <f t="shared" si="0"/>
        <v>316.09513423831902</v>
      </c>
      <c r="S17" s="62">
        <f ca="1">AVERAGE(OFFSET($R$3,0,0,'Données projet'!$E$9+1,1))-AVERAGE(OFFSET($H$3,0,0,'Données projet'!$E$9+1,1))</f>
        <v>451.25506262546861</v>
      </c>
      <c r="T17" s="62">
        <f t="shared" si="34"/>
        <v>534.19872447444368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2.6666666666666665</v>
      </c>
      <c r="AI17" s="14">
        <f>IF('Données projet'!$A$62&gt;35,AI16+AH17-AQ16,IF(A17&lt;'Données projet'!$A$62,$AF$205^A17,IF(A17='Données projet'!$A$62,'Données projet'!$B$62,AI16+AH17-AQ16)))</f>
        <v>31.279225563578599</v>
      </c>
      <c r="AJ17" s="14">
        <f>AI17*VLOOKUP('Données projet'!$B$10,Paramètres!$A$1:$I$89,3,0)*VLOOKUP('Données projet'!$B$10,Paramètres!$A$1:$I$89,5,0)</f>
        <v>24.397795939591308</v>
      </c>
      <c r="AK17" s="14">
        <f t="shared" si="35"/>
        <v>7.75202295846145</v>
      </c>
      <c r="AL17" s="22">
        <f t="shared" si="4"/>
        <v>55.994267914108548</v>
      </c>
      <c r="AM17" s="62">
        <f t="shared" si="5"/>
        <v>329.77204569188632</v>
      </c>
      <c r="AN17" s="62">
        <f ca="1">AVERAGE(OFFSET($AM$3,0,0,'Données projet'!$E$10+1,1))-AVERAGE(OFFSET($H$3,0,0,'Données projet'!$E$10+1,1))</f>
        <v>252.84702735189455</v>
      </c>
      <c r="AO17" s="62">
        <f t="shared" si="36"/>
        <v>283.48738729114024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20.982104508048526</v>
      </c>
      <c r="BF17" s="14">
        <f t="shared" si="37"/>
        <v>6.7848129913241397</v>
      </c>
      <c r="BG17" s="22">
        <f t="shared" si="7"/>
        <v>48.360714644740732</v>
      </c>
      <c r="BH17" s="62">
        <f t="shared" si="8"/>
        <v>322.13849242251848</v>
      </c>
      <c r="BI17" s="62">
        <f ca="1">AVERAGE(OFFSET($BH$3,0,0,'Données projet'!$E$11+1,1))-AVERAGE(OFFSET($H$3,0,0,'Données projet'!$E$11+1,1))</f>
        <v>221.98516361836096</v>
      </c>
      <c r="BJ17" s="62">
        <f t="shared" si="38"/>
        <v>249.72262393661117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projet'!$B$12,Paramètres!$A$1:$I$89,3,0)*VLOOKUP('Données projet'!$B$12,Paramètres!$A$1:$I$89,5,0)</f>
        <v>24.885751858383134</v>
      </c>
      <c r="CA17" s="14">
        <f t="shared" si="39"/>
        <v>7.8888584218673072</v>
      </c>
      <c r="CB17" s="22">
        <f t="shared" si="10"/>
        <v>57.082446238102854</v>
      </c>
      <c r="CC17" s="62">
        <f t="shared" si="11"/>
        <v>330.86022401588065</v>
      </c>
      <c r="CD17" s="62">
        <f ca="1">AVERAGE(OFFSET($CC$3,0,0,'Données projet'!$E$12+1,1))-AVERAGE(OFFSET($H$3,0,0,'Données projet'!$E$12+1,1))</f>
        <v>257.24784840892409</v>
      </c>
      <c r="CE17" s="62">
        <f t="shared" si="40"/>
        <v>288.30197520356643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7.9</v>
      </c>
      <c r="CT17" s="13">
        <f>IF('Données projet'!$A$140&gt;35,CT16+CS17-DB16,IF(A17&lt;'Données projet'!$A$140,$CQ$205^A17,IF(A17='Données projet'!$A$140,'Données projet'!$B$140,CT16+CS17-DB16)))</f>
        <v>34.598714324397214</v>
      </c>
      <c r="CU17" s="18">
        <f>CT17*VLOOKUP('Données projet'!$B$13,Paramètres!$A$1:$I$89,3,0)*VLOOKUP('Données projet'!$B$13,Paramètres!$A$1:$I$89,5,0)</f>
        <v>16.192198303817896</v>
      </c>
      <c r="CV17" s="14">
        <f t="shared" si="41"/>
        <v>5.3962825594761723</v>
      </c>
      <c r="CW17" s="22">
        <f t="shared" si="13"/>
        <v>37.599937503570509</v>
      </c>
      <c r="CX17" s="62">
        <f t="shared" si="14"/>
        <v>311.37771528134829</v>
      </c>
      <c r="CY17" s="62">
        <f ca="1">AVERAGE(OFFSET($CX$3,0,0,'Données projet'!$E$13+1,1))-AVERAGE(OFFSET($H$3,0,0,'Données projet'!$E$13+1,1))</f>
        <v>199.0086462069545</v>
      </c>
      <c r="CZ17" s="62">
        <f t="shared" si="42"/>
        <v>254.08208375594057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12.6</v>
      </c>
      <c r="DO17" s="13">
        <f>IF('Données projet'!$A$166&gt;35,DO16+DN17-DW16,IF(A17&lt;'Données projet'!$A$166,$DL$205^A17,IF(A17='Données projet'!$A$166,'Données projet'!$B$166,DO16+DN17-DW16)))</f>
        <v>133.25934794992446</v>
      </c>
      <c r="DP17" s="18">
        <f>DO17*VLOOKUP('Données projet'!$B$14,Paramètres!$A$1:$I$89,3,0)*VLOOKUP('Données projet'!$B$14,Paramètres!$A$1:$I$89,5,0)</f>
        <v>74.491975504007769</v>
      </c>
      <c r="DQ17" s="14">
        <f t="shared" si="43"/>
        <v>20.784903466499365</v>
      </c>
      <c r="DR17" s="22">
        <f t="shared" si="16"/>
        <v>165.9405642069666</v>
      </c>
      <c r="DS17" s="62">
        <f t="shared" si="17"/>
        <v>439.71834198474437</v>
      </c>
      <c r="DT17" s="62">
        <f ca="1">AVERAGE(OFFSET($DS$3,0,0,'Données projet'!$E$14+1,1))-AVERAGE(OFFSET($H$3,0,0,'Données projet'!$E$14+1,1))</f>
        <v>534.78683721545372</v>
      </c>
      <c r="DU17" s="62">
        <f t="shared" si="44"/>
        <v>710.59298755711075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14.5</v>
      </c>
      <c r="EJ17" s="13">
        <f>IF('Données projet'!$A$192&gt;35,EJ16+EI17-ER16,IF(A17&lt;'Données projet'!$A$192,$EG$205^A17,IF(A17='Données projet'!$A$192,'Données projet'!$B$192,EJ16+EI17-ER16)))</f>
        <v>88</v>
      </c>
      <c r="EK17" s="18">
        <f>EJ17*VLOOKUP('Données projet'!$B$15,Paramètres!$A$1:$I$89,3,0)*VLOOKUP('Données projet'!$B$15,Paramètres!$A$1:$I$89,5,0)</f>
        <v>52.624000000000009</v>
      </c>
      <c r="EL17" s="14">
        <f t="shared" si="45"/>
        <v>15.289388641788772</v>
      </c>
      <c r="EM17" s="22">
        <f t="shared" si="19"/>
        <v>118.28248521778211</v>
      </c>
      <c r="EN17" s="62">
        <f t="shared" si="20"/>
        <v>392.06026299555987</v>
      </c>
      <c r="EO17" s="62">
        <f ca="1">AVERAGE(OFFSET($EN$3,0,0,'Données projet'!$E$15+1,1))-AVERAGE(OFFSET($H$3,0,0,'Données projet'!$E$15+1,1))</f>
        <v>292.87204407272162</v>
      </c>
      <c r="EP17" s="62">
        <f t="shared" si="46"/>
        <v>326.06531673481805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4.95</v>
      </c>
      <c r="N18" s="14">
        <f>IF('Données projet'!$A$36&gt;35,N17+M18-V17,IF(A18&lt;'Données projet'!$A$36,$K$205^A18,IF(A18='Données projet'!$A$36,'Données projet'!$B$36,N17+M18-V17)))</f>
        <v>31.385308071381921</v>
      </c>
      <c r="O18" s="14">
        <f>N18*VLOOKUP('Données projet'!$B$9,Paramètres!$A$1:$I$89,3,0)*VLOOKUP('Données projet'!$B$9,Paramètres!$A$1:$I$89,5,0)</f>
        <v>23.011707877937223</v>
      </c>
      <c r="P18" s="14">
        <f t="shared" si="33"/>
        <v>7.361563637199148</v>
      </c>
      <c r="Q18" s="22">
        <f t="shared" si="2"/>
        <v>52.900114555529179</v>
      </c>
      <c r="R18" s="62">
        <f t="shared" si="0"/>
        <v>327.90011455552917</v>
      </c>
      <c r="S18" s="62">
        <f ca="1">AVERAGE(OFFSET($R$3,0,0,'Données projet'!$E$9+1,1))-AVERAGE(OFFSET($H$3,0,0,'Données projet'!$E$9+1,1))</f>
        <v>451.25506262546861</v>
      </c>
      <c r="T18" s="62">
        <f t="shared" si="34"/>
        <v>534.19872447444368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40</v>
      </c>
      <c r="AG18" s="13">
        <f>VLOOKUP(A18,'Données projet'!$A$61:$I$81,9,0)</f>
        <v>2.6666666666666665</v>
      </c>
      <c r="AH18" s="13">
        <f t="array" ref="AH18">INDEX(AG:AG,MIN(IF(ISNUMBER(AG18:AG214),ROW(AG18:AG214),"")))</f>
        <v>2.6666666666666665</v>
      </c>
      <c r="AI18" s="14">
        <f>IF('Données projet'!$A$62&gt;35,AI17+AH18-AQ17,IF(A18&lt;'Données projet'!$A$62,$AF$205^A18,IF(A18='Données projet'!$A$62,'Données projet'!$B$62,AI17+AH18-AQ17)))</f>
        <v>40</v>
      </c>
      <c r="AJ18" s="14">
        <f>AI18*VLOOKUP('Données projet'!$B$10,Paramètres!$A$1:$I$89,3,0)*VLOOKUP('Données projet'!$B$10,Paramètres!$A$1:$I$89,5,0)</f>
        <v>31.200000000000003</v>
      </c>
      <c r="AK18" s="14">
        <f t="shared" si="35"/>
        <v>9.6335657126419925</v>
      </c>
      <c r="AL18" s="22">
        <f t="shared" si="4"/>
        <v>71.118460282851473</v>
      </c>
      <c r="AM18" s="62">
        <f t="shared" si="5"/>
        <v>346.11846028285146</v>
      </c>
      <c r="AN18" s="62">
        <f ca="1">AVERAGE(OFFSET($AM$3,0,0,'Données projet'!$E$10+1,1))-AVERAGE(OFFSET($H$3,0,0,'Données projet'!$E$10+1,1))</f>
        <v>252.84702735189455</v>
      </c>
      <c r="AO18" s="62">
        <f t="shared" si="36"/>
        <v>283.48738729114024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26.832000000000001</v>
      </c>
      <c r="BF18" s="14">
        <f t="shared" si="37"/>
        <v>8.4315980680326312</v>
      </c>
      <c r="BG18" s="22">
        <f t="shared" si="7"/>
        <v>61.4174333018235</v>
      </c>
      <c r="BH18" s="62">
        <f t="shared" si="8"/>
        <v>336.41743330182351</v>
      </c>
      <c r="BI18" s="62">
        <f ca="1">AVERAGE(OFFSET($BH$3,0,0,'Données projet'!$E$11+1,1))-AVERAGE(OFFSET($H$3,0,0,'Données projet'!$E$11+1,1))</f>
        <v>221.98516361836096</v>
      </c>
      <c r="BJ18" s="62">
        <f t="shared" si="38"/>
        <v>249.72262393661117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3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projet'!$B$12,Paramètres!$A$1:$I$89,3,0)*VLOOKUP('Données projet'!$B$12,Paramètres!$A$1:$I$89,5,0)</f>
        <v>31.823999999999998</v>
      </c>
      <c r="CA18" s="14">
        <f t="shared" si="39"/>
        <v>9.8036133809220889</v>
      </c>
      <c r="CB18" s="22">
        <f t="shared" si="10"/>
        <v>72.501426638439298</v>
      </c>
      <c r="CC18" s="62">
        <f t="shared" si="11"/>
        <v>347.50142663843928</v>
      </c>
      <c r="CD18" s="62">
        <f ca="1">AVERAGE(OFFSET($CC$3,0,0,'Données projet'!$E$12+1,1))-AVERAGE(OFFSET($H$3,0,0,'Données projet'!$E$12+1,1))</f>
        <v>257.24784840892409</v>
      </c>
      <c r="CE18" s="62">
        <f t="shared" si="40"/>
        <v>288.30197520356643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3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7.9</v>
      </c>
      <c r="CT18" s="13">
        <f>IF('Données projet'!$A$140&gt;35,CT17+CS18-DB17,IF(A18&lt;'Données projet'!$A$140,$CQ$205^A18,IF(A18='Données projet'!$A$140,'Données projet'!$B$140,CT17+CS18-DB17)))</f>
        <v>44.564887571004775</v>
      </c>
      <c r="CU18" s="18">
        <f>CT18*VLOOKUP('Données projet'!$B$13,Paramètres!$A$1:$I$89,3,0)*VLOOKUP('Données projet'!$B$13,Paramètres!$A$1:$I$89,5,0)</f>
        <v>20.856367383230236</v>
      </c>
      <c r="CV18" s="14">
        <f t="shared" si="41"/>
        <v>6.7488744993944465</v>
      </c>
      <c r="CW18" s="22">
        <f t="shared" si="13"/>
        <v>48.079129612237985</v>
      </c>
      <c r="CX18" s="62">
        <f t="shared" si="14"/>
        <v>323.07912961223798</v>
      </c>
      <c r="CY18" s="62">
        <f ca="1">AVERAGE(OFFSET($CX$3,0,0,'Données projet'!$E$13+1,1))-AVERAGE(OFFSET($H$3,0,0,'Données projet'!$E$13+1,1))</f>
        <v>199.0086462069545</v>
      </c>
      <c r="CZ18" s="62">
        <f t="shared" si="42"/>
        <v>254.08208375594057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189</v>
      </c>
      <c r="DM18" s="13">
        <f>VLOOKUP(A18,'Données projet'!$A$165:$I$185,9,0)</f>
        <v>12.6</v>
      </c>
      <c r="DN18" s="13">
        <f t="array" ref="DN18">INDEX(DM:DM,MIN(IF(ISNUMBER(DM18:DM214),ROW(DM18:DM214),"")))</f>
        <v>12.6</v>
      </c>
      <c r="DO18" s="13">
        <f>IF('Données projet'!$A$166&gt;35,DO17+DN18-DW17,IF(A18&lt;'Données projet'!$A$166,$DL$205^A18,IF(A18='Données projet'!$A$166,'Données projet'!$B$166,DO17+DN18-DW17)))</f>
        <v>189</v>
      </c>
      <c r="DP18" s="18">
        <f>DO18*VLOOKUP('Données projet'!$B$14,Paramètres!$A$1:$I$89,3,0)*VLOOKUP('Données projet'!$B$14,Paramètres!$A$1:$I$89,5,0)</f>
        <v>105.651</v>
      </c>
      <c r="DQ18" s="14">
        <f t="shared" si="43"/>
        <v>28.303933062831547</v>
      </c>
      <c r="DR18" s="22">
        <f t="shared" si="16"/>
        <v>233.30484175109825</v>
      </c>
      <c r="DS18" s="62">
        <f t="shared" si="17"/>
        <v>508.30484175109825</v>
      </c>
      <c r="DT18" s="62">
        <f ca="1">AVERAGE(OFFSET($DS$3,0,0,'Données projet'!$E$14+1,1))-AVERAGE(OFFSET($H$3,0,0,'Données projet'!$E$14+1,1))</f>
        <v>534.78683721545372</v>
      </c>
      <c r="DU18" s="62">
        <f t="shared" si="44"/>
        <v>710.59298755711075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14.5</v>
      </c>
      <c r="EJ18" s="13">
        <f>IF('Données projet'!$A$192&gt;35,EJ17+EI18-ER17,IF(A18&lt;'Données projet'!$A$192,$EG$205^A18,IF(A18='Données projet'!$A$192,'Données projet'!$B$192,EJ17+EI18-ER17)))</f>
        <v>102.5</v>
      </c>
      <c r="EK18" s="18">
        <f>EJ18*VLOOKUP('Données projet'!$B$15,Paramètres!$A$1:$I$89,3,0)*VLOOKUP('Données projet'!$B$15,Paramètres!$A$1:$I$89,5,0)</f>
        <v>61.295000000000002</v>
      </c>
      <c r="EL18" s="14">
        <f t="shared" si="45"/>
        <v>17.495277624872042</v>
      </c>
      <c r="EM18" s="22">
        <f t="shared" si="19"/>
        <v>137.22640019665215</v>
      </c>
      <c r="EN18" s="62">
        <f t="shared" si="20"/>
        <v>412.22640019665215</v>
      </c>
      <c r="EO18" s="62">
        <f ca="1">AVERAGE(OFFSET($EN$3,0,0,'Données projet'!$E$15+1,1))-AVERAGE(OFFSET($H$3,0,0,'Données projet'!$E$15+1,1))</f>
        <v>292.87204407272162</v>
      </c>
      <c r="EP18" s="62">
        <f t="shared" si="46"/>
        <v>326.06531673481805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4.95</v>
      </c>
      <c r="N19" s="14">
        <f>IF('Données projet'!$A$36&gt;35,N18+M19-V18,IF(A19&lt;'Données projet'!$A$36,$K$205^A19,IF(A19='Données projet'!$A$36,'Données projet'!$B$36,N18+M19-V18)))</f>
        <v>39.491911552175637</v>
      </c>
      <c r="O19" s="14">
        <f>N19*VLOOKUP('Données projet'!$B$9,Paramètres!$A$1:$I$89,3,0)*VLOOKUP('Données projet'!$B$9,Paramètres!$A$1:$I$89,5,0)</f>
        <v>28.955469550055177</v>
      </c>
      <c r="P19" s="14">
        <f t="shared" si="33"/>
        <v>9.0185607193620534</v>
      </c>
      <c r="Q19" s="22">
        <f t="shared" si="2"/>
        <v>66.138102719235007</v>
      </c>
      <c r="R19" s="62">
        <f t="shared" si="0"/>
        <v>342.36032494145724</v>
      </c>
      <c r="S19" s="62">
        <f ca="1">AVERAGE(OFFSET($R$3,0,0,'Données projet'!$E$9+1,1))-AVERAGE(OFFSET($H$3,0,0,'Données projet'!$E$9+1,1))</f>
        <v>451.25506262546861</v>
      </c>
      <c r="T19" s="62">
        <f t="shared" si="34"/>
        <v>534.19872447444368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</v>
      </c>
      <c r="AI19" s="14">
        <f>IF('Données projet'!$A$62&gt;35,AI18+AH19-AQ18,IF(A19&lt;'Données projet'!$A$62,$AF$205^A19,IF(A19='Données projet'!$A$62,'Données projet'!$B$62,AI18+AH19-AQ18)))</f>
        <v>46.6</v>
      </c>
      <c r="AJ19" s="14">
        <f>AI19*VLOOKUP('Données projet'!$B$10,Paramètres!$A$1:$I$89,3,0)*VLOOKUP('Données projet'!$B$10,Paramètres!$A$1:$I$89,5,0)</f>
        <v>36.347999999999999</v>
      </c>
      <c r="AK19" s="14">
        <f t="shared" si="35"/>
        <v>11.025356771848859</v>
      </c>
      <c r="AL19" s="22">
        <f t="shared" si="4"/>
        <v>82.508596377636763</v>
      </c>
      <c r="AM19" s="62">
        <f t="shared" si="5"/>
        <v>358.73081859985899</v>
      </c>
      <c r="AN19" s="62">
        <f ca="1">AVERAGE(OFFSET($AM$3,0,0,'Données projet'!$E$10+1,1))-AVERAGE(OFFSET($H$3,0,0,'Données projet'!$E$10+1,1))</f>
        <v>252.84702735189455</v>
      </c>
      <c r="AO19" s="62">
        <f t="shared" si="36"/>
        <v>283.48738729114024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46.6</v>
      </c>
      <c r="BE19" s="14">
        <f>BD19*VLOOKUP('Données projet'!$B$11,Paramètres!$A$1:$I$89,3,0)*VLOOKUP('Données projet'!$B$11,Paramètres!$A$1:$I$89,5,0)</f>
        <v>31.25928</v>
      </c>
      <c r="BF19" s="14">
        <f t="shared" si="37"/>
        <v>9.6497371409320873</v>
      </c>
      <c r="BG19" s="22">
        <f t="shared" si="7"/>
        <v>71.249871520456722</v>
      </c>
      <c r="BH19" s="62">
        <f t="shared" si="8"/>
        <v>347.47209374267896</v>
      </c>
      <c r="BI19" s="62">
        <f ca="1">AVERAGE(OFFSET($BH$3,0,0,'Données projet'!$E$11+1,1))-AVERAGE(OFFSET($H$3,0,0,'Données projet'!$E$11+1,1))</f>
        <v>221.98516361836096</v>
      </c>
      <c r="BJ19" s="62">
        <f t="shared" si="38"/>
        <v>249.72262393661117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46.6</v>
      </c>
      <c r="BZ19" s="14">
        <f>BY19*VLOOKUP('Données projet'!$B$12,Paramètres!$A$1:$I$89,3,0)*VLOOKUP('Données projet'!$B$12,Paramètres!$A$1:$I$89,5,0)</f>
        <v>37.074960000000004</v>
      </c>
      <c r="CA19" s="14">
        <f t="shared" si="39"/>
        <v>11.219971753147911</v>
      </c>
      <c r="CB19" s="22">
        <f t="shared" si="10"/>
        <v>84.113672803399282</v>
      </c>
      <c r="CC19" s="62">
        <f t="shared" si="11"/>
        <v>360.33589502562154</v>
      </c>
      <c r="CD19" s="62">
        <f ca="1">AVERAGE(OFFSET($CC$3,0,0,'Données projet'!$E$12+1,1))-AVERAGE(OFFSET($H$3,0,0,'Données projet'!$E$12+1,1))</f>
        <v>257.24784840892409</v>
      </c>
      <c r="CE19" s="62">
        <f t="shared" si="40"/>
        <v>288.30197520356643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7.9</v>
      </c>
      <c r="CT19" s="13">
        <f>IF('Données projet'!$A$140&gt;35,CT18+CS19-DB18,IF(A19&lt;'Données projet'!$A$140,$CQ$205^A19,IF(A19='Données projet'!$A$140,'Données projet'!$B$140,CT18+CS19-DB18)))</f>
        <v>57.401820934596167</v>
      </c>
      <c r="CU19" s="18">
        <f>CT19*VLOOKUP('Données projet'!$B$13,Paramètres!$A$1:$I$89,3,0)*VLOOKUP('Données projet'!$B$13,Paramètres!$A$1:$I$89,5,0)</f>
        <v>26.864052197391008</v>
      </c>
      <c r="CV19" s="14">
        <f t="shared" si="41"/>
        <v>8.4404970471001413</v>
      </c>
      <c r="CW19" s="22">
        <f t="shared" si="13"/>
        <v>61.488756600822086</v>
      </c>
      <c r="CX19" s="62">
        <f t="shared" si="14"/>
        <v>337.71097882304434</v>
      </c>
      <c r="CY19" s="62">
        <f ca="1">AVERAGE(OFFSET($CX$3,0,0,'Données projet'!$E$13+1,1))-AVERAGE(OFFSET($H$3,0,0,'Données projet'!$E$13+1,1))</f>
        <v>199.0086462069545</v>
      </c>
      <c r="CZ19" s="62">
        <f t="shared" si="42"/>
        <v>254.08208375594057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28.4</v>
      </c>
      <c r="DO19" s="13">
        <f>IF('Données projet'!$A$166&gt;35,DO18+DN19-DW18,IF(A19&lt;'Données projet'!$A$166,$DL$205^A19,IF(A19='Données projet'!$A$166,'Données projet'!$B$166,DO18+DN19-DW18)))</f>
        <v>217.4</v>
      </c>
      <c r="DP19" s="18">
        <f>DO19*VLOOKUP('Données projet'!$B$14,Paramètres!$A$1:$I$89,3,0)*VLOOKUP('Données projet'!$B$14,Paramètres!$A$1:$I$89,5,0)</f>
        <v>121.5266</v>
      </c>
      <c r="DQ19" s="14">
        <f t="shared" si="43"/>
        <v>32.030791291183803</v>
      </c>
      <c r="DR19" s="22">
        <f t="shared" si="16"/>
        <v>267.44578983214518</v>
      </c>
      <c r="DS19" s="62">
        <f t="shared" si="17"/>
        <v>543.66801205436741</v>
      </c>
      <c r="DT19" s="62">
        <f ca="1">AVERAGE(OFFSET($DS$3,0,0,'Données projet'!$E$14+1,1))-AVERAGE(OFFSET($H$3,0,0,'Données projet'!$E$14+1,1))</f>
        <v>534.78683721545372</v>
      </c>
      <c r="DU19" s="62">
        <f t="shared" si="44"/>
        <v>710.59298755711075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>
        <f>VLOOKUP(A19,'Données projet'!$A$191:$I$211,2,0)</f>
        <v>117</v>
      </c>
      <c r="EH19" s="13">
        <f>VLOOKUP(A19,'Données projet'!$A$191:$I$211,9,0)</f>
        <v>14.5</v>
      </c>
      <c r="EI19" s="13">
        <f t="array" ref="EI19">INDEX(EH:EH,MIN(IF(ISNUMBER(EH19:EH215),ROW(EH19:EH215),"")))</f>
        <v>14.5</v>
      </c>
      <c r="EJ19" s="13">
        <f>IF('Données projet'!$A$192&gt;35,EJ18+EI19-ER18,IF(A19&lt;'Données projet'!$A$192,$EG$205^A19,IF(A19='Données projet'!$A$192,'Données projet'!$B$192,EJ18+EI19-ER18)))</f>
        <v>117</v>
      </c>
      <c r="EK19" s="18">
        <f>EJ19*VLOOKUP('Données projet'!$B$15,Paramètres!$A$1:$I$89,3,0)*VLOOKUP('Données projet'!$B$15,Paramètres!$A$1:$I$89,5,0)</f>
        <v>69.966000000000008</v>
      </c>
      <c r="EL19" s="14">
        <f t="shared" si="45"/>
        <v>19.665013934342461</v>
      </c>
      <c r="EM19" s="22">
        <f t="shared" si="19"/>
        <v>156.10734926897979</v>
      </c>
      <c r="EN19" s="62">
        <f t="shared" si="20"/>
        <v>432.32957149120205</v>
      </c>
      <c r="EO19" s="62">
        <f ca="1">AVERAGE(OFFSET($EN$3,0,0,'Données projet'!$E$15+1,1))-AVERAGE(OFFSET($H$3,0,0,'Données projet'!$E$15+1,1))</f>
        <v>292.87204407272162</v>
      </c>
      <c r="EP19" s="62">
        <f t="shared" si="46"/>
        <v>326.06531673481805</v>
      </c>
      <c r="EQ19" s="16">
        <f>IF(ISNA(VLOOKUP(A19,'Données projet'!$A$191:$I$211,3,0)),0,VLOOKUP(A19,'Données projet'!$A$191:$I$211,3,0))</f>
        <v>2</v>
      </c>
      <c r="ER19" s="16">
        <f>IF(ISNA(VLOOKUP(A19,'Données projet'!$A$191:$I$211,4,0)),0,VLOOKUP(A19,'Données projet'!$A$191:$I$211,4,0))</f>
        <v>20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4.95</v>
      </c>
      <c r="N20" s="14">
        <f>IF('Données projet'!$A$36&gt;35,N19+M20-V19,IF(A20&lt;'Données projet'!$A$36,$K$205^A20,IF(A20='Données projet'!$A$36,'Données projet'!$B$36,N19+M20-V19)))</f>
        <v>49.692393475881296</v>
      </c>
      <c r="O20" s="14">
        <f>N20*VLOOKUP('Données projet'!$B$9,Paramètres!$A$1:$I$89,3,0)*VLOOKUP('Données projet'!$B$9,Paramètres!$A$1:$I$89,5,0)</f>
        <v>36.434462896516166</v>
      </c>
      <c r="P20" s="14">
        <f t="shared" si="33"/>
        <v>11.048527385924428</v>
      </c>
      <c r="Q20" s="22">
        <f t="shared" si="2"/>
        <v>82.699541408584039</v>
      </c>
      <c r="R20" s="62">
        <f t="shared" si="0"/>
        <v>360.14398585302848</v>
      </c>
      <c r="S20" s="62">
        <f ca="1">AVERAGE(OFFSET($R$3,0,0,'Données projet'!$E$9+1,1))-AVERAGE(OFFSET($H$3,0,0,'Données projet'!$E$9+1,1))</f>
        <v>451.25506262546861</v>
      </c>
      <c r="T20" s="62">
        <f t="shared" si="34"/>
        <v>534.19872447444368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</v>
      </c>
      <c r="AI20" s="14">
        <f>IF('Données projet'!$A$62&gt;35,AI19+AH20-AQ19,IF(A20&lt;'Données projet'!$A$62,$AF$205^A20,IF(A20='Données projet'!$A$62,'Données projet'!$B$62,AI19+AH20-AQ19)))</f>
        <v>56.2</v>
      </c>
      <c r="AJ20" s="14">
        <f>AI20*VLOOKUP('Données projet'!$B$10,Paramètres!$A$1:$I$89,3,0)*VLOOKUP('Données projet'!$B$10,Paramètres!$A$1:$I$89,5,0)</f>
        <v>43.836000000000006</v>
      </c>
      <c r="AK20" s="14">
        <f t="shared" si="35"/>
        <v>13.009897179721728</v>
      </c>
      <c r="AL20" s="22">
        <f t="shared" si="4"/>
        <v>99.006604254682017</v>
      </c>
      <c r="AM20" s="62">
        <f t="shared" si="5"/>
        <v>376.45104869912649</v>
      </c>
      <c r="AN20" s="62">
        <f ca="1">AVERAGE(OFFSET($AM$3,0,0,'Données projet'!$E$10+1,1))-AVERAGE(OFFSET($H$3,0,0,'Données projet'!$E$10+1,1))</f>
        <v>252.84702735189455</v>
      </c>
      <c r="AO20" s="62">
        <f t="shared" si="36"/>
        <v>283.48738729114024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56.2</v>
      </c>
      <c r="BE20" s="14">
        <f>BD20*VLOOKUP('Données projet'!$B$11,Paramètres!$A$1:$I$89,3,0)*VLOOKUP('Données projet'!$B$11,Paramètres!$A$1:$I$89,5,0)</f>
        <v>37.69896</v>
      </c>
      <c r="BF20" s="14">
        <f t="shared" si="37"/>
        <v>11.38666898611536</v>
      </c>
      <c r="BG20" s="22">
        <f t="shared" si="7"/>
        <v>85.490803817484263</v>
      </c>
      <c r="BH20" s="62">
        <f t="shared" si="8"/>
        <v>362.93524826192873</v>
      </c>
      <c r="BI20" s="62">
        <f ca="1">AVERAGE(OFFSET($BH$3,0,0,'Données projet'!$E$11+1,1))-AVERAGE(OFFSET($H$3,0,0,'Données projet'!$E$11+1,1))</f>
        <v>221.98516361836096</v>
      </c>
      <c r="BJ20" s="62">
        <f t="shared" si="38"/>
        <v>249.72262393661117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56.2</v>
      </c>
      <c r="BZ20" s="14">
        <f>BY20*VLOOKUP('Données projet'!$B$12,Paramètres!$A$1:$I$89,3,0)*VLOOKUP('Données projet'!$B$12,Paramètres!$A$1:$I$89,5,0)</f>
        <v>44.712720000000004</v>
      </c>
      <c r="CA20" s="14">
        <f t="shared" si="39"/>
        <v>13.23954243735175</v>
      </c>
      <c r="CB20" s="22">
        <f t="shared" si="10"/>
        <v>100.9335237450543</v>
      </c>
      <c r="CC20" s="62">
        <f t="shared" si="11"/>
        <v>378.37796818949874</v>
      </c>
      <c r="CD20" s="62">
        <f ca="1">AVERAGE(OFFSET($CC$3,0,0,'Données projet'!$E$12+1,1))-AVERAGE(OFFSET($H$3,0,0,'Données projet'!$E$12+1,1))</f>
        <v>257.24784840892409</v>
      </c>
      <c r="CE20" s="62">
        <f t="shared" si="40"/>
        <v>288.30197520356643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7.9</v>
      </c>
      <c r="CT20" s="13">
        <f>IF('Données projet'!$A$140&gt;35,CT19+CS20-DB19,IF(A20&lt;'Données projet'!$A$140,$CQ$205^A20,IF(A20='Données projet'!$A$140,'Données projet'!$B$140,CT19+CS20-DB19)))</f>
        <v>73.936437994095741</v>
      </c>
      <c r="CU20" s="18">
        <f>CT20*VLOOKUP('Données projet'!$B$13,Paramètres!$A$1:$I$89,3,0)*VLOOKUP('Données projet'!$B$13,Paramètres!$A$1:$I$89,5,0)</f>
        <v>34.602252981236802</v>
      </c>
      <c r="CV20" s="14">
        <f t="shared" si="41"/>
        <v>10.556129086190376</v>
      </c>
      <c r="CW20" s="22">
        <f t="shared" si="13"/>
        <v>78.650848767435647</v>
      </c>
      <c r="CX20" s="62">
        <f t="shared" si="14"/>
        <v>356.09529321188012</v>
      </c>
      <c r="CY20" s="62">
        <f ca="1">AVERAGE(OFFSET($CX$3,0,0,'Données projet'!$E$13+1,1))-AVERAGE(OFFSET($H$3,0,0,'Données projet'!$E$13+1,1))</f>
        <v>199.0086462069545</v>
      </c>
      <c r="CZ20" s="62">
        <f t="shared" si="42"/>
        <v>254.08208375594057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28.4</v>
      </c>
      <c r="DO20" s="13">
        <f>IF('Données projet'!$A$166&gt;35,DO19+DN20-DW19,IF(A20&lt;'Données projet'!$A$166,$DL$205^A20,IF(A20='Données projet'!$A$166,'Données projet'!$B$166,DO19+DN20-DW19)))</f>
        <v>245.8</v>
      </c>
      <c r="DP20" s="18">
        <f>DO20*VLOOKUP('Données projet'!$B$14,Paramètres!$A$1:$I$89,3,0)*VLOOKUP('Données projet'!$B$14,Paramètres!$A$1:$I$89,5,0)</f>
        <v>137.40220000000002</v>
      </c>
      <c r="DQ20" s="14">
        <f t="shared" si="43"/>
        <v>35.701238817612946</v>
      </c>
      <c r="DR20" s="22">
        <f t="shared" si="16"/>
        <v>301.48848927400928</v>
      </c>
      <c r="DS20" s="62">
        <f t="shared" si="17"/>
        <v>578.9329337184538</v>
      </c>
      <c r="DT20" s="62">
        <f ca="1">AVERAGE(OFFSET($DS$3,0,0,'Données projet'!$E$14+1,1))-AVERAGE(OFFSET($H$3,0,0,'Données projet'!$E$14+1,1))</f>
        <v>534.78683721545372</v>
      </c>
      <c r="DU20" s="62">
        <f t="shared" si="44"/>
        <v>710.59298755711075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16.25</v>
      </c>
      <c r="EJ20" s="13">
        <f>IF('Données projet'!$A$192&gt;35,EJ19+EI20-ER19,IF(A20&lt;'Données projet'!$A$192,$EG$205^A20,IF(A20='Données projet'!$A$192,'Données projet'!$B$192,EJ19+EI20-ER19)))</f>
        <v>113.25</v>
      </c>
      <c r="EK20" s="18">
        <f>EJ20*VLOOKUP('Données projet'!$B$15,Paramètres!$A$1:$I$89,3,0)*VLOOKUP('Données projet'!$B$15,Paramètres!$A$1:$I$89,5,0)</f>
        <v>67.723500000000001</v>
      </c>
      <c r="EL20" s="14">
        <f t="shared" si="45"/>
        <v>19.107039173519123</v>
      </c>
      <c r="EM20" s="22">
        <f t="shared" si="19"/>
        <v>151.22985572721248</v>
      </c>
      <c r="EN20" s="62">
        <f t="shared" si="20"/>
        <v>428.67430017165691</v>
      </c>
      <c r="EO20" s="62">
        <f ca="1">AVERAGE(OFFSET($EN$3,0,0,'Données projet'!$E$15+1,1))-AVERAGE(OFFSET($H$3,0,0,'Données projet'!$E$15+1,1))</f>
        <v>292.87204407272162</v>
      </c>
      <c r="EP20" s="62">
        <f t="shared" si="46"/>
        <v>326.06531673481805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4.95</v>
      </c>
      <c r="N21" s="14">
        <f>IF('Données projet'!$A$36&gt;35,N20+M21-V20,IF(A21&lt;'Données projet'!$A$36,$K$205^A21,IF(A21='Données projet'!$A$36,'Données projet'!$B$36,N20+M21-V20)))</f>
        <v>62.52758786060263</v>
      </c>
      <c r="O21" s="14">
        <f>N21*VLOOKUP('Données projet'!$B$9,Paramètres!$A$1:$I$89,3,0)*VLOOKUP('Données projet'!$B$9,Paramètres!$A$1:$I$89,5,0)</f>
        <v>45.845227419393851</v>
      </c>
      <c r="P21" s="14">
        <f t="shared" si="33"/>
        <v>13.535414485312348</v>
      </c>
      <c r="Q21" s="22">
        <f t="shared" si="2"/>
        <v>103.42128465069662</v>
      </c>
      <c r="R21" s="62">
        <f t="shared" si="0"/>
        <v>382.08795131736332</v>
      </c>
      <c r="S21" s="62">
        <f ca="1">AVERAGE(OFFSET($R$3,0,0,'Données projet'!$E$9+1,1))-AVERAGE(OFFSET($H$3,0,0,'Données projet'!$E$9+1,1))</f>
        <v>451.25506262546861</v>
      </c>
      <c r="T21" s="62">
        <f t="shared" si="34"/>
        <v>534.19872447444368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</v>
      </c>
      <c r="AI21" s="14">
        <f>IF('Données projet'!$A$62&gt;35,AI20+AH21-AQ20,IF(A21&lt;'Données projet'!$A$62,$AF$205^A21,IF(A21='Données projet'!$A$62,'Données projet'!$B$62,AI20+AH21-AQ20)))</f>
        <v>65.8</v>
      </c>
      <c r="AJ21" s="14">
        <f>AI21*VLOOKUP('Données projet'!$B$10,Paramètres!$A$1:$I$89,3,0)*VLOOKUP('Données projet'!$B$10,Paramètres!$A$1:$I$89,5,0)</f>
        <v>51.323999999999998</v>
      </c>
      <c r="AK21" s="14">
        <f t="shared" si="35"/>
        <v>14.95516659950003</v>
      </c>
      <c r="AL21" s="22">
        <f t="shared" si="4"/>
        <v>115.43621516079588</v>
      </c>
      <c r="AM21" s="62">
        <f t="shared" si="5"/>
        <v>394.10288182746257</v>
      </c>
      <c r="AN21" s="62">
        <f ca="1">AVERAGE(OFFSET($AM$3,0,0,'Données projet'!$E$10+1,1))-AVERAGE(OFFSET($H$3,0,0,'Données projet'!$E$10+1,1))</f>
        <v>252.84702735189455</v>
      </c>
      <c r="AO21" s="62">
        <f t="shared" si="36"/>
        <v>283.48738729114024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65.8</v>
      </c>
      <c r="BE21" s="14">
        <f>BD21*VLOOKUP('Données projet'!$B$11,Paramètres!$A$1:$I$89,3,0)*VLOOKUP('Données projet'!$B$11,Paramètres!$A$1:$I$89,5,0)</f>
        <v>44.138639999999995</v>
      </c>
      <c r="BF21" s="14">
        <f t="shared" si="37"/>
        <v>13.089229634046784</v>
      </c>
      <c r="BG21" s="22">
        <f t="shared" si="7"/>
        <v>99.671872945964807</v>
      </c>
      <c r="BH21" s="62">
        <f t="shared" si="8"/>
        <v>378.33853961263151</v>
      </c>
      <c r="BI21" s="62">
        <f ca="1">AVERAGE(OFFSET($BH$3,0,0,'Données projet'!$E$11+1,1))-AVERAGE(OFFSET($H$3,0,0,'Données projet'!$E$11+1,1))</f>
        <v>221.98516361836096</v>
      </c>
      <c r="BJ21" s="62">
        <f t="shared" si="38"/>
        <v>249.72262393661117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65.8</v>
      </c>
      <c r="BZ21" s="14">
        <f>BY21*VLOOKUP('Données projet'!$B$12,Paramètres!$A$1:$I$89,3,0)*VLOOKUP('Données projet'!$B$12,Paramètres!$A$1:$I$89,5,0)</f>
        <v>52.350480000000005</v>
      </c>
      <c r="CA21" s="14">
        <f t="shared" si="39"/>
        <v>15.219148938422377</v>
      </c>
      <c r="CB21" s="22">
        <f t="shared" si="10"/>
        <v>117.68377040108562</v>
      </c>
      <c r="CC21" s="62">
        <f t="shared" si="11"/>
        <v>396.3504370677523</v>
      </c>
      <c r="CD21" s="62">
        <f ca="1">AVERAGE(OFFSET($CC$3,0,0,'Données projet'!$E$12+1,1))-AVERAGE(OFFSET($H$3,0,0,'Données projet'!$E$12+1,1))</f>
        <v>257.24784840892409</v>
      </c>
      <c r="CE21" s="62">
        <f t="shared" si="40"/>
        <v>288.30197520356643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7.9</v>
      </c>
      <c r="CT21" s="13">
        <f>IF('Données projet'!$A$140&gt;35,CT20+CS21-DB20,IF(A21&lt;'Données projet'!$A$140,$CQ$205^A21,IF(A21='Données projet'!$A$140,'Données projet'!$B$140,CT20+CS21-DB20)))</f>
        <v>95.233857990035276</v>
      </c>
      <c r="CU21" s="18">
        <f>CT21*VLOOKUP('Données projet'!$B$13,Paramètres!$A$1:$I$89,3,0)*VLOOKUP('Données projet'!$B$13,Paramètres!$A$1:$I$89,5,0)</f>
        <v>44.569445539336513</v>
      </c>
      <c r="CV21" s="14">
        <f t="shared" si="41"/>
        <v>13.202049673437019</v>
      </c>
      <c r="CW21" s="22">
        <f t="shared" si="13"/>
        <v>100.61868749558056</v>
      </c>
      <c r="CX21" s="62">
        <f t="shared" si="14"/>
        <v>379.28535416224724</v>
      </c>
      <c r="CY21" s="62">
        <f ca="1">AVERAGE(OFFSET($CX$3,0,0,'Données projet'!$E$13+1,1))-AVERAGE(OFFSET($H$3,0,0,'Données projet'!$E$13+1,1))</f>
        <v>199.0086462069545</v>
      </c>
      <c r="CZ21" s="62">
        <f t="shared" si="42"/>
        <v>254.08208375594057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28.4</v>
      </c>
      <c r="DO21" s="13">
        <f>IF('Données projet'!$A$166&gt;35,DO20+DN21-DW20,IF(A21&lt;'Données projet'!$A$166,$DL$205^A21,IF(A21='Données projet'!$A$166,'Données projet'!$B$166,DO20+DN21-DW20)))</f>
        <v>274.2</v>
      </c>
      <c r="DP21" s="18">
        <f>DO21*VLOOKUP('Données projet'!$B$14,Paramètres!$A$1:$I$89,3,0)*VLOOKUP('Données projet'!$B$14,Paramètres!$A$1:$I$89,5,0)</f>
        <v>153.27779999999998</v>
      </c>
      <c r="DQ21" s="14">
        <f t="shared" si="43"/>
        <v>39.32253770530393</v>
      </c>
      <c r="DR21" s="22">
        <f t="shared" si="16"/>
        <v>335.44558817007095</v>
      </c>
      <c r="DS21" s="62">
        <f t="shared" si="17"/>
        <v>614.11225483673763</v>
      </c>
      <c r="DT21" s="62">
        <f ca="1">AVERAGE(OFFSET($DS$3,0,0,'Données projet'!$E$14+1,1))-AVERAGE(OFFSET($H$3,0,0,'Données projet'!$E$14+1,1))</f>
        <v>534.78683721545372</v>
      </c>
      <c r="DU21" s="62">
        <f t="shared" si="44"/>
        <v>710.59298755711075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16.25</v>
      </c>
      <c r="EJ21" s="13">
        <f>IF('Données projet'!$A$192&gt;35,EJ20+EI21-ER20,IF(A21&lt;'Données projet'!$A$192,$EG$205^A21,IF(A21='Données projet'!$A$192,'Données projet'!$B$192,EJ20+EI21-ER20)))</f>
        <v>129.5</v>
      </c>
      <c r="EK21" s="18">
        <f>EJ21*VLOOKUP('Données projet'!$B$15,Paramètres!$A$1:$I$89,3,0)*VLOOKUP('Données projet'!$B$15,Paramètres!$A$1:$I$89,5,0)</f>
        <v>77.441000000000003</v>
      </c>
      <c r="EL21" s="14">
        <f t="shared" si="45"/>
        <v>21.51031639243222</v>
      </c>
      <c r="EM21" s="22">
        <f t="shared" si="19"/>
        <v>172.3402093834861</v>
      </c>
      <c r="EN21" s="62">
        <f t="shared" si="20"/>
        <v>451.00687605015275</v>
      </c>
      <c r="EO21" s="62">
        <f ca="1">AVERAGE(OFFSET($EN$3,0,0,'Données projet'!$E$15+1,1))-AVERAGE(OFFSET($H$3,0,0,'Données projet'!$E$15+1,1))</f>
        <v>292.87204407272162</v>
      </c>
      <c r="EP21" s="62">
        <f t="shared" si="46"/>
        <v>326.06531673481805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4.95</v>
      </c>
      <c r="N22" s="14">
        <f>IF('Données projet'!$A$36&gt;35,N21+M22-V21,IF(A22&lt;'Données projet'!$A$36,$K$205^A22,IF(A22='Données projet'!$A$36,'Données projet'!$B$36,N21+M22-V21)))</f>
        <v>78.678022332794114</v>
      </c>
      <c r="O22" s="14">
        <f>N22*VLOOKUP('Données projet'!$B$9,Paramètres!$A$1:$I$89,3,0)*VLOOKUP('Données projet'!$B$9,Paramètres!$A$1:$I$89,5,0)</f>
        <v>57.686725974404638</v>
      </c>
      <c r="P22" s="14">
        <f t="shared" si="33"/>
        <v>16.582069165398948</v>
      </c>
      <c r="Q22" s="22">
        <f t="shared" si="2"/>
        <v>129.35148486849124</v>
      </c>
      <c r="R22" s="62">
        <f t="shared" si="0"/>
        <v>409.2403737573801</v>
      </c>
      <c r="S22" s="62">
        <f ca="1">AVERAGE(OFFSET($R$3,0,0,'Données projet'!$E$9+1,1))-AVERAGE(OFFSET($H$3,0,0,'Données projet'!$E$9+1,1))</f>
        <v>451.25506262546861</v>
      </c>
      <c r="T22" s="62">
        <f t="shared" si="34"/>
        <v>534.19872447444368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</v>
      </c>
      <c r="AI22" s="14">
        <f>IF('Données projet'!$A$62&gt;35,AI21+AH22-AQ21,IF(A22&lt;'Données projet'!$A$62,$AF$205^A22,IF(A22='Données projet'!$A$62,'Données projet'!$B$62,AI21+AH22-AQ21)))</f>
        <v>75.399999999999991</v>
      </c>
      <c r="AJ22" s="14">
        <f>AI22*VLOOKUP('Données projet'!$B$10,Paramètres!$A$1:$I$89,3,0)*VLOOKUP('Données projet'!$B$10,Paramètres!$A$1:$I$89,5,0)</f>
        <v>58.811999999999998</v>
      </c>
      <c r="AK22" s="14">
        <f t="shared" si="35"/>
        <v>16.86755663452599</v>
      </c>
      <c r="AL22" s="22">
        <f t="shared" si="4"/>
        <v>131.8085611384661</v>
      </c>
      <c r="AM22" s="62">
        <f t="shared" si="5"/>
        <v>411.69745002735499</v>
      </c>
      <c r="AN22" s="62">
        <f ca="1">AVERAGE(OFFSET($AM$3,0,0,'Données projet'!$E$10+1,1))-AVERAGE(OFFSET($H$3,0,0,'Données projet'!$E$10+1,1))</f>
        <v>252.84702735189455</v>
      </c>
      <c r="AO22" s="62">
        <f t="shared" si="36"/>
        <v>283.48738729114024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75.399999999999991</v>
      </c>
      <c r="BE22" s="14">
        <f>BD22*VLOOKUP('Données projet'!$B$11,Paramètres!$A$1:$I$89,3,0)*VLOOKUP('Données projet'!$B$11,Paramètres!$A$1:$I$89,5,0)</f>
        <v>50.578319999999998</v>
      </c>
      <c r="BF22" s="14">
        <f t="shared" si="37"/>
        <v>14.763013215913022</v>
      </c>
      <c r="BG22" s="22">
        <f t="shared" si="7"/>
        <v>113.80282201771517</v>
      </c>
      <c r="BH22" s="62">
        <f t="shared" si="8"/>
        <v>393.69171090660404</v>
      </c>
      <c r="BI22" s="62">
        <f ca="1">AVERAGE(OFFSET($BH$3,0,0,'Données projet'!$E$11+1,1))-AVERAGE(OFFSET($H$3,0,0,'Données projet'!$E$11+1,1))</f>
        <v>221.98516361836096</v>
      </c>
      <c r="BJ22" s="62">
        <f t="shared" si="38"/>
        <v>249.72262393661117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75.399999999999991</v>
      </c>
      <c r="BZ22" s="14">
        <f>BY22*VLOOKUP('Données projet'!$B$12,Paramètres!$A$1:$I$89,3,0)*VLOOKUP('Données projet'!$B$12,Paramètres!$A$1:$I$89,5,0)</f>
        <v>59.98823999999999</v>
      </c>
      <c r="CA22" s="14">
        <f t="shared" si="39"/>
        <v>17.165295681607951</v>
      </c>
      <c r="CB22" s="22">
        <f t="shared" si="10"/>
        <v>134.37574131213381</v>
      </c>
      <c r="CC22" s="62">
        <f t="shared" si="11"/>
        <v>414.26463020102267</v>
      </c>
      <c r="CD22" s="62">
        <f ca="1">AVERAGE(OFFSET($CC$3,0,0,'Données projet'!$E$12+1,1))-AVERAGE(OFFSET($H$3,0,0,'Données projet'!$E$12+1,1))</f>
        <v>257.24784840892409</v>
      </c>
      <c r="CE22" s="62">
        <f t="shared" si="40"/>
        <v>288.30197520356643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7.9</v>
      </c>
      <c r="CT22" s="13">
        <f>IF('Données projet'!$A$140&gt;35,CT21+CS22-DB21,IF(A22&lt;'Données projet'!$A$140,$CQ$205^A22,IF(A22='Données projet'!$A$140,'Données projet'!$B$140,CT21+CS22-DB21)))</f>
        <v>122.66600817840934</v>
      </c>
      <c r="CU22" s="18">
        <f>CT22*VLOOKUP('Données projet'!$B$13,Paramètres!$A$1:$I$89,3,0)*VLOOKUP('Données projet'!$B$13,Paramètres!$A$1:$I$89,5,0)</f>
        <v>57.407691827495569</v>
      </c>
      <c r="CV22" s="14">
        <f t="shared" si="41"/>
        <v>16.511176981334152</v>
      </c>
      <c r="CW22" s="22">
        <f t="shared" si="13"/>
        <v>128.7420298420451</v>
      </c>
      <c r="CX22" s="62">
        <f t="shared" si="14"/>
        <v>408.63091873093396</v>
      </c>
      <c r="CY22" s="62">
        <f ca="1">AVERAGE(OFFSET($CX$3,0,0,'Données projet'!$E$13+1,1))-AVERAGE(OFFSET($H$3,0,0,'Données projet'!$E$13+1,1))</f>
        <v>199.0086462069545</v>
      </c>
      <c r="CZ22" s="62">
        <f t="shared" si="42"/>
        <v>254.08208375594057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28.4</v>
      </c>
      <c r="DO22" s="13">
        <f>IF('Données projet'!$A$166&gt;35,DO21+DN22-DW21,IF(A22&lt;'Données projet'!$A$166,$DL$205^A22,IF(A22='Données projet'!$A$166,'Données projet'!$B$166,DO21+DN22-DW21)))</f>
        <v>302.59999999999997</v>
      </c>
      <c r="DP22" s="18">
        <f>DO22*VLOOKUP('Données projet'!$B$14,Paramètres!$A$1:$I$89,3,0)*VLOOKUP('Données projet'!$B$14,Paramètres!$A$1:$I$89,5,0)</f>
        <v>169.1534</v>
      </c>
      <c r="DQ22" s="14">
        <f t="shared" si="43"/>
        <v>42.900358290021551</v>
      </c>
      <c r="DR22" s="22">
        <f t="shared" si="16"/>
        <v>369.32696235512088</v>
      </c>
      <c r="DS22" s="62">
        <f t="shared" si="17"/>
        <v>649.21585124400974</v>
      </c>
      <c r="DT22" s="62">
        <f ca="1">AVERAGE(OFFSET($DS$3,0,0,'Données projet'!$E$14+1,1))-AVERAGE(OFFSET($H$3,0,0,'Données projet'!$E$14+1,1))</f>
        <v>534.78683721545372</v>
      </c>
      <c r="DU22" s="62">
        <f t="shared" si="44"/>
        <v>710.59298755711075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16.25</v>
      </c>
      <c r="EJ22" s="13">
        <f>IF('Données projet'!$A$192&gt;35,EJ21+EI22-ER21,IF(A22&lt;'Données projet'!$A$192,$EG$205^A22,IF(A22='Données projet'!$A$192,'Données projet'!$B$192,EJ21+EI22-ER21)))</f>
        <v>145.75</v>
      </c>
      <c r="EK22" s="18">
        <f>EJ22*VLOOKUP('Données projet'!$B$15,Paramètres!$A$1:$I$89,3,0)*VLOOKUP('Données projet'!$B$15,Paramètres!$A$1:$I$89,5,0)</f>
        <v>87.158500000000004</v>
      </c>
      <c r="EL22" s="14">
        <f t="shared" si="45"/>
        <v>23.878649326451789</v>
      </c>
      <c r="EM22" s="22">
        <f t="shared" si="19"/>
        <v>193.38970174357021</v>
      </c>
      <c r="EN22" s="62">
        <f t="shared" si="20"/>
        <v>473.2785906324591</v>
      </c>
      <c r="EO22" s="62">
        <f ca="1">AVERAGE(OFFSET($EN$3,0,0,'Données projet'!$E$15+1,1))-AVERAGE(OFFSET($H$3,0,0,'Données projet'!$E$15+1,1))</f>
        <v>292.87204407272162</v>
      </c>
      <c r="EP22" s="62">
        <f t="shared" si="46"/>
        <v>326.06531673481805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99</v>
      </c>
      <c r="L23" s="13">
        <f>VLOOKUP(A23,'Données projet'!$A$35:$I$55,9,0)</f>
        <v>4.95</v>
      </c>
      <c r="M23" s="13">
        <f t="array" ref="M23">INDEX(L:L,MIN(IF(ISNUMBER(L23:L219),ROW(L23:L219),"")))</f>
        <v>4.95</v>
      </c>
      <c r="N23" s="14">
        <f>IF('Données projet'!$A$36&gt;35,N22+M23-V22,IF(A23&lt;'Données projet'!$A$36,$K$205^A23,IF(A23='Données projet'!$A$36,'Données projet'!$B$36,N22+M23-V22)))</f>
        <v>99</v>
      </c>
      <c r="O23" s="14">
        <f>N23*VLOOKUP('Données projet'!$B$9,Paramètres!$A$1:$I$89,3,0)*VLOOKUP('Données projet'!$B$9,Paramètres!$A$1:$I$89,5,0)</f>
        <v>72.586799999999997</v>
      </c>
      <c r="P23" s="14">
        <f t="shared" si="33"/>
        <v>20.314488197199065</v>
      </c>
      <c r="Q23" s="22">
        <f t="shared" si="2"/>
        <v>161.80307694345504</v>
      </c>
      <c r="R23" s="62">
        <f t="shared" si="0"/>
        <v>442.91418805456618</v>
      </c>
      <c r="S23" s="62">
        <f ca="1">AVERAGE(OFFSET($R$3,0,0,'Données projet'!$E$9+1,1))-AVERAGE(OFFSET($H$3,0,0,'Données projet'!$E$9+1,1))</f>
        <v>451.25506262546861</v>
      </c>
      <c r="T23" s="62">
        <f t="shared" si="34"/>
        <v>534.19872447444368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15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85</v>
      </c>
      <c r="AG23" s="13">
        <f>VLOOKUP(A23,'Données projet'!$A$61:$I$81,9,0)</f>
        <v>9.6</v>
      </c>
      <c r="AH23" s="13">
        <f t="array" ref="AH23">INDEX(AG:AG,MIN(IF(ISNUMBER(AG23:AG219),ROW(AG23:AG219),"")))</f>
        <v>9.6</v>
      </c>
      <c r="AI23" s="14">
        <f>IF('Données projet'!$A$62&gt;35,AI22+AH23-AQ22,IF(A23&lt;'Données projet'!$A$62,$AF$205^A23,IF(A23='Données projet'!$A$62,'Données projet'!$B$62,AI22+AH23-AQ22)))</f>
        <v>84.999999999999986</v>
      </c>
      <c r="AJ23" s="14">
        <f>AI23*VLOOKUP('Données projet'!$B$10,Paramètres!$A$1:$I$89,3,0)*VLOOKUP('Données projet'!$B$10,Paramètres!$A$1:$I$89,5,0)</f>
        <v>66.3</v>
      </c>
      <c r="AK23" s="14">
        <f t="shared" si="35"/>
        <v>18.751733344032118</v>
      </c>
      <c r="AL23" s="22">
        <f t="shared" si="4"/>
        <v>148.13176890752257</v>
      </c>
      <c r="AM23" s="62">
        <f t="shared" si="5"/>
        <v>429.24288001863374</v>
      </c>
      <c r="AN23" s="62">
        <f ca="1">AVERAGE(OFFSET($AM$3,0,0,'Données projet'!$E$10+1,1))-AVERAGE(OFFSET($H$3,0,0,'Données projet'!$E$10+1,1))</f>
        <v>252.84702735189455</v>
      </c>
      <c r="AO23" s="62">
        <f t="shared" si="36"/>
        <v>283.48738729114024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25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85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84.999999999999986</v>
      </c>
      <c r="BE23" s="14">
        <f>BD23*VLOOKUP('Données projet'!$B$11,Paramètres!$A$1:$I$89,3,0)*VLOOKUP('Données projet'!$B$11,Paramètres!$A$1:$I$89,5,0)</f>
        <v>57.017999999999986</v>
      </c>
      <c r="BF23" s="14">
        <f t="shared" si="37"/>
        <v>16.412103612717626</v>
      </c>
      <c r="BG23" s="22">
        <f t="shared" si="7"/>
        <v>127.89076379214983</v>
      </c>
      <c r="BH23" s="62">
        <f t="shared" si="8"/>
        <v>409.00187490326095</v>
      </c>
      <c r="BI23" s="62">
        <f ca="1">AVERAGE(OFFSET($BH$3,0,0,'Données projet'!$E$11+1,1))-AVERAGE(OFFSET($H$3,0,0,'Données projet'!$E$11+1,1))</f>
        <v>221.98516361836096</v>
      </c>
      <c r="BJ23" s="62">
        <f t="shared" si="38"/>
        <v>249.72262393661117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85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84.999999999999986</v>
      </c>
      <c r="BZ23" s="14">
        <f>BY23*VLOOKUP('Données projet'!$B$12,Paramètres!$A$1:$I$89,3,0)*VLOOKUP('Données projet'!$B$12,Paramètres!$A$1:$I$89,5,0)</f>
        <v>67.625999999999991</v>
      </c>
      <c r="CA23" s="14">
        <f t="shared" si="39"/>
        <v>19.082731089464875</v>
      </c>
      <c r="CB23" s="22">
        <f t="shared" si="10"/>
        <v>151.01770664748463</v>
      </c>
      <c r="CC23" s="62">
        <f t="shared" si="11"/>
        <v>432.1288177585958</v>
      </c>
      <c r="CD23" s="62">
        <f ca="1">AVERAGE(OFFSET($CC$3,0,0,'Données projet'!$E$12+1,1))-AVERAGE(OFFSET($H$3,0,0,'Données projet'!$E$12+1,1))</f>
        <v>257.24784840892409</v>
      </c>
      <c r="CE23" s="62">
        <f t="shared" si="40"/>
        <v>288.30197520356643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25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158</v>
      </c>
      <c r="CR23" s="13">
        <f>VLOOKUP(A23,'Données projet'!$A$139:$I$159,9,0)</f>
        <v>7.9</v>
      </c>
      <c r="CS23" s="13">
        <f t="array" ref="CS23">INDEX(CR:CR,MIN(IF(ISNUMBER(CR23:CR219),ROW(CR23:CR219),"")))</f>
        <v>7.9</v>
      </c>
      <c r="CT23" s="13">
        <f>IF('Données projet'!$A$140&gt;35,CT22+CS23-DB22,IF(A23&lt;'Données projet'!$A$140,$CQ$205^A23,IF(A23='Données projet'!$A$140,'Données projet'!$B$140,CT22+CS23-DB22)))</f>
        <v>158</v>
      </c>
      <c r="CU23" s="18">
        <f>CT23*VLOOKUP('Données projet'!$B$13,Paramètres!$A$1:$I$89,3,0)*VLOOKUP('Données projet'!$B$13,Paramètres!$A$1:$I$89,5,0)</f>
        <v>73.944000000000003</v>
      </c>
      <c r="CV23" s="14">
        <f t="shared" si="41"/>
        <v>20.649745460165708</v>
      </c>
      <c r="CW23" s="22">
        <f t="shared" si="13"/>
        <v>164.75077334312192</v>
      </c>
      <c r="CX23" s="62">
        <f t="shared" si="14"/>
        <v>445.86188445423306</v>
      </c>
      <c r="CY23" s="62">
        <f ca="1">AVERAGE(OFFSET($CX$3,0,0,'Données projet'!$E$13+1,1))-AVERAGE(OFFSET($H$3,0,0,'Données projet'!$E$13+1,1))</f>
        <v>199.0086462069545</v>
      </c>
      <c r="CZ23" s="62">
        <f t="shared" si="42"/>
        <v>254.08208375594057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39.5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331</v>
      </c>
      <c r="DM23" s="13">
        <f>VLOOKUP(A23,'Données projet'!$A$165:$I$185,9,0)</f>
        <v>28.4</v>
      </c>
      <c r="DN23" s="13">
        <f t="array" ref="DN23">INDEX(DM:DM,MIN(IF(ISNUMBER(DM23:DM219),ROW(DM23:DM219),"")))</f>
        <v>28.4</v>
      </c>
      <c r="DO23" s="13">
        <f>IF('Données projet'!$A$166&gt;35,DO22+DN23-DW22,IF(A23&lt;'Données projet'!$A$166,$DL$205^A23,IF(A23='Données projet'!$A$166,'Données projet'!$B$166,DO22+DN23-DW22)))</f>
        <v>330.99999999999994</v>
      </c>
      <c r="DP23" s="18">
        <f>DO23*VLOOKUP('Données projet'!$B$14,Paramètres!$A$1:$I$89,3,0)*VLOOKUP('Données projet'!$B$14,Paramètres!$A$1:$I$89,5,0)</f>
        <v>185.029</v>
      </c>
      <c r="DQ23" s="14">
        <f t="shared" si="43"/>
        <v>46.439245338703373</v>
      </c>
      <c r="DR23" s="22">
        <f t="shared" si="16"/>
        <v>403.14052729824169</v>
      </c>
      <c r="DS23" s="62">
        <f t="shared" si="17"/>
        <v>684.25163840935284</v>
      </c>
      <c r="DT23" s="62">
        <f ca="1">AVERAGE(OFFSET($DS$3,0,0,'Données projet'!$E$14+1,1))-AVERAGE(OFFSET($H$3,0,0,'Données projet'!$E$14+1,1))</f>
        <v>534.78683721545372</v>
      </c>
      <c r="DU23" s="62">
        <f t="shared" si="44"/>
        <v>710.59298755711075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11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162</v>
      </c>
      <c r="EH23" s="13">
        <f>VLOOKUP(A23,'Données projet'!$A$191:$I$211,9,0)</f>
        <v>16.25</v>
      </c>
      <c r="EI23" s="13">
        <f t="array" ref="EI23">INDEX(EH:EH,MIN(IF(ISNUMBER(EH23:EH219),ROW(EH23:EH219),"")))</f>
        <v>16.25</v>
      </c>
      <c r="EJ23" s="13">
        <f>IF('Données projet'!$A$192&gt;35,EJ22+EI23-ER22,IF(A23&lt;'Données projet'!$A$192,$EG$205^A23,IF(A23='Données projet'!$A$192,'Données projet'!$B$192,EJ22+EI23-ER22)))</f>
        <v>162</v>
      </c>
      <c r="EK23" s="18">
        <f>EJ23*VLOOKUP('Données projet'!$B$15,Paramètres!$A$1:$I$89,3,0)*VLOOKUP('Données projet'!$B$15,Paramètres!$A$1:$I$89,5,0)</f>
        <v>96.876000000000019</v>
      </c>
      <c r="EL23" s="14">
        <f t="shared" si="45"/>
        <v>26.21637845945024</v>
      </c>
      <c r="EM23" s="22">
        <f t="shared" si="19"/>
        <v>214.38589248354253</v>
      </c>
      <c r="EN23" s="62">
        <f t="shared" si="20"/>
        <v>495.49700359465368</v>
      </c>
      <c r="EO23" s="62">
        <f ca="1">AVERAGE(OFFSET($EN$3,0,0,'Données projet'!$E$15+1,1))-AVERAGE(OFFSET($H$3,0,0,'Données projet'!$E$15+1,1))</f>
        <v>292.87204407272162</v>
      </c>
      <c r="EP23" s="62">
        <f t="shared" si="46"/>
        <v>326.06531673481805</v>
      </c>
      <c r="EQ23" s="16">
        <f>IF(ISNA(VLOOKUP(A23,'Données projet'!$A$191:$I$211,3,0)),0,VLOOKUP(A23,'Données projet'!$A$191:$I$211,3,0))</f>
        <v>3</v>
      </c>
      <c r="ER23" s="16">
        <f>IF(ISNA(VLOOKUP(A23,'Données projet'!$A$191:$I$211,4,0)),0,VLOOKUP(A23,'Données projet'!$A$191:$I$211,4,0))</f>
        <v>31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22.9</v>
      </c>
      <c r="N24" s="14">
        <f>IF('Données projet'!$A$36&gt;35,N23+M24-V23,IF(A24&lt;'Données projet'!$A$36,$K$205^A24,IF(A24='Données projet'!$A$36,'Données projet'!$B$36,N23+M24-V23)))</f>
        <v>106.9</v>
      </c>
      <c r="O24" s="14">
        <f>N24*VLOOKUP('Données projet'!$B$9,Paramètres!$A$1:$I$89,3,0)*VLOOKUP('Données projet'!$B$9,Paramètres!$A$1:$I$89,5,0)</f>
        <v>78.379080000000002</v>
      </c>
      <c r="P24" s="14">
        <f t="shared" si="33"/>
        <v>21.740389847733557</v>
      </c>
      <c r="Q24" s="22">
        <f t="shared" si="2"/>
        <v>174.3747433181359</v>
      </c>
      <c r="R24" s="62">
        <f t="shared" si="0"/>
        <v>456.70807665146924</v>
      </c>
      <c r="S24" s="62">
        <f ca="1">AVERAGE(OFFSET($R$3,0,0,'Données projet'!$E$9+1,1))-AVERAGE(OFFSET($H$3,0,0,'Données projet'!$E$9+1,1))</f>
        <v>451.25506262546861</v>
      </c>
      <c r="T24" s="62">
        <f t="shared" si="34"/>
        <v>534.19872447444368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10.6</v>
      </c>
      <c r="AI24" s="14">
        <f>IF('Données projet'!$A$62&gt;35,AI23+AH24-AQ23,IF(A24&lt;'Données projet'!$A$62,$AF$205^A24,IF(A24='Données projet'!$A$62,'Données projet'!$B$62,AI23+AH24-AQ23)))</f>
        <v>70.59999999999998</v>
      </c>
      <c r="AJ24" s="14">
        <f>AI24*VLOOKUP('Données projet'!$B$10,Paramètres!$A$1:$I$89,3,0)*VLOOKUP('Données projet'!$B$10,Paramètres!$A$1:$I$89,5,0)</f>
        <v>55.067999999999984</v>
      </c>
      <c r="AK24" s="14">
        <f t="shared" si="35"/>
        <v>15.915148294580479</v>
      </c>
      <c r="AL24" s="22">
        <f t="shared" si="4"/>
        <v>123.62898327972762</v>
      </c>
      <c r="AM24" s="62">
        <f t="shared" si="5"/>
        <v>405.96231661306092</v>
      </c>
      <c r="AN24" s="62">
        <f ca="1">AVERAGE(OFFSET($AM$3,0,0,'Données projet'!$E$10+1,1))-AVERAGE(OFFSET($H$3,0,0,'Données projet'!$E$10+1,1))</f>
        <v>252.84702735189455</v>
      </c>
      <c r="AO24" s="62">
        <f t="shared" si="36"/>
        <v>283.48738729114024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10.6</v>
      </c>
      <c r="BD24" s="13">
        <f>IF('Données projet'!$A$88&gt;35,BD23+BC24-BL23,IF(A24&lt;'Données projet'!$A$88,$BA$205^A24,IF(A24='Données projet'!$A$88,'Données projet'!$B$88,BD23+BC24-BL23)))</f>
        <v>70.59999999999998</v>
      </c>
      <c r="BE24" s="14">
        <f>BD24*VLOOKUP('Données projet'!$B$11,Paramètres!$A$1:$I$89,3,0)*VLOOKUP('Données projet'!$B$11,Paramètres!$A$1:$I$89,5,0)</f>
        <v>47.358479999999986</v>
      </c>
      <c r="BF24" s="14">
        <f t="shared" si="37"/>
        <v>13.929435643641453</v>
      </c>
      <c r="BG24" s="22">
        <f t="shared" si="7"/>
        <v>106.74311974600884</v>
      </c>
      <c r="BH24" s="62">
        <f t="shared" si="8"/>
        <v>389.07645307934217</v>
      </c>
      <c r="BI24" s="62">
        <f ca="1">AVERAGE(OFFSET($BH$3,0,0,'Données projet'!$E$11+1,1))-AVERAGE(OFFSET($H$3,0,0,'Données projet'!$E$11+1,1))</f>
        <v>221.98516361836096</v>
      </c>
      <c r="BJ24" s="62">
        <f t="shared" si="38"/>
        <v>249.72262393661117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projet'!$B$12,Paramètres!$A$1:$I$89,3,0)*VLOOKUP('Données projet'!$B$12,Paramètres!$A$1:$I$89,5,0)</f>
        <v>56.16935999999999</v>
      </c>
      <c r="CA24" s="14">
        <f t="shared" si="39"/>
        <v>16.196075828429539</v>
      </c>
      <c r="CB24" s="22">
        <f t="shared" si="10"/>
        <v>126.03646740118143</v>
      </c>
      <c r="CC24" s="62">
        <f t="shared" si="11"/>
        <v>408.36980073451474</v>
      </c>
      <c r="CD24" s="62">
        <f ca="1">AVERAGE(OFFSET($CC$3,0,0,'Données projet'!$E$12+1,1))-AVERAGE(OFFSET($H$3,0,0,'Données projet'!$E$12+1,1))</f>
        <v>257.24784840892409</v>
      </c>
      <c r="CE24" s="62">
        <f t="shared" si="40"/>
        <v>288.30197520356643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9.15</v>
      </c>
      <c r="CT24" s="13">
        <f>IF('Données projet'!$A$140&gt;35,CT23+CS24-DB23,IF(A24&lt;'Données projet'!$A$140,$CQ$205^A24,IF(A24='Données projet'!$A$140,'Données projet'!$B$140,CT23+CS24-DB23)))</f>
        <v>127.65</v>
      </c>
      <c r="CU24" s="18">
        <f>CT24*VLOOKUP('Données projet'!$B$13,Paramètres!$A$1:$I$89,3,0)*VLOOKUP('Données projet'!$B$13,Paramètres!$A$1:$I$89,5,0)</f>
        <v>59.740200000000002</v>
      </c>
      <c r="CV24" s="14">
        <f t="shared" si="41"/>
        <v>17.10256684137762</v>
      </c>
      <c r="CW24" s="22">
        <f t="shared" si="13"/>
        <v>133.83448558206604</v>
      </c>
      <c r="CX24" s="62">
        <f t="shared" si="14"/>
        <v>416.16781891539938</v>
      </c>
      <c r="CY24" s="62">
        <f ca="1">AVERAGE(OFFSET($CX$3,0,0,'Données projet'!$E$13+1,1))-AVERAGE(OFFSET($H$3,0,0,'Données projet'!$E$13+1,1))</f>
        <v>199.0086462069545</v>
      </c>
      <c r="CZ24" s="62">
        <f t="shared" si="42"/>
        <v>254.08208375594057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29.8</v>
      </c>
      <c r="DO24" s="13">
        <f>IF('Données projet'!$A$166&gt;35,DO23+DN24-DW23,IF(A24&lt;'Données projet'!$A$166,$DL$205^A24,IF(A24='Données projet'!$A$166,'Données projet'!$B$166,DO23+DN24-DW23)))</f>
        <v>349.79999999999995</v>
      </c>
      <c r="DP24" s="18">
        <f>DO24*VLOOKUP('Données projet'!$B$14,Paramètres!$A$1:$I$89,3,0)*VLOOKUP('Données projet'!$B$14,Paramètres!$A$1:$I$89,5,0)</f>
        <v>195.53819999999999</v>
      </c>
      <c r="DQ24" s="14">
        <f t="shared" si="43"/>
        <v>48.762315280106222</v>
      </c>
      <c r="DR24" s="22">
        <f t="shared" si="16"/>
        <v>425.4900641128516</v>
      </c>
      <c r="DS24" s="62">
        <f t="shared" si="17"/>
        <v>707.82339744618491</v>
      </c>
      <c r="DT24" s="62">
        <f ca="1">AVERAGE(OFFSET($DS$3,0,0,'Données projet'!$E$14+1,1))-AVERAGE(OFFSET($H$3,0,0,'Données projet'!$E$14+1,1))</f>
        <v>534.78683721545372</v>
      </c>
      <c r="DU24" s="62">
        <f t="shared" si="44"/>
        <v>710.59298755711075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17.5</v>
      </c>
      <c r="EJ24" s="13">
        <f>IF('Données projet'!$A$192&gt;35,EJ23+EI24-ER23,IF(A24&lt;'Données projet'!$A$192,$EG$205^A24,IF(A24='Données projet'!$A$192,'Données projet'!$B$192,EJ23+EI24-ER23)))</f>
        <v>148.5</v>
      </c>
      <c r="EK24" s="18">
        <f>EJ24*VLOOKUP('Données projet'!$B$15,Paramètres!$A$1:$I$89,3,0)*VLOOKUP('Données projet'!$B$15,Paramètres!$A$1:$I$89,5,0)</f>
        <v>88.803000000000011</v>
      </c>
      <c r="EL24" s="14">
        <f t="shared" si="45"/>
        <v>24.276312842260264</v>
      </c>
      <c r="EM24" s="22">
        <f t="shared" si="19"/>
        <v>196.94646986693661</v>
      </c>
      <c r="EN24" s="62">
        <f t="shared" si="20"/>
        <v>479.27980320026995</v>
      </c>
      <c r="EO24" s="62">
        <f ca="1">AVERAGE(OFFSET($EN$3,0,0,'Données projet'!$E$15+1,1))-AVERAGE(OFFSET($H$3,0,0,'Données projet'!$E$15+1,1))</f>
        <v>292.87204407272162</v>
      </c>
      <c r="EP24" s="62">
        <f t="shared" si="46"/>
        <v>326.06531673481805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22.9</v>
      </c>
      <c r="N25" s="14">
        <f>IF('Données projet'!$A$36&gt;35,N24+M25-V24,IF(A25&lt;'Données projet'!$A$36,$K$205^A25,IF(A25='Données projet'!$A$36,'Données projet'!$B$36,N24+M25-V24)))</f>
        <v>129.80000000000001</v>
      </c>
      <c r="O25" s="14">
        <f>N25*VLOOKUP('Données projet'!$B$9,Paramètres!$A$1:$I$89,3,0)*VLOOKUP('Données projet'!$B$9,Paramètres!$A$1:$I$89,5,0)</f>
        <v>95.169359999999998</v>
      </c>
      <c r="P25" s="14">
        <f t="shared" si="33"/>
        <v>25.807868995534712</v>
      </c>
      <c r="Q25" s="22">
        <f t="shared" si="2"/>
        <v>210.70200716722297</v>
      </c>
      <c r="R25" s="62">
        <f t="shared" si="0"/>
        <v>494.25756272277852</v>
      </c>
      <c r="S25" s="62">
        <f ca="1">AVERAGE(OFFSET($R$3,0,0,'Données projet'!$E$9+1,1))-AVERAGE(OFFSET($H$3,0,0,'Données projet'!$E$9+1,1))</f>
        <v>451.25506262546861</v>
      </c>
      <c r="T25" s="62">
        <f t="shared" si="34"/>
        <v>534.19872447444368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10.6</v>
      </c>
      <c r="AI25" s="14">
        <f>IF('Données projet'!$A$62&gt;35,AI24+AH25-AQ24,IF(A25&lt;'Données projet'!$A$62,$AF$205^A25,IF(A25='Données projet'!$A$62,'Données projet'!$B$62,AI24+AH25-AQ24)))</f>
        <v>81.199999999999974</v>
      </c>
      <c r="AJ25" s="14">
        <f>AI25*VLOOKUP('Données projet'!$B$10,Paramètres!$A$1:$I$89,3,0)*VLOOKUP('Données projet'!$B$10,Paramètres!$A$1:$I$89,5,0)</f>
        <v>63.335999999999984</v>
      </c>
      <c r="AK25" s="14">
        <f t="shared" si="35"/>
        <v>18.009040022946227</v>
      </c>
      <c r="AL25" s="22">
        <f t="shared" si="4"/>
        <v>141.67594470663133</v>
      </c>
      <c r="AM25" s="62">
        <f t="shared" si="5"/>
        <v>425.23150026218684</v>
      </c>
      <c r="AN25" s="62">
        <f ca="1">AVERAGE(OFFSET($AM$3,0,0,'Données projet'!$E$10+1,1))-AVERAGE(OFFSET($H$3,0,0,'Données projet'!$E$10+1,1))</f>
        <v>252.84702735189455</v>
      </c>
      <c r="AO25" s="62">
        <f t="shared" si="36"/>
        <v>283.48738729114024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10.6</v>
      </c>
      <c r="BD25" s="13">
        <f>IF('Données projet'!$A$88&gt;35,BD24+BC25-BL24,IF(A25&lt;'Données projet'!$A$88,$BA$205^A25,IF(A25='Données projet'!$A$88,'Données projet'!$B$88,BD24+BC25-BL24)))</f>
        <v>81.199999999999974</v>
      </c>
      <c r="BE25" s="14">
        <f>BD25*VLOOKUP('Données projet'!$B$11,Paramètres!$A$1:$I$89,3,0)*VLOOKUP('Données projet'!$B$11,Paramètres!$A$1:$I$89,5,0)</f>
        <v>54.468959999999988</v>
      </c>
      <c r="BF25" s="14">
        <f t="shared" si="37"/>
        <v>15.762075185238176</v>
      </c>
      <c r="BG25" s="22">
        <f t="shared" si="7"/>
        <v>122.31905294762315</v>
      </c>
      <c r="BH25" s="62">
        <f t="shared" si="8"/>
        <v>405.87460850317871</v>
      </c>
      <c r="BI25" s="62">
        <f ca="1">AVERAGE(OFFSET($BH$3,0,0,'Données projet'!$E$11+1,1))-AVERAGE(OFFSET($H$3,0,0,'Données projet'!$E$11+1,1))</f>
        <v>221.98516361836096</v>
      </c>
      <c r="BJ25" s="62">
        <f t="shared" si="38"/>
        <v>249.72262393661117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projet'!$B$12,Paramètres!$A$1:$I$89,3,0)*VLOOKUP('Données projet'!$B$12,Paramètres!$A$1:$I$89,5,0)</f>
        <v>64.602719999999977</v>
      </c>
      <c r="CA25" s="14">
        <f t="shared" si="39"/>
        <v>18.326928056848985</v>
      </c>
      <c r="CB25" s="22">
        <f t="shared" si="10"/>
        <v>144.43580369901193</v>
      </c>
      <c r="CC25" s="62">
        <f t="shared" si="11"/>
        <v>427.99135925456744</v>
      </c>
      <c r="CD25" s="62">
        <f ca="1">AVERAGE(OFFSET($CC$3,0,0,'Données projet'!$E$12+1,1))-AVERAGE(OFFSET($H$3,0,0,'Données projet'!$E$12+1,1))</f>
        <v>257.24784840892409</v>
      </c>
      <c r="CE25" s="62">
        <f t="shared" si="40"/>
        <v>288.30197520356643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9.15</v>
      </c>
      <c r="CT25" s="13">
        <f>IF('Données projet'!$A$140&gt;35,CT24+CS25-DB24,IF(A25&lt;'Données projet'!$A$140,$CQ$205^A25,IF(A25='Données projet'!$A$140,'Données projet'!$B$140,CT24+CS25-DB24)))</f>
        <v>136.80000000000001</v>
      </c>
      <c r="CU25" s="18">
        <f>CT25*VLOOKUP('Données projet'!$B$13,Paramètres!$A$1:$I$89,3,0)*VLOOKUP('Données projet'!$B$13,Paramètres!$A$1:$I$89,5,0)</f>
        <v>64.022400000000005</v>
      </c>
      <c r="CV25" s="14">
        <f t="shared" si="41"/>
        <v>18.181385543312242</v>
      </c>
      <c r="CW25" s="22">
        <f t="shared" si="13"/>
        <v>143.17159315460216</v>
      </c>
      <c r="CX25" s="62">
        <f t="shared" si="14"/>
        <v>426.72714871015773</v>
      </c>
      <c r="CY25" s="62">
        <f ca="1">AVERAGE(OFFSET($CX$3,0,0,'Données projet'!$E$13+1,1))-AVERAGE(OFFSET($H$3,0,0,'Données projet'!$E$13+1,1))</f>
        <v>199.0086462069545</v>
      </c>
      <c r="CZ25" s="62">
        <f t="shared" si="42"/>
        <v>254.08208375594057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29.8</v>
      </c>
      <c r="DO25" s="13">
        <f>IF('Données projet'!$A$166&gt;35,DO24+DN25-DW24,IF(A25&lt;'Données projet'!$A$166,$DL$205^A25,IF(A25='Données projet'!$A$166,'Données projet'!$B$166,DO24+DN25-DW24)))</f>
        <v>379.59999999999997</v>
      </c>
      <c r="DP25" s="18">
        <f>DO25*VLOOKUP('Données projet'!$B$14,Paramètres!$A$1:$I$89,3,0)*VLOOKUP('Données projet'!$B$14,Paramètres!$A$1:$I$89,5,0)</f>
        <v>212.19639999999998</v>
      </c>
      <c r="DQ25" s="14">
        <f t="shared" si="43"/>
        <v>52.415263324942657</v>
      </c>
      <c r="DR25" s="22">
        <f t="shared" si="16"/>
        <v>460.86531362427507</v>
      </c>
      <c r="DS25" s="62">
        <f t="shared" si="17"/>
        <v>744.42086917983056</v>
      </c>
      <c r="DT25" s="62">
        <f ca="1">AVERAGE(OFFSET($DS$3,0,0,'Données projet'!$E$14+1,1))-AVERAGE(OFFSET($H$3,0,0,'Données projet'!$E$14+1,1))</f>
        <v>534.78683721545372</v>
      </c>
      <c r="DU25" s="62">
        <f t="shared" si="44"/>
        <v>710.59298755711075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17.5</v>
      </c>
      <c r="EJ25" s="13">
        <f>IF('Données projet'!$A$192&gt;35,EJ24+EI25-ER24,IF(A25&lt;'Données projet'!$A$192,$EG$205^A25,IF(A25='Données projet'!$A$192,'Données projet'!$B$192,EJ24+EI25-ER24)))</f>
        <v>166</v>
      </c>
      <c r="EK25" s="18">
        <f>EJ25*VLOOKUP('Données projet'!$B$15,Paramètres!$A$1:$I$89,3,0)*VLOOKUP('Données projet'!$B$15,Paramètres!$A$1:$I$89,5,0)</f>
        <v>99.268000000000001</v>
      </c>
      <c r="EL25" s="14">
        <f t="shared" si="45"/>
        <v>26.78753414535981</v>
      </c>
      <c r="EM25" s="22">
        <f t="shared" si="19"/>
        <v>219.54672196983498</v>
      </c>
      <c r="EN25" s="62">
        <f t="shared" si="20"/>
        <v>503.10227752539049</v>
      </c>
      <c r="EO25" s="62">
        <f ca="1">AVERAGE(OFFSET($EN$3,0,0,'Données projet'!$E$15+1,1))-AVERAGE(OFFSET($H$3,0,0,'Données projet'!$E$15+1,1))</f>
        <v>292.87204407272162</v>
      </c>
      <c r="EP25" s="62">
        <f t="shared" si="46"/>
        <v>326.06531673481805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22.9</v>
      </c>
      <c r="N26" s="14">
        <f>IF('Données projet'!$A$36&gt;35,N25+M26-V25,IF(A26&lt;'Données projet'!$A$36,$K$205^A26,IF(A26='Données projet'!$A$36,'Données projet'!$B$36,N25+M26-V25)))</f>
        <v>152.70000000000002</v>
      </c>
      <c r="O26" s="14">
        <f>N26*VLOOKUP('Données projet'!$B$9,Paramètres!$A$1:$I$89,3,0)*VLOOKUP('Données projet'!$B$9,Paramètres!$A$1:$I$89,5,0)</f>
        <v>111.95964000000001</v>
      </c>
      <c r="P26" s="14">
        <f t="shared" si="33"/>
        <v>29.792215475159079</v>
      </c>
      <c r="Q26" s="22">
        <f t="shared" si="2"/>
        <v>246.8844816192354</v>
      </c>
      <c r="R26" s="62">
        <f t="shared" si="0"/>
        <v>531.66225939701314</v>
      </c>
      <c r="S26" s="62">
        <f ca="1">AVERAGE(OFFSET($R$3,0,0,'Données projet'!$E$9+1,1))-AVERAGE(OFFSET($H$3,0,0,'Données projet'!$E$9+1,1))</f>
        <v>451.25506262546861</v>
      </c>
      <c r="T26" s="62">
        <f t="shared" si="34"/>
        <v>534.19872447444368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10.6</v>
      </c>
      <c r="AI26" s="14">
        <f>IF('Données projet'!$A$62&gt;35,AI25+AH26-AQ25,IF(A26&lt;'Données projet'!$A$62,$AF$205^A26,IF(A26='Données projet'!$A$62,'Données projet'!$B$62,AI25+AH26-AQ25)))</f>
        <v>91.799999999999969</v>
      </c>
      <c r="AJ26" s="14">
        <f>AI26*VLOOKUP('Données projet'!$B$10,Paramètres!$A$1:$I$89,3,0)*VLOOKUP('Données projet'!$B$10,Paramètres!$A$1:$I$89,5,0)</f>
        <v>71.603999999999985</v>
      </c>
      <c r="AK26" s="14">
        <f t="shared" si="35"/>
        <v>20.071260561992585</v>
      </c>
      <c r="AL26" s="22">
        <f t="shared" si="4"/>
        <v>159.66774547880371</v>
      </c>
      <c r="AM26" s="62">
        <f t="shared" si="5"/>
        <v>444.44552325658151</v>
      </c>
      <c r="AN26" s="62">
        <f ca="1">AVERAGE(OFFSET($AM$3,0,0,'Données projet'!$E$10+1,1))-AVERAGE(OFFSET($H$3,0,0,'Données projet'!$E$10+1,1))</f>
        <v>252.84702735189455</v>
      </c>
      <c r="AO26" s="62">
        <f t="shared" si="36"/>
        <v>283.48738729114024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10.6</v>
      </c>
      <c r="BD26" s="13">
        <f>IF('Données projet'!$A$88&gt;35,BD25+BC26-BL25,IF(A26&lt;'Données projet'!$A$88,$BA$205^A26,IF(A26='Données projet'!$A$88,'Données projet'!$B$88,BD25+BC26-BL25)))</f>
        <v>91.799999999999969</v>
      </c>
      <c r="BE26" s="14">
        <f>BD26*VLOOKUP('Données projet'!$B$11,Paramètres!$A$1:$I$89,3,0)*VLOOKUP('Données projet'!$B$11,Paramètres!$A$1:$I$89,5,0)</f>
        <v>61.579439999999977</v>
      </c>
      <c r="BF26" s="14">
        <f t="shared" si="37"/>
        <v>17.566995111207309</v>
      </c>
      <c r="BG26" s="22">
        <f t="shared" si="7"/>
        <v>137.84670781868599</v>
      </c>
      <c r="BH26" s="62">
        <f t="shared" si="8"/>
        <v>422.62448559646373</v>
      </c>
      <c r="BI26" s="62">
        <f ca="1">AVERAGE(OFFSET($BH$3,0,0,'Données projet'!$E$11+1,1))-AVERAGE(OFFSET($H$3,0,0,'Données projet'!$E$11+1,1))</f>
        <v>221.98516361836096</v>
      </c>
      <c r="BJ26" s="62">
        <f t="shared" si="38"/>
        <v>249.72262393661117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projet'!$B$12,Paramètres!$A$1:$I$89,3,0)*VLOOKUP('Données projet'!$B$12,Paramètres!$A$1:$I$89,5,0)</f>
        <v>73.03607999999997</v>
      </c>
      <c r="CA26" s="14">
        <f t="shared" si="39"/>
        <v>20.425550049376284</v>
      </c>
      <c r="CB26" s="22">
        <f t="shared" si="10"/>
        <v>162.7790056693303</v>
      </c>
      <c r="CC26" s="62">
        <f t="shared" si="11"/>
        <v>447.55678344710805</v>
      </c>
      <c r="CD26" s="62">
        <f ca="1">AVERAGE(OFFSET($CC$3,0,0,'Données projet'!$E$12+1,1))-AVERAGE(OFFSET($H$3,0,0,'Données projet'!$E$12+1,1))</f>
        <v>257.24784840892409</v>
      </c>
      <c r="CE26" s="62">
        <f t="shared" si="40"/>
        <v>288.30197520356643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9.15</v>
      </c>
      <c r="CT26" s="13">
        <f>IF('Données projet'!$A$140&gt;35,CT25+CS26-DB25,IF(A26&lt;'Données projet'!$A$140,$CQ$205^A26,IF(A26='Données projet'!$A$140,'Données projet'!$B$140,CT25+CS26-DB25)))</f>
        <v>145.95000000000002</v>
      </c>
      <c r="CU26" s="18">
        <f>CT26*VLOOKUP('Données projet'!$B$13,Paramètres!$A$1:$I$89,3,0)*VLOOKUP('Données projet'!$B$13,Paramètres!$A$1:$I$89,5,0)</f>
        <v>68.304600000000008</v>
      </c>
      <c r="CV26" s="14">
        <f t="shared" si="41"/>
        <v>19.251831097125873</v>
      </c>
      <c r="CW26" s="22">
        <f t="shared" si="13"/>
        <v>152.49411749416092</v>
      </c>
      <c r="CX26" s="62">
        <f t="shared" si="14"/>
        <v>437.27189527193866</v>
      </c>
      <c r="CY26" s="62">
        <f ca="1">AVERAGE(OFFSET($CX$3,0,0,'Données projet'!$E$13+1,1))-AVERAGE(OFFSET($H$3,0,0,'Données projet'!$E$13+1,1))</f>
        <v>199.0086462069545</v>
      </c>
      <c r="CZ26" s="62">
        <f t="shared" si="42"/>
        <v>254.08208375594057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29.8</v>
      </c>
      <c r="DO26" s="13">
        <f>IF('Données projet'!$A$166&gt;35,DO25+DN26-DW25,IF(A26&lt;'Données projet'!$A$166,$DL$205^A26,IF(A26='Données projet'!$A$166,'Données projet'!$B$166,DO25+DN26-DW25)))</f>
        <v>409.4</v>
      </c>
      <c r="DP26" s="18">
        <f>DO26*VLOOKUP('Données projet'!$B$14,Paramètres!$A$1:$I$89,3,0)*VLOOKUP('Données projet'!$B$14,Paramètres!$A$1:$I$89,5,0)</f>
        <v>228.8546</v>
      </c>
      <c r="DQ26" s="14">
        <f t="shared" si="43"/>
        <v>56.034947356867114</v>
      </c>
      <c r="DR26" s="22">
        <f t="shared" si="16"/>
        <v>496.18262831321022</v>
      </c>
      <c r="DS26" s="62">
        <f t="shared" si="17"/>
        <v>780.96040609098804</v>
      </c>
      <c r="DT26" s="62">
        <f ca="1">AVERAGE(OFFSET($DS$3,0,0,'Données projet'!$E$14+1,1))-AVERAGE(OFFSET($H$3,0,0,'Données projet'!$E$14+1,1))</f>
        <v>534.78683721545372</v>
      </c>
      <c r="DU26" s="62">
        <f t="shared" si="44"/>
        <v>710.59298755711075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17.5</v>
      </c>
      <c r="EJ26" s="13">
        <f>IF('Données projet'!$A$192&gt;35,EJ25+EI26-ER25,IF(A26&lt;'Données projet'!$A$192,$EG$205^A26,IF(A26='Données projet'!$A$192,'Données projet'!$B$192,EJ25+EI26-ER25)))</f>
        <v>183.5</v>
      </c>
      <c r="EK26" s="18">
        <f>EJ26*VLOOKUP('Données projet'!$B$15,Paramètres!$A$1:$I$89,3,0)*VLOOKUP('Données projet'!$B$15,Paramètres!$A$1:$I$89,5,0)</f>
        <v>109.733</v>
      </c>
      <c r="EL26" s="14">
        <f t="shared" si="45"/>
        <v>29.268068395258268</v>
      </c>
      <c r="EM26" s="22">
        <f t="shared" si="19"/>
        <v>242.09352745507479</v>
      </c>
      <c r="EN26" s="62">
        <f t="shared" si="20"/>
        <v>526.87130523285259</v>
      </c>
      <c r="EO26" s="62">
        <f ca="1">AVERAGE(OFFSET($EN$3,0,0,'Données projet'!$E$15+1,1))-AVERAGE(OFFSET($H$3,0,0,'Données projet'!$E$15+1,1))</f>
        <v>292.87204407272162</v>
      </c>
      <c r="EP26" s="62">
        <f t="shared" si="46"/>
        <v>326.06531673481805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22.9</v>
      </c>
      <c r="N27" s="14">
        <f>IF('Données projet'!$A$36&gt;35,N26+M27-V26,IF(A27&lt;'Données projet'!$A$36,$K$205^A27,IF(A27='Données projet'!$A$36,'Données projet'!$B$36,N26+M27-V26)))</f>
        <v>175.60000000000002</v>
      </c>
      <c r="O27" s="14">
        <f>N27*VLOOKUP('Données projet'!$B$9,Paramètres!$A$1:$I$89,3,0)*VLOOKUP('Données projet'!$B$9,Paramètres!$A$1:$I$89,5,0)</f>
        <v>128.74992000000003</v>
      </c>
      <c r="P27" s="14">
        <f t="shared" si="33"/>
        <v>33.707340307108403</v>
      </c>
      <c r="Q27" s="22">
        <f t="shared" si="2"/>
        <v>282.94639503488054</v>
      </c>
      <c r="R27" s="62">
        <f t="shared" si="0"/>
        <v>568.94639503488054</v>
      </c>
      <c r="S27" s="62">
        <f ca="1">AVERAGE(OFFSET($R$3,0,0,'Données projet'!$E$9+1,1))-AVERAGE(OFFSET($H$3,0,0,'Données projet'!$E$9+1,1))</f>
        <v>451.25506262546861</v>
      </c>
      <c r="T27" s="62">
        <f t="shared" si="34"/>
        <v>534.19872447444368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10.6</v>
      </c>
      <c r="AI27" s="14">
        <f>IF('Données projet'!$A$62&gt;35,AI26+AH27-AQ26,IF(A27&lt;'Données projet'!$A$62,$AF$205^A27,IF(A27='Données projet'!$A$62,'Données projet'!$B$62,AI26+AH27-AQ26)))</f>
        <v>102.39999999999996</v>
      </c>
      <c r="AJ27" s="14">
        <f>AI27*VLOOKUP('Données projet'!$B$10,Paramètres!$A$1:$I$89,3,0)*VLOOKUP('Données projet'!$B$10,Paramètres!$A$1:$I$89,5,0)</f>
        <v>79.871999999999971</v>
      </c>
      <c r="AK27" s="14">
        <f t="shared" si="35"/>
        <v>22.105884547145401</v>
      </c>
      <c r="AL27" s="22">
        <f t="shared" si="4"/>
        <v>177.61148225294485</v>
      </c>
      <c r="AM27" s="62">
        <f t="shared" si="5"/>
        <v>463.61148225294482</v>
      </c>
      <c r="AN27" s="62">
        <f ca="1">AVERAGE(OFFSET($AM$3,0,0,'Données projet'!$E$10+1,1))-AVERAGE(OFFSET($H$3,0,0,'Données projet'!$E$10+1,1))</f>
        <v>252.84702735189455</v>
      </c>
      <c r="AO27" s="62">
        <f t="shared" si="36"/>
        <v>283.48738729114024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10.6</v>
      </c>
      <c r="BD27" s="13">
        <f>IF('Données projet'!$A$88&gt;35,BD26+BC27-BL26,IF(A27&lt;'Données projet'!$A$88,$BA$205^A27,IF(A27='Données projet'!$A$88,'Données projet'!$B$88,BD26+BC27-BL26)))</f>
        <v>102.39999999999996</v>
      </c>
      <c r="BE27" s="14">
        <f>BD27*VLOOKUP('Données projet'!$B$11,Paramètres!$A$1:$I$89,3,0)*VLOOKUP('Données projet'!$B$11,Paramètres!$A$1:$I$89,5,0)</f>
        <v>68.689919999999972</v>
      </c>
      <c r="BF27" s="14">
        <f t="shared" si="37"/>
        <v>19.34776166993591</v>
      </c>
      <c r="BG27" s="22">
        <f t="shared" si="7"/>
        <v>153.33229557513832</v>
      </c>
      <c r="BH27" s="62">
        <f t="shared" si="8"/>
        <v>439.33229557513835</v>
      </c>
      <c r="BI27" s="62">
        <f ca="1">AVERAGE(OFFSET($BH$3,0,0,'Données projet'!$E$11+1,1))-AVERAGE(OFFSET($H$3,0,0,'Données projet'!$E$11+1,1))</f>
        <v>221.98516361836096</v>
      </c>
      <c r="BJ27" s="62">
        <f t="shared" si="38"/>
        <v>249.72262393661117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projet'!$B$12,Paramètres!$A$1:$I$89,3,0)*VLOOKUP('Données projet'!$B$12,Paramètres!$A$1:$I$89,5,0)</f>
        <v>81.469439999999977</v>
      </c>
      <c r="CA27" s="14">
        <f t="shared" si="39"/>
        <v>22.496088365195671</v>
      </c>
      <c r="CB27" s="22">
        <f t="shared" si="10"/>
        <v>181.07329523604912</v>
      </c>
      <c r="CC27" s="62">
        <f t="shared" si="11"/>
        <v>467.07329523604915</v>
      </c>
      <c r="CD27" s="62">
        <f ca="1">AVERAGE(OFFSET($CC$3,0,0,'Données projet'!$E$12+1,1))-AVERAGE(OFFSET($H$3,0,0,'Données projet'!$E$12+1,1))</f>
        <v>257.24784840892409</v>
      </c>
      <c r="CE27" s="62">
        <f t="shared" si="40"/>
        <v>288.30197520356643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9.15</v>
      </c>
      <c r="CT27" s="13">
        <f>IF('Données projet'!$A$140&gt;35,CT26+CS27-DB26,IF(A27&lt;'Données projet'!$A$140,$CQ$205^A27,IF(A27='Données projet'!$A$140,'Données projet'!$B$140,CT26+CS27-DB26)))</f>
        <v>155.10000000000002</v>
      </c>
      <c r="CU27" s="18">
        <f>CT27*VLOOKUP('Données projet'!$B$13,Paramètres!$A$1:$I$89,3,0)*VLOOKUP('Données projet'!$B$13,Paramètres!$A$1:$I$89,5,0)</f>
        <v>72.586800000000011</v>
      </c>
      <c r="CV27" s="14">
        <f t="shared" si="41"/>
        <v>20.314488197199065</v>
      </c>
      <c r="CW27" s="22">
        <f t="shared" si="13"/>
        <v>161.80307694345507</v>
      </c>
      <c r="CX27" s="62">
        <f t="shared" si="14"/>
        <v>447.80307694345504</v>
      </c>
      <c r="CY27" s="62">
        <f ca="1">AVERAGE(OFFSET($CX$3,0,0,'Données projet'!$E$13+1,1))-AVERAGE(OFFSET($H$3,0,0,'Données projet'!$E$13+1,1))</f>
        <v>199.0086462069545</v>
      </c>
      <c r="CZ27" s="62">
        <f t="shared" si="42"/>
        <v>254.08208375594057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29.8</v>
      </c>
      <c r="DO27" s="13">
        <f>IF('Données projet'!$A$166&gt;35,DO26+DN27-DW26,IF(A27&lt;'Données projet'!$A$166,$DL$205^A27,IF(A27='Données projet'!$A$166,'Données projet'!$B$166,DO26+DN27-DW26)))</f>
        <v>439.2</v>
      </c>
      <c r="DP27" s="18">
        <f>DO27*VLOOKUP('Données projet'!$B$14,Paramètres!$A$1:$I$89,3,0)*VLOOKUP('Données projet'!$B$14,Paramètres!$A$1:$I$89,5,0)</f>
        <v>245.5128</v>
      </c>
      <c r="DQ27" s="14">
        <f t="shared" si="43"/>
        <v>59.624063998553147</v>
      </c>
      <c r="DR27" s="22">
        <f t="shared" si="16"/>
        <v>531.44670479748004</v>
      </c>
      <c r="DS27" s="62">
        <f t="shared" si="17"/>
        <v>817.44670479748004</v>
      </c>
      <c r="DT27" s="62">
        <f ca="1">AVERAGE(OFFSET($DS$3,0,0,'Données projet'!$E$14+1,1))-AVERAGE(OFFSET($H$3,0,0,'Données projet'!$E$14+1,1))</f>
        <v>534.78683721545372</v>
      </c>
      <c r="DU27" s="62">
        <f t="shared" si="44"/>
        <v>710.59298755711075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>
        <f>VLOOKUP(A27,'Données projet'!$A$191:$I$211,2,0)</f>
        <v>201</v>
      </c>
      <c r="EH27" s="13">
        <f>VLOOKUP(A27,'Données projet'!$A$191:$I$211,9,0)</f>
        <v>17.5</v>
      </c>
      <c r="EI27" s="13">
        <f t="array" ref="EI27">INDEX(EH:EH,MIN(IF(ISNUMBER(EH27:EH223),ROW(EH27:EH223),"")))</f>
        <v>17.5</v>
      </c>
      <c r="EJ27" s="13">
        <f>IF('Données projet'!$A$192&gt;35,EJ26+EI27-ER26,IF(A27&lt;'Données projet'!$A$192,$EG$205^A27,IF(A27='Données projet'!$A$192,'Données projet'!$B$192,EJ26+EI27-ER26)))</f>
        <v>201</v>
      </c>
      <c r="EK27" s="18">
        <f>EJ27*VLOOKUP('Données projet'!$B$15,Paramètres!$A$1:$I$89,3,0)*VLOOKUP('Données projet'!$B$15,Paramètres!$A$1:$I$89,5,0)</f>
        <v>120.19800000000001</v>
      </c>
      <c r="EL27" s="14">
        <f t="shared" si="45"/>
        <v>31.721175110625282</v>
      </c>
      <c r="EM27" s="22">
        <f t="shared" si="19"/>
        <v>264.59256331767239</v>
      </c>
      <c r="EN27" s="62">
        <f t="shared" si="20"/>
        <v>550.59256331767233</v>
      </c>
      <c r="EO27" s="62">
        <f ca="1">AVERAGE(OFFSET($EN$3,0,0,'Données projet'!$E$15+1,1))-AVERAGE(OFFSET($H$3,0,0,'Données projet'!$E$15+1,1))</f>
        <v>292.87204407272162</v>
      </c>
      <c r="EP27" s="62">
        <f t="shared" si="46"/>
        <v>326.06531673481805</v>
      </c>
      <c r="EQ27" s="16">
        <f>IF(ISNA(VLOOKUP(A27,'Données projet'!$A$191:$I$211,3,0)),0,VLOOKUP(A27,'Données projet'!$A$191:$I$211,3,0))</f>
        <v>4</v>
      </c>
      <c r="ER27" s="16">
        <f>IF(ISNA(VLOOKUP(A27,'Données projet'!$A$191:$I$211,4,0)),0,VLOOKUP(A27,'Données projet'!$A$191:$I$211,4,0))</f>
        <v>41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22.9</v>
      </c>
      <c r="N28" s="14">
        <f>IF('Données projet'!$A$36&gt;35,N27+M28-V27,IF(A28&lt;'Données projet'!$A$36,$K$205^A28,IF(A28='Données projet'!$A$36,'Données projet'!$B$36,N27+M28-V27)))</f>
        <v>198.50000000000003</v>
      </c>
      <c r="O28" s="14">
        <f>N28*VLOOKUP('Données projet'!$B$9,Paramètres!$A$1:$I$89,3,0)*VLOOKUP('Données projet'!$B$9,Paramètres!$A$1:$I$89,5,0)</f>
        <v>145.5402</v>
      </c>
      <c r="P28" s="14">
        <f t="shared" si="33"/>
        <v>37.563306579791359</v>
      </c>
      <c r="Q28" s="22">
        <f t="shared" si="2"/>
        <v>318.90527395980331</v>
      </c>
      <c r="R28" s="62">
        <f t="shared" si="0"/>
        <v>606.12749618202554</v>
      </c>
      <c r="S28" s="62">
        <f ca="1">AVERAGE(OFFSET($R$3,0,0,'Données projet'!$E$9+1,1))-AVERAGE(OFFSET($H$3,0,0,'Données projet'!$E$9+1,1))</f>
        <v>451.25506262546861</v>
      </c>
      <c r="T28" s="62">
        <f t="shared" si="34"/>
        <v>534.19872447444368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113</v>
      </c>
      <c r="AG28" s="13">
        <f>VLOOKUP(A28,'Données projet'!$A$61:$I$81,9,0)</f>
        <v>10.6</v>
      </c>
      <c r="AH28" s="13">
        <f t="array" ref="AH28">INDEX(AG:AG,MIN(IF(ISNUMBER(AG28:AG224),ROW(AG28:AG224),"")))</f>
        <v>10.6</v>
      </c>
      <c r="AI28" s="14">
        <f>IF('Données projet'!$A$62&gt;35,AI27+AH28-AQ27,IF(A28&lt;'Données projet'!$A$62,$AF$205^A28,IF(A28='Données projet'!$A$62,'Données projet'!$B$62,AI27+AH28-AQ27)))</f>
        <v>112.99999999999996</v>
      </c>
      <c r="AJ28" s="14">
        <f>AI28*VLOOKUP('Données projet'!$B$10,Paramètres!$A$1:$I$89,3,0)*VLOOKUP('Données projet'!$B$10,Paramètres!$A$1:$I$89,5,0)</f>
        <v>88.139999999999972</v>
      </c>
      <c r="AK28" s="14">
        <f t="shared" si="35"/>
        <v>24.116094026318823</v>
      </c>
      <c r="AL28" s="22">
        <f t="shared" si="4"/>
        <v>195.51269709583855</v>
      </c>
      <c r="AM28" s="62">
        <f t="shared" si="5"/>
        <v>482.73491931806075</v>
      </c>
      <c r="AN28" s="62">
        <f ca="1">AVERAGE(OFFSET($AM$3,0,0,'Données projet'!$E$10+1,1))-AVERAGE(OFFSET($H$3,0,0,'Données projet'!$E$10+1,1))</f>
        <v>252.84702735189455</v>
      </c>
      <c r="AO28" s="62">
        <f t="shared" si="36"/>
        <v>283.48738729114024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113</v>
      </c>
      <c r="BB28" s="13">
        <f>VLOOKUP(A28,'Données projet'!$A$87:$I$107,9,0)</f>
        <v>10.6</v>
      </c>
      <c r="BC28" s="13">
        <f t="array" ref="BC28">INDEX(BB:BB,MIN(IF(ISNUMBER(BB28:BB224),ROW(BB28:BB224),"")))</f>
        <v>10.6</v>
      </c>
      <c r="BD28" s="13">
        <f>IF('Données projet'!$A$88&gt;35,BD27+BC28-BL27,IF(A28&lt;'Données projet'!$A$88,$BA$205^A28,IF(A28='Données projet'!$A$88,'Données projet'!$B$88,BD27+BC28-BL27)))</f>
        <v>112.99999999999996</v>
      </c>
      <c r="BE28" s="14">
        <f>BD28*VLOOKUP('Données projet'!$B$11,Paramètres!$A$1:$I$89,3,0)*VLOOKUP('Données projet'!$B$11,Paramètres!$A$1:$I$89,5,0)</f>
        <v>75.800399999999968</v>
      </c>
      <c r="BF28" s="14">
        <f t="shared" si="37"/>
        <v>21.107159889298988</v>
      </c>
      <c r="BG28" s="22">
        <f t="shared" si="7"/>
        <v>168.78066680719567</v>
      </c>
      <c r="BH28" s="62">
        <f t="shared" si="8"/>
        <v>456.00288902941793</v>
      </c>
      <c r="BI28" s="62">
        <f ca="1">AVERAGE(OFFSET($BH$3,0,0,'Données projet'!$E$11+1,1))-AVERAGE(OFFSET($H$3,0,0,'Données projet'!$E$11+1,1))</f>
        <v>221.98516361836096</v>
      </c>
      <c r="BJ28" s="62">
        <f t="shared" si="38"/>
        <v>249.72262393661117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projet'!$B$12,Paramètres!$A$1:$I$89,3,0)*VLOOKUP('Données projet'!$B$12,Paramètres!$A$1:$I$89,5,0)</f>
        <v>89.902799999999971</v>
      </c>
      <c r="CA28" s="14">
        <f t="shared" si="39"/>
        <v>24.541781220398729</v>
      </c>
      <c r="CB28" s="22">
        <f t="shared" si="10"/>
        <v>199.32431229219438</v>
      </c>
      <c r="CC28" s="62">
        <f t="shared" si="11"/>
        <v>486.54653451441663</v>
      </c>
      <c r="CD28" s="62">
        <f ca="1">AVERAGE(OFFSET($CC$3,0,0,'Données projet'!$E$12+1,1))-AVERAGE(OFFSET($H$3,0,0,'Données projet'!$E$12+1,1))</f>
        <v>257.24784840892409</v>
      </c>
      <c r="CE28" s="62">
        <f t="shared" si="40"/>
        <v>288.30197520356643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27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9.15</v>
      </c>
      <c r="CT28" s="13">
        <f>IF('Données projet'!$A$140&gt;35,CT27+CS28-DB27,IF(A28&lt;'Données projet'!$A$140,$CQ$205^A28,IF(A28='Données projet'!$A$140,'Données projet'!$B$140,CT27+CS28-DB27)))</f>
        <v>164.25000000000003</v>
      </c>
      <c r="CU28" s="18">
        <f>CT28*VLOOKUP('Données projet'!$B$13,Paramètres!$A$1:$I$89,3,0)*VLOOKUP('Données projet'!$B$13,Paramètres!$A$1:$I$89,5,0)</f>
        <v>76.869000000000014</v>
      </c>
      <c r="CV28" s="14">
        <f t="shared" si="41"/>
        <v>21.36986865355864</v>
      </c>
      <c r="CW28" s="22">
        <f t="shared" si="13"/>
        <v>171.09936290494795</v>
      </c>
      <c r="CX28" s="62">
        <f t="shared" si="14"/>
        <v>458.32158512717018</v>
      </c>
      <c r="CY28" s="62">
        <f ca="1">AVERAGE(OFFSET($CX$3,0,0,'Données projet'!$E$13+1,1))-AVERAGE(OFFSET($H$3,0,0,'Données projet'!$E$13+1,1))</f>
        <v>199.0086462069545</v>
      </c>
      <c r="CZ28" s="62">
        <f t="shared" si="42"/>
        <v>254.08208375594057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469</v>
      </c>
      <c r="DM28" s="13">
        <f>VLOOKUP(A28,'Données projet'!$A$165:$I$185,9,0)</f>
        <v>29.8</v>
      </c>
      <c r="DN28" s="13">
        <f t="array" ref="DN28">INDEX(DM:DM,MIN(IF(ISNUMBER(DM28:DM224),ROW(DM28:DM224),"")))</f>
        <v>29.8</v>
      </c>
      <c r="DO28" s="13">
        <f>IF('Données projet'!$A$166&gt;35,DO27+DN28-DW27,IF(A28&lt;'Données projet'!$A$166,$DL$205^A28,IF(A28='Données projet'!$A$166,'Données projet'!$B$166,DO27+DN28-DW27)))</f>
        <v>469</v>
      </c>
      <c r="DP28" s="18">
        <f>DO28*VLOOKUP('Données projet'!$B$14,Paramètres!$A$1:$I$89,3,0)*VLOOKUP('Données projet'!$B$14,Paramètres!$A$1:$I$89,5,0)</f>
        <v>262.17099999999999</v>
      </c>
      <c r="DQ28" s="14">
        <f t="shared" si="43"/>
        <v>63.184923227726436</v>
      </c>
      <c r="DR28" s="22">
        <f t="shared" si="16"/>
        <v>566.66156628829015</v>
      </c>
      <c r="DS28" s="62">
        <f t="shared" si="17"/>
        <v>853.88378851051243</v>
      </c>
      <c r="DT28" s="62">
        <f ca="1">AVERAGE(OFFSET($DS$3,0,0,'Données projet'!$E$14+1,1))-AVERAGE(OFFSET($H$3,0,0,'Données projet'!$E$14+1,1))</f>
        <v>534.78683721545372</v>
      </c>
      <c r="DU28" s="62">
        <f t="shared" si="44"/>
        <v>710.59298755711075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46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17.25</v>
      </c>
      <c r="EJ28" s="13">
        <f>IF('Données projet'!$A$192&gt;35,EJ27+EI28-ER27,IF(A28&lt;'Données projet'!$A$192,$EG$205^A28,IF(A28='Données projet'!$A$192,'Données projet'!$B$192,EJ27+EI28-ER27)))</f>
        <v>177.25</v>
      </c>
      <c r="EK28" s="18">
        <f>EJ28*VLOOKUP('Données projet'!$B$15,Paramètres!$A$1:$I$89,3,0)*VLOOKUP('Données projet'!$B$15,Paramètres!$A$1:$I$89,5,0)</f>
        <v>105.99549999999999</v>
      </c>
      <c r="EL28" s="14">
        <f t="shared" si="45"/>
        <v>28.385466506134566</v>
      </c>
      <c r="EM28" s="22">
        <f t="shared" si="19"/>
        <v>234.04684999818437</v>
      </c>
      <c r="EN28" s="62">
        <f t="shared" si="20"/>
        <v>521.26907222040654</v>
      </c>
      <c r="EO28" s="62">
        <f ca="1">AVERAGE(OFFSET($EN$3,0,0,'Données projet'!$E$15+1,1))-AVERAGE(OFFSET($H$3,0,0,'Données projet'!$E$15+1,1))</f>
        <v>292.87204407272162</v>
      </c>
      <c r="EP28" s="62">
        <f t="shared" si="46"/>
        <v>326.06531673481805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22.9</v>
      </c>
      <c r="N29" s="14">
        <f>IF('Données projet'!$A$36&gt;35,N28+M29-V28,IF(A29&lt;'Données projet'!$A$36,$K$205^A29,IF(A29='Données projet'!$A$36,'Données projet'!$B$36,N28+M29-V28)))</f>
        <v>221.40000000000003</v>
      </c>
      <c r="O29" s="14">
        <f>N29*VLOOKUP('Données projet'!$B$9,Paramètres!$A$1:$I$89,3,0)*VLOOKUP('Données projet'!$B$9,Paramètres!$A$1:$I$89,5,0)</f>
        <v>162.33048000000002</v>
      </c>
      <c r="P29" s="14">
        <f t="shared" si="33"/>
        <v>41.367718475965162</v>
      </c>
      <c r="Q29" s="22">
        <f t="shared" si="2"/>
        <v>354.7743623456393</v>
      </c>
      <c r="R29" s="62">
        <f t="shared" si="0"/>
        <v>643.21880679008382</v>
      </c>
      <c r="S29" s="62">
        <f ca="1">AVERAGE(OFFSET($R$3,0,0,'Données projet'!$E$9+1,1))-AVERAGE(OFFSET($H$3,0,0,'Données projet'!$E$9+1,1))</f>
        <v>451.25506262546861</v>
      </c>
      <c r="T29" s="62">
        <f t="shared" si="34"/>
        <v>534.19872447444368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11.5</v>
      </c>
      <c r="AI29" s="14">
        <f>IF('Données projet'!$A$62&gt;35,AI28+AH29-AQ28,IF(A29&lt;'Données projet'!$A$62,$AF$205^A29,IF(A29='Données projet'!$A$62,'Données projet'!$B$62,AI28+AH29-AQ28)))</f>
        <v>97.499999999999957</v>
      </c>
      <c r="AJ29" s="14">
        <f>AI29*VLOOKUP('Données projet'!$B$10,Paramètres!$A$1:$I$89,3,0)*VLOOKUP('Données projet'!$B$10,Paramètres!$A$1:$I$89,5,0)</f>
        <v>76.049999999999969</v>
      </c>
      <c r="AK29" s="14">
        <f t="shared" si="35"/>
        <v>21.168560890749262</v>
      </c>
      <c r="AL29" s="22">
        <f t="shared" si="4"/>
        <v>169.32232688472158</v>
      </c>
      <c r="AM29" s="62">
        <f t="shared" si="5"/>
        <v>457.76677132916603</v>
      </c>
      <c r="AN29" s="62">
        <f ca="1">AVERAGE(OFFSET($AM$3,0,0,'Données projet'!$E$10+1,1))-AVERAGE(OFFSET($H$3,0,0,'Données projet'!$E$10+1,1))</f>
        <v>252.84702735189455</v>
      </c>
      <c r="AO29" s="62">
        <f t="shared" si="36"/>
        <v>283.48738729114024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97.499999999999957</v>
      </c>
      <c r="BE29" s="14">
        <f>BD29*VLOOKUP('Données projet'!$B$11,Paramètres!$A$1:$I$89,3,0)*VLOOKUP('Données projet'!$B$11,Paramètres!$A$1:$I$89,5,0)</f>
        <v>65.402999999999977</v>
      </c>
      <c r="BF29" s="14">
        <f t="shared" si="37"/>
        <v>18.527386684584453</v>
      </c>
      <c r="BG29" s="22">
        <f t="shared" si="7"/>
        <v>146.17875680898456</v>
      </c>
      <c r="BH29" s="62">
        <f t="shared" si="8"/>
        <v>434.62320125342899</v>
      </c>
      <c r="BI29" s="62">
        <f ca="1">AVERAGE(OFFSET($BH$3,0,0,'Données projet'!$E$11+1,1))-AVERAGE(OFFSET($H$3,0,0,'Données projet'!$E$11+1,1))</f>
        <v>221.98516361836096</v>
      </c>
      <c r="BJ29" s="62">
        <f t="shared" si="38"/>
        <v>249.72262393661117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97.499999999999957</v>
      </c>
      <c r="BZ29" s="14">
        <f>BY29*VLOOKUP('Données projet'!$B$12,Paramètres!$A$1:$I$89,3,0)*VLOOKUP('Données projet'!$B$12,Paramètres!$A$1:$I$89,5,0)</f>
        <v>77.57099999999997</v>
      </c>
      <c r="CA29" s="14">
        <f t="shared" si="39"/>
        <v>21.542219464084507</v>
      </c>
      <c r="CB29" s="22">
        <f t="shared" si="10"/>
        <v>172.6221905666138</v>
      </c>
      <c r="CC29" s="62">
        <f t="shared" si="11"/>
        <v>461.06663501105822</v>
      </c>
      <c r="CD29" s="62">
        <f ca="1">AVERAGE(OFFSET($CC$3,0,0,'Données projet'!$E$12+1,1))-AVERAGE(OFFSET($H$3,0,0,'Données projet'!$E$12+1,1))</f>
        <v>257.24784840892409</v>
      </c>
      <c r="CE29" s="62">
        <f t="shared" si="40"/>
        <v>288.30197520356643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9.15</v>
      </c>
      <c r="CT29" s="13">
        <f>IF('Données projet'!$A$140&gt;35,CT28+CS29-DB28,IF(A29&lt;'Données projet'!$A$140,$CQ$205^A29,IF(A29='Données projet'!$A$140,'Données projet'!$B$140,CT28+CS29-DB28)))</f>
        <v>173.40000000000003</v>
      </c>
      <c r="CU29" s="18">
        <f>CT29*VLOOKUP('Données projet'!$B$13,Paramètres!$A$1:$I$89,3,0)*VLOOKUP('Données projet'!$B$13,Paramètres!$A$1:$I$89,5,0)</f>
        <v>81.151200000000017</v>
      </c>
      <c r="CV29" s="14">
        <f t="shared" si="41"/>
        <v>22.418424032002342</v>
      </c>
      <c r="CW29" s="22">
        <f t="shared" si="13"/>
        <v>180.38376185573745</v>
      </c>
      <c r="CX29" s="62">
        <f t="shared" si="14"/>
        <v>468.82820630018193</v>
      </c>
      <c r="CY29" s="62">
        <f ca="1">AVERAGE(OFFSET($CX$3,0,0,'Données projet'!$E$13+1,1))-AVERAGE(OFFSET($H$3,0,0,'Données projet'!$E$13+1,1))</f>
        <v>199.0086462069545</v>
      </c>
      <c r="CZ29" s="62">
        <f t="shared" si="42"/>
        <v>254.08208375594057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27.4</v>
      </c>
      <c r="DO29" s="13">
        <f>IF('Données projet'!$A$166&gt;35,DO28+DN29-DW28,IF(A29&lt;'Données projet'!$A$166,$DL$205^A29,IF(A29='Données projet'!$A$166,'Données projet'!$B$166,DO28+DN29-DW28)))</f>
        <v>450.4</v>
      </c>
      <c r="DP29" s="18">
        <f>DO29*VLOOKUP('Données projet'!$B$14,Paramètres!$A$1:$I$89,3,0)*VLOOKUP('Données projet'!$B$14,Paramètres!$A$1:$I$89,5,0)</f>
        <v>251.77360000000002</v>
      </c>
      <c r="DQ29" s="14">
        <f t="shared" si="43"/>
        <v>60.965574198020335</v>
      </c>
      <c r="DR29" s="22">
        <f t="shared" si="16"/>
        <v>544.68739506155214</v>
      </c>
      <c r="DS29" s="62">
        <f t="shared" si="17"/>
        <v>833.1318395059966</v>
      </c>
      <c r="DT29" s="62">
        <f ca="1">AVERAGE(OFFSET($DS$3,0,0,'Données projet'!$E$14+1,1))-AVERAGE(OFFSET($H$3,0,0,'Données projet'!$E$14+1,1))</f>
        <v>534.78683721545372</v>
      </c>
      <c r="DU29" s="62">
        <f t="shared" si="44"/>
        <v>710.59298755711075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17.25</v>
      </c>
      <c r="EJ29" s="13">
        <f>IF('Données projet'!$A$192&gt;35,EJ28+EI29-ER28,IF(A29&lt;'Données projet'!$A$192,$EG$205^A29,IF(A29='Données projet'!$A$192,'Données projet'!$B$192,EJ28+EI29-ER28)))</f>
        <v>194.5</v>
      </c>
      <c r="EK29" s="18">
        <f>EJ29*VLOOKUP('Données projet'!$B$15,Paramètres!$A$1:$I$89,3,0)*VLOOKUP('Données projet'!$B$15,Paramètres!$A$1:$I$89,5,0)</f>
        <v>116.31100000000001</v>
      </c>
      <c r="EL29" s="14">
        <f t="shared" si="45"/>
        <v>30.81304332646328</v>
      </c>
      <c r="EM29" s="22">
        <f t="shared" si="19"/>
        <v>256.24104212692356</v>
      </c>
      <c r="EN29" s="62">
        <f t="shared" si="20"/>
        <v>544.68548657136807</v>
      </c>
      <c r="EO29" s="62">
        <f ca="1">AVERAGE(OFFSET($EN$3,0,0,'Données projet'!$E$15+1,1))-AVERAGE(OFFSET($H$3,0,0,'Données projet'!$E$15+1,1))</f>
        <v>292.87204407272162</v>
      </c>
      <c r="EP29" s="62">
        <f t="shared" si="46"/>
        <v>326.06531673481805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22.9</v>
      </c>
      <c r="N30" s="14">
        <f>IF('Données projet'!$A$36&gt;35,N29+M30-V29,IF(A30&lt;'Données projet'!$A$36,$K$205^A30,IF(A30='Données projet'!$A$36,'Données projet'!$B$36,N29+M30-V29)))</f>
        <v>244.30000000000004</v>
      </c>
      <c r="O30" s="14">
        <f>N30*VLOOKUP('Données projet'!$B$9,Paramètres!$A$1:$I$89,3,0)*VLOOKUP('Données projet'!$B$9,Paramètres!$A$1:$I$89,5,0)</f>
        <v>179.12076000000002</v>
      </c>
      <c r="P30" s="14">
        <f t="shared" si="33"/>
        <v>45.126515753417479</v>
      </c>
      <c r="Q30" s="22">
        <f t="shared" si="2"/>
        <v>390.56400527053552</v>
      </c>
      <c r="R30" s="62">
        <f t="shared" si="0"/>
        <v>680.23067193720226</v>
      </c>
      <c r="S30" s="62">
        <f ca="1">AVERAGE(OFFSET($R$3,0,0,'Données projet'!$E$9+1,1))-AVERAGE(OFFSET($H$3,0,0,'Données projet'!$E$9+1,1))</f>
        <v>451.25506262546861</v>
      </c>
      <c r="T30" s="62">
        <f t="shared" si="34"/>
        <v>534.19872447444368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11.5</v>
      </c>
      <c r="AI30" s="14">
        <f>IF('Données projet'!$A$62&gt;35,AI29+AH30-AQ29,IF(A30&lt;'Données projet'!$A$62,$AF$205^A30,IF(A30='Données projet'!$A$62,'Données projet'!$B$62,AI29+AH30-AQ29)))</f>
        <v>108.99999999999996</v>
      </c>
      <c r="AJ30" s="14">
        <f>AI30*VLOOKUP('Données projet'!$B$10,Paramètres!$A$1:$I$89,3,0)*VLOOKUP('Données projet'!$B$10,Paramètres!$A$1:$I$89,5,0)</f>
        <v>85.019999999999968</v>
      </c>
      <c r="AK30" s="14">
        <f t="shared" si="35"/>
        <v>23.360218970693097</v>
      </c>
      <c r="AL30" s="22">
        <f t="shared" si="4"/>
        <v>188.76221470729038</v>
      </c>
      <c r="AM30" s="62">
        <f t="shared" si="5"/>
        <v>478.4288813739571</v>
      </c>
      <c r="AN30" s="62">
        <f ca="1">AVERAGE(OFFSET($AM$3,0,0,'Données projet'!$E$10+1,1))-AVERAGE(OFFSET($H$3,0,0,'Données projet'!$E$10+1,1))</f>
        <v>252.84702735189455</v>
      </c>
      <c r="AO30" s="62">
        <f t="shared" si="36"/>
        <v>283.48738729114024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108.99999999999996</v>
      </c>
      <c r="BE30" s="14">
        <f>BD30*VLOOKUP('Données projet'!$B$11,Paramètres!$A$1:$I$89,3,0)*VLOOKUP('Données projet'!$B$11,Paramètres!$A$1:$I$89,5,0)</f>
        <v>73.117199999999983</v>
      </c>
      <c r="BF30" s="14">
        <f t="shared" si="37"/>
        <v>20.445594395400459</v>
      </c>
      <c r="BG30" s="22">
        <f t="shared" si="7"/>
        <v>162.95520023865575</v>
      </c>
      <c r="BH30" s="62">
        <f t="shared" si="8"/>
        <v>452.62186690532246</v>
      </c>
      <c r="BI30" s="62">
        <f ca="1">AVERAGE(OFFSET($BH$3,0,0,'Données projet'!$E$11+1,1))-AVERAGE(OFFSET($H$3,0,0,'Données projet'!$E$11+1,1))</f>
        <v>221.98516361836096</v>
      </c>
      <c r="BJ30" s="62">
        <f t="shared" si="38"/>
        <v>249.72262393661117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108.99999999999996</v>
      </c>
      <c r="BZ30" s="14">
        <f>BY30*VLOOKUP('Données projet'!$B$12,Paramètres!$A$1:$I$89,3,0)*VLOOKUP('Données projet'!$B$12,Paramètres!$A$1:$I$89,5,0)</f>
        <v>86.72039999999997</v>
      </c>
      <c r="CA30" s="14">
        <f t="shared" si="39"/>
        <v>23.772563774784263</v>
      </c>
      <c r="CB30" s="22">
        <f t="shared" si="10"/>
        <v>192.44191190774919</v>
      </c>
      <c r="CC30" s="62">
        <f t="shared" si="11"/>
        <v>482.1085785744159</v>
      </c>
      <c r="CD30" s="62">
        <f ca="1">AVERAGE(OFFSET($CC$3,0,0,'Données projet'!$E$12+1,1))-AVERAGE(OFFSET($H$3,0,0,'Données projet'!$E$12+1,1))</f>
        <v>257.24784840892409</v>
      </c>
      <c r="CE30" s="62">
        <f t="shared" si="40"/>
        <v>288.30197520356643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9.15</v>
      </c>
      <c r="CT30" s="13">
        <f>IF('Données projet'!$A$140&gt;35,CT29+CS30-DB29,IF(A30&lt;'Données projet'!$A$140,$CQ$205^A30,IF(A30='Données projet'!$A$140,'Données projet'!$B$140,CT29+CS30-DB29)))</f>
        <v>182.55000000000004</v>
      </c>
      <c r="CU30" s="18">
        <f>CT30*VLOOKUP('Données projet'!$B$13,Paramètres!$A$1:$I$89,3,0)*VLOOKUP('Données projet'!$B$13,Paramètres!$A$1:$I$89,5,0)</f>
        <v>85.43340000000002</v>
      </c>
      <c r="CV30" s="14">
        <f t="shared" si="41"/>
        <v>23.460555550110801</v>
      </c>
      <c r="CW30" s="22">
        <f t="shared" si="13"/>
        <v>189.65697258310968</v>
      </c>
      <c r="CX30" s="62">
        <f t="shared" si="14"/>
        <v>479.32363924977636</v>
      </c>
      <c r="CY30" s="62">
        <f ca="1">AVERAGE(OFFSET($CX$3,0,0,'Données projet'!$E$13+1,1))-AVERAGE(OFFSET($H$3,0,0,'Données projet'!$E$13+1,1))</f>
        <v>199.0086462069545</v>
      </c>
      <c r="CZ30" s="62">
        <f t="shared" si="42"/>
        <v>254.08208375594057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27.4</v>
      </c>
      <c r="DO30" s="13">
        <f>IF('Données projet'!$A$166&gt;35,DO29+DN30-DW29,IF(A30&lt;'Données projet'!$A$166,$DL$205^A30,IF(A30='Données projet'!$A$166,'Données projet'!$B$166,DO29+DN30-DW29)))</f>
        <v>477.79999999999995</v>
      </c>
      <c r="DP30" s="18">
        <f>DO30*VLOOKUP('Données projet'!$B$14,Paramètres!$A$1:$I$89,3,0)*VLOOKUP('Données projet'!$B$14,Paramètres!$A$1:$I$89,5,0)</f>
        <v>267.09019999999998</v>
      </c>
      <c r="DQ30" s="14">
        <f t="shared" si="43"/>
        <v>64.231347395864233</v>
      </c>
      <c r="DR30" s="22">
        <f t="shared" si="16"/>
        <v>577.0516950477969</v>
      </c>
      <c r="DS30" s="62">
        <f t="shared" si="17"/>
        <v>866.71836171446353</v>
      </c>
      <c r="DT30" s="62">
        <f ca="1">AVERAGE(OFFSET($DS$3,0,0,'Données projet'!$E$14+1,1))-AVERAGE(OFFSET($H$3,0,0,'Données projet'!$E$14+1,1))</f>
        <v>534.78683721545372</v>
      </c>
      <c r="DU30" s="62">
        <f t="shared" si="44"/>
        <v>710.59298755711075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17.25</v>
      </c>
      <c r="EJ30" s="13">
        <f>IF('Données projet'!$A$192&gt;35,EJ29+EI30-ER29,IF(A30&lt;'Données projet'!$A$192,$EG$205^A30,IF(A30='Données projet'!$A$192,'Données projet'!$B$192,EJ29+EI30-ER29)))</f>
        <v>211.75</v>
      </c>
      <c r="EK30" s="18">
        <f>EJ30*VLOOKUP('Données projet'!$B$15,Paramètres!$A$1:$I$89,3,0)*VLOOKUP('Données projet'!$B$15,Paramètres!$A$1:$I$89,5,0)</f>
        <v>126.62650000000001</v>
      </c>
      <c r="EL30" s="14">
        <f t="shared" si="45"/>
        <v>33.215653706661904</v>
      </c>
      <c r="EM30" s="22">
        <f t="shared" si="19"/>
        <v>278.39175103910281</v>
      </c>
      <c r="EN30" s="62">
        <f t="shared" si="20"/>
        <v>568.05841770576944</v>
      </c>
      <c r="EO30" s="62">
        <f ca="1">AVERAGE(OFFSET($EN$3,0,0,'Données projet'!$E$15+1,1))-AVERAGE(OFFSET($H$3,0,0,'Données projet'!$E$15+1,1))</f>
        <v>292.87204407272162</v>
      </c>
      <c r="EP30" s="62">
        <f t="shared" si="46"/>
        <v>326.06531673481805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22.9</v>
      </c>
      <c r="N31" s="14">
        <f>IF('Données projet'!$A$36&gt;35,N30+M31-V30,IF(A31&lt;'Données projet'!$A$36,$K$205^A31,IF(A31='Données projet'!$A$36,'Données projet'!$B$36,N30+M31-V30)))</f>
        <v>267.20000000000005</v>
      </c>
      <c r="O31" s="14">
        <f>N31*VLOOKUP('Données projet'!$B$9,Paramètres!$A$1:$I$89,3,0)*VLOOKUP('Données projet'!$B$9,Paramètres!$A$1:$I$89,5,0)</f>
        <v>195.91104000000004</v>
      </c>
      <c r="P31" s="14">
        <f t="shared" si="33"/>
        <v>48.84446058549792</v>
      </c>
      <c r="Q31" s="22">
        <f t="shared" si="2"/>
        <v>426.2824968530756</v>
      </c>
      <c r="R31" s="62">
        <f t="shared" si="0"/>
        <v>717.17138574196451</v>
      </c>
      <c r="S31" s="62">
        <f ca="1">AVERAGE(OFFSET($R$3,0,0,'Données projet'!$E$9+1,1))-AVERAGE(OFFSET($H$3,0,0,'Données projet'!$E$9+1,1))</f>
        <v>451.25506262546861</v>
      </c>
      <c r="T31" s="62">
        <f t="shared" si="34"/>
        <v>534.19872447444368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11.5</v>
      </c>
      <c r="AI31" s="14">
        <f>IF('Données projet'!$A$62&gt;35,AI30+AH31-AQ30,IF(A31&lt;'Données projet'!$A$62,$AF$205^A31,IF(A31='Données projet'!$A$62,'Données projet'!$B$62,AI30+AH31-AQ30)))</f>
        <v>120.49999999999996</v>
      </c>
      <c r="AJ31" s="14">
        <f>AI31*VLOOKUP('Données projet'!$B$10,Paramètres!$A$1:$I$89,3,0)*VLOOKUP('Données projet'!$B$10,Paramètres!$A$1:$I$89,5,0)</f>
        <v>93.989999999999966</v>
      </c>
      <c r="AK31" s="14">
        <f t="shared" si="35"/>
        <v>25.525074036970054</v>
      </c>
      <c r="AL31" s="22">
        <f t="shared" si="4"/>
        <v>208.15542061438944</v>
      </c>
      <c r="AM31" s="62">
        <f t="shared" si="5"/>
        <v>499.04430950327833</v>
      </c>
      <c r="AN31" s="62">
        <f ca="1">AVERAGE(OFFSET($AM$3,0,0,'Données projet'!$E$10+1,1))-AVERAGE(OFFSET($H$3,0,0,'Données projet'!$E$10+1,1))</f>
        <v>252.84702735189455</v>
      </c>
      <c r="AO31" s="62">
        <f t="shared" si="36"/>
        <v>283.48738729114024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120.49999999999996</v>
      </c>
      <c r="BE31" s="14">
        <f>BD31*VLOOKUP('Données projet'!$B$11,Paramètres!$A$1:$I$89,3,0)*VLOOKUP('Données projet'!$B$11,Paramètres!$A$1:$I$89,5,0)</f>
        <v>80.831399999999974</v>
      </c>
      <c r="BF31" s="14">
        <f t="shared" si="37"/>
        <v>22.340343270205771</v>
      </c>
      <c r="BG31" s="22">
        <f t="shared" si="7"/>
        <v>179.69078619560835</v>
      </c>
      <c r="BH31" s="62">
        <f t="shared" si="8"/>
        <v>470.57967508449724</v>
      </c>
      <c r="BI31" s="62">
        <f ca="1">AVERAGE(OFFSET($BH$3,0,0,'Données projet'!$E$11+1,1))-AVERAGE(OFFSET($H$3,0,0,'Données projet'!$E$11+1,1))</f>
        <v>221.98516361836096</v>
      </c>
      <c r="BJ31" s="62">
        <f t="shared" si="38"/>
        <v>249.72262393661117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120.49999999999996</v>
      </c>
      <c r="BZ31" s="14">
        <f>BY31*VLOOKUP('Données projet'!$B$12,Paramètres!$A$1:$I$89,3,0)*VLOOKUP('Données projet'!$B$12,Paramètres!$A$1:$I$89,5,0)</f>
        <v>95.869799999999969</v>
      </c>
      <c r="CA31" s="14">
        <f t="shared" si="39"/>
        <v>25.975631956242626</v>
      </c>
      <c r="CB31" s="22">
        <f t="shared" si="10"/>
        <v>212.21412732378917</v>
      </c>
      <c r="CC31" s="62">
        <f t="shared" si="11"/>
        <v>503.10301621267803</v>
      </c>
      <c r="CD31" s="62">
        <f ca="1">AVERAGE(OFFSET($CC$3,0,0,'Données projet'!$E$12+1,1))-AVERAGE(OFFSET($H$3,0,0,'Données projet'!$E$12+1,1))</f>
        <v>257.24784840892409</v>
      </c>
      <c r="CE31" s="62">
        <f t="shared" si="40"/>
        <v>288.30197520356643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9.15</v>
      </c>
      <c r="CT31" s="13">
        <f>IF('Données projet'!$A$140&gt;35,CT30+CS31-DB30,IF(A31&lt;'Données projet'!$A$140,$CQ$205^A31,IF(A31='Données projet'!$A$140,'Données projet'!$B$140,CT30+CS31-DB30)))</f>
        <v>191.70000000000005</v>
      </c>
      <c r="CU31" s="18">
        <f>CT31*VLOOKUP('Données projet'!$B$13,Paramètres!$A$1:$I$89,3,0)*VLOOKUP('Données projet'!$B$13,Paramètres!$A$1:$I$89,5,0)</f>
        <v>89.715600000000023</v>
      </c>
      <c r="CV31" s="14">
        <f t="shared" si="41"/>
        <v>24.496621932784496</v>
      </c>
      <c r="CW31" s="22">
        <f t="shared" si="13"/>
        <v>198.91961986626634</v>
      </c>
      <c r="CX31" s="62">
        <f t="shared" si="14"/>
        <v>489.80850875515523</v>
      </c>
      <c r="CY31" s="62">
        <f ca="1">AVERAGE(OFFSET($CX$3,0,0,'Données projet'!$E$13+1,1))-AVERAGE(OFFSET($H$3,0,0,'Données projet'!$E$13+1,1))</f>
        <v>199.0086462069545</v>
      </c>
      <c r="CZ31" s="62">
        <f t="shared" si="42"/>
        <v>254.08208375594057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27.4</v>
      </c>
      <c r="DO31" s="13">
        <f>IF('Données projet'!$A$166&gt;35,DO30+DN31-DW30,IF(A31&lt;'Données projet'!$A$166,$DL$205^A31,IF(A31='Données projet'!$A$166,'Données projet'!$B$166,DO30+DN31-DW30)))</f>
        <v>505.19999999999993</v>
      </c>
      <c r="DP31" s="18">
        <f>DO31*VLOOKUP('Données projet'!$B$14,Paramètres!$A$1:$I$89,3,0)*VLOOKUP('Données projet'!$B$14,Paramètres!$A$1:$I$89,5,0)</f>
        <v>282.40679999999998</v>
      </c>
      <c r="DQ31" s="14">
        <f t="shared" si="43"/>
        <v>67.475381268028372</v>
      </c>
      <c r="DR31" s="22">
        <f t="shared" si="16"/>
        <v>609.37813237514945</v>
      </c>
      <c r="DS31" s="62">
        <f t="shared" si="17"/>
        <v>900.26702126403825</v>
      </c>
      <c r="DT31" s="62">
        <f ca="1">AVERAGE(OFFSET($DS$3,0,0,'Données projet'!$E$14+1,1))-AVERAGE(OFFSET($H$3,0,0,'Données projet'!$E$14+1,1))</f>
        <v>534.78683721545372</v>
      </c>
      <c r="DU31" s="62">
        <f t="shared" si="44"/>
        <v>710.59298755711075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>
        <f>VLOOKUP(A31,'Données projet'!$A$191:$I$211,2,0)</f>
        <v>229</v>
      </c>
      <c r="EH31" s="13">
        <f>VLOOKUP(A31,'Données projet'!$A$191:$I$211,9,0)</f>
        <v>17.25</v>
      </c>
      <c r="EI31" s="13">
        <f t="array" ref="EI31">INDEX(EH:EH,MIN(IF(ISNUMBER(EH31:EH227),ROW(EH31:EH227),"")))</f>
        <v>17.25</v>
      </c>
      <c r="EJ31" s="13">
        <f>IF('Données projet'!$A$192&gt;35,EJ30+EI31-ER30,IF(A31&lt;'Données projet'!$A$192,$EG$205^A31,IF(A31='Données projet'!$A$192,'Données projet'!$B$192,EJ30+EI31-ER30)))</f>
        <v>229</v>
      </c>
      <c r="EK31" s="18">
        <f>EJ31*VLOOKUP('Données projet'!$B$15,Paramètres!$A$1:$I$89,3,0)*VLOOKUP('Données projet'!$B$15,Paramètres!$A$1:$I$89,5,0)</f>
        <v>136.94200000000001</v>
      </c>
      <c r="EL31" s="14">
        <f t="shared" si="45"/>
        <v>35.595562742420903</v>
      </c>
      <c r="EM31" s="22">
        <f t="shared" si="19"/>
        <v>300.50292177638306</v>
      </c>
      <c r="EN31" s="62">
        <f t="shared" si="20"/>
        <v>591.39181066527192</v>
      </c>
      <c r="EO31" s="62">
        <f ca="1">AVERAGE(OFFSET($EN$3,0,0,'Données projet'!$E$15+1,1))-AVERAGE(OFFSET($H$3,0,0,'Données projet'!$E$15+1,1))</f>
        <v>292.87204407272162</v>
      </c>
      <c r="EP31" s="62">
        <f t="shared" si="46"/>
        <v>326.06531673481805</v>
      </c>
      <c r="EQ31" s="16">
        <f>IF(ISNA(VLOOKUP(A31,'Données projet'!$A$191:$I$211,3,0)),0,VLOOKUP(A31,'Données projet'!$A$191:$I$211,3,0))</f>
        <v>5</v>
      </c>
      <c r="ER31" s="16">
        <f>IF(ISNA(VLOOKUP(A31,'Données projet'!$A$191:$I$211,4,0)),0,VLOOKUP(A31,'Données projet'!$A$191:$I$211,4,0))</f>
        <v>41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22.9</v>
      </c>
      <c r="N32" s="14">
        <f>IF('Données projet'!$A$36&gt;35,N31+M32-V31,IF(A32&lt;'Données projet'!$A$36,$K$205^A32,IF(A32='Données projet'!$A$36,'Données projet'!$B$36,N31+M32-V31)))</f>
        <v>290.10000000000002</v>
      </c>
      <c r="O32" s="14">
        <f>N32*VLOOKUP('Données projet'!$B$9,Paramètres!$A$1:$I$89,3,0)*VLOOKUP('Données projet'!$B$9,Paramètres!$A$1:$I$89,5,0)</f>
        <v>212.70132000000001</v>
      </c>
      <c r="P32" s="14">
        <f t="shared" si="33"/>
        <v>52.525452249950355</v>
      </c>
      <c r="Q32" s="22">
        <f t="shared" si="2"/>
        <v>461.93662833533023</v>
      </c>
      <c r="R32" s="62">
        <f t="shared" si="0"/>
        <v>754.04773944644137</v>
      </c>
      <c r="S32" s="62">
        <f ca="1">AVERAGE(OFFSET($R$3,0,0,'Données projet'!$E$9+1,1))-AVERAGE(OFFSET($H$3,0,0,'Données projet'!$E$9+1,1))</f>
        <v>451.25506262546861</v>
      </c>
      <c r="T32" s="62">
        <f t="shared" si="34"/>
        <v>534.19872447444368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11.5</v>
      </c>
      <c r="AI32" s="14">
        <f>IF('Données projet'!$A$62&gt;35,AI31+AH32-AQ31,IF(A32&lt;'Données projet'!$A$62,$AF$205^A32,IF(A32='Données projet'!$A$62,'Données projet'!$B$62,AI31+AH32-AQ31)))</f>
        <v>131.99999999999994</v>
      </c>
      <c r="AJ32" s="14">
        <f>AI32*VLOOKUP('Données projet'!$B$10,Paramètres!$A$1:$I$89,3,0)*VLOOKUP('Données projet'!$B$10,Paramètres!$A$1:$I$89,5,0)</f>
        <v>102.95999999999997</v>
      </c>
      <c r="AK32" s="14">
        <f t="shared" si="35"/>
        <v>27.665975080374633</v>
      </c>
      <c r="AL32" s="22">
        <f t="shared" si="4"/>
        <v>227.50690659831903</v>
      </c>
      <c r="AM32" s="62">
        <f t="shared" si="5"/>
        <v>519.61801770943021</v>
      </c>
      <c r="AN32" s="62">
        <f ca="1">AVERAGE(OFFSET($AM$3,0,0,'Données projet'!$E$10+1,1))-AVERAGE(OFFSET($H$3,0,0,'Données projet'!$E$10+1,1))</f>
        <v>252.84702735189455</v>
      </c>
      <c r="AO32" s="62">
        <f t="shared" si="36"/>
        <v>283.48738729114024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131.99999999999994</v>
      </c>
      <c r="BE32" s="14">
        <f>BD32*VLOOKUP('Données projet'!$B$11,Paramètres!$A$1:$I$89,3,0)*VLOOKUP('Données projet'!$B$11,Paramètres!$A$1:$I$89,5,0)</f>
        <v>88.545599999999965</v>
      </c>
      <c r="BF32" s="14">
        <f t="shared" si="37"/>
        <v>24.214126834865596</v>
      </c>
      <c r="BG32" s="22">
        <f t="shared" si="7"/>
        <v>196.38985757072419</v>
      </c>
      <c r="BH32" s="62">
        <f t="shared" si="8"/>
        <v>488.50096868183533</v>
      </c>
      <c r="BI32" s="62">
        <f ca="1">AVERAGE(OFFSET($BH$3,0,0,'Données projet'!$E$11+1,1))-AVERAGE(OFFSET($H$3,0,0,'Données projet'!$E$11+1,1))</f>
        <v>221.98516361836096</v>
      </c>
      <c r="BJ32" s="62">
        <f t="shared" si="38"/>
        <v>249.72262393661117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131.99999999999994</v>
      </c>
      <c r="BZ32" s="14">
        <f>BY32*VLOOKUP('Données projet'!$B$12,Paramètres!$A$1:$I$89,3,0)*VLOOKUP('Données projet'!$B$12,Paramètres!$A$1:$I$89,5,0)</f>
        <v>105.01919999999997</v>
      </c>
      <c r="CA32" s="14">
        <f t="shared" si="39"/>
        <v>28.154323288446648</v>
      </c>
      <c r="CB32" s="22">
        <f t="shared" si="10"/>
        <v>231.94388639404454</v>
      </c>
      <c r="CC32" s="62">
        <f t="shared" si="11"/>
        <v>524.05499750515571</v>
      </c>
      <c r="CD32" s="62">
        <f ca="1">AVERAGE(OFFSET($CC$3,0,0,'Données projet'!$E$12+1,1))-AVERAGE(OFFSET($H$3,0,0,'Données projet'!$E$12+1,1))</f>
        <v>257.24784840892409</v>
      </c>
      <c r="CE32" s="62">
        <f t="shared" si="40"/>
        <v>288.30197520356643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9.15</v>
      </c>
      <c r="CT32" s="13">
        <f>IF('Données projet'!$A$140&gt;35,CT31+CS32-DB31,IF(A32&lt;'Données projet'!$A$140,$CQ$205^A32,IF(A32='Données projet'!$A$140,'Données projet'!$B$140,CT31+CS32-DB31)))</f>
        <v>200.85000000000005</v>
      </c>
      <c r="CU32" s="18">
        <f>CT32*VLOOKUP('Données projet'!$B$13,Paramètres!$A$1:$I$89,3,0)*VLOOKUP('Données projet'!$B$13,Paramètres!$A$1:$I$89,5,0)</f>
        <v>93.997800000000012</v>
      </c>
      <c r="CV32" s="14">
        <f t="shared" si="41"/>
        <v>25.526945725475453</v>
      </c>
      <c r="CW32" s="22">
        <f t="shared" si="13"/>
        <v>208.17226547186976</v>
      </c>
      <c r="CX32" s="62">
        <f t="shared" si="14"/>
        <v>500.28337658298091</v>
      </c>
      <c r="CY32" s="62">
        <f ca="1">AVERAGE(OFFSET($CX$3,0,0,'Données projet'!$E$13+1,1))-AVERAGE(OFFSET($H$3,0,0,'Données projet'!$E$13+1,1))</f>
        <v>199.0086462069545</v>
      </c>
      <c r="CZ32" s="62">
        <f t="shared" si="42"/>
        <v>254.08208375594057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27.4</v>
      </c>
      <c r="DO32" s="13">
        <f>IF('Données projet'!$A$166&gt;35,DO31+DN32-DW31,IF(A32&lt;'Données projet'!$A$166,$DL$205^A32,IF(A32='Données projet'!$A$166,'Données projet'!$B$166,DO31+DN32-DW31)))</f>
        <v>532.59999999999991</v>
      </c>
      <c r="DP32" s="18">
        <f>DO32*VLOOKUP('Données projet'!$B$14,Paramètres!$A$1:$I$89,3,0)*VLOOKUP('Données projet'!$B$14,Paramètres!$A$1:$I$89,5,0)</f>
        <v>297.72339999999991</v>
      </c>
      <c r="DQ32" s="14">
        <f t="shared" si="43"/>
        <v>70.698989284770079</v>
      </c>
      <c r="DR32" s="22">
        <f t="shared" si="16"/>
        <v>641.66899467097437</v>
      </c>
      <c r="DS32" s="62">
        <f t="shared" si="17"/>
        <v>933.78010578208546</v>
      </c>
      <c r="DT32" s="62">
        <f ca="1">AVERAGE(OFFSET($DS$3,0,0,'Données projet'!$E$14+1,1))-AVERAGE(OFFSET($H$3,0,0,'Données projet'!$E$14+1,1))</f>
        <v>534.78683721545372</v>
      </c>
      <c r="DU32" s="62">
        <f t="shared" si="44"/>
        <v>710.59298755711075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16.166666666666668</v>
      </c>
      <c r="EJ32" s="13">
        <f>IF('Données projet'!$A$192&gt;35,EJ31+EI32-ER31,IF(A32&lt;'Données projet'!$A$192,$EG$205^A32,IF(A32='Données projet'!$A$192,'Données projet'!$B$192,EJ31+EI32-ER31)))</f>
        <v>204.16666666666666</v>
      </c>
      <c r="EK32" s="18">
        <f>EJ32*VLOOKUP('Données projet'!$B$15,Paramètres!$A$1:$I$89,3,0)*VLOOKUP('Données projet'!$B$15,Paramètres!$A$1:$I$89,5,0)</f>
        <v>122.09166666666668</v>
      </c>
      <c r="EL32" s="14">
        <f t="shared" si="45"/>
        <v>32.162354475581516</v>
      </c>
      <c r="EM32" s="22">
        <f t="shared" si="19"/>
        <v>268.65908682274898</v>
      </c>
      <c r="EN32" s="62">
        <f t="shared" si="20"/>
        <v>560.77019793386012</v>
      </c>
      <c r="EO32" s="62">
        <f ca="1">AVERAGE(OFFSET($EN$3,0,0,'Données projet'!$E$15+1,1))-AVERAGE(OFFSET($H$3,0,0,'Données projet'!$E$15+1,1))</f>
        <v>292.87204407272162</v>
      </c>
      <c r="EP32" s="62">
        <f t="shared" si="46"/>
        <v>326.06531673481805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313</v>
      </c>
      <c r="L33" s="13">
        <f>VLOOKUP(A33,'Données projet'!$A$35:$I$55,9,0)</f>
        <v>22.9</v>
      </c>
      <c r="M33" s="13">
        <f t="array" ref="M33">INDEX(L:L,MIN(IF(ISNUMBER(L33:L229),ROW(L33:L229),"")))</f>
        <v>22.9</v>
      </c>
      <c r="N33" s="14">
        <f>IF('Données projet'!$A$36&gt;35,N32+M33-V32,IF(A33&lt;'Données projet'!$A$36,$K$205^A33,IF(A33='Données projet'!$A$36,'Données projet'!$B$36,N32+M33-V32)))</f>
        <v>313</v>
      </c>
      <c r="O33" s="14">
        <f>N33*VLOOKUP('Données projet'!$B$9,Paramètres!$A$1:$I$89,3,0)*VLOOKUP('Données projet'!$B$9,Paramètres!$A$1:$I$89,5,0)</f>
        <v>229.49159999999998</v>
      </c>
      <c r="P33" s="14">
        <f t="shared" si="33"/>
        <v>56.172739411163995</v>
      </c>
      <c r="Q33" s="22">
        <f t="shared" si="2"/>
        <v>497.53205780777716</v>
      </c>
      <c r="R33" s="62">
        <f t="shared" si="0"/>
        <v>790.86539114111042</v>
      </c>
      <c r="S33" s="62">
        <f ca="1">AVERAGE(OFFSET($R$3,0,0,'Données projet'!$E$9+1,1))-AVERAGE(OFFSET($H$3,0,0,'Données projet'!$E$9+1,1))</f>
        <v>451.25506262546861</v>
      </c>
      <c r="T33" s="62">
        <f t="shared" si="34"/>
        <v>534.19872447444368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62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11.5</v>
      </c>
      <c r="AI33" s="14">
        <f>IF('Données projet'!$A$62&gt;35,AI32+AH33-AQ32,IF(A33&lt;'Données projet'!$A$62,$AF$205^A33,IF(A33='Données projet'!$A$62,'Données projet'!$B$62,AI32+AH33-AQ32)))</f>
        <v>143.49999999999994</v>
      </c>
      <c r="AJ33" s="14">
        <f>AI33*VLOOKUP('Données projet'!$B$10,Paramètres!$A$1:$I$89,3,0)*VLOOKUP('Données projet'!$B$10,Paramètres!$A$1:$I$89,5,0)</f>
        <v>111.92999999999996</v>
      </c>
      <c r="AK33" s="14">
        <f t="shared" si="35"/>
        <v>29.785246291563833</v>
      </c>
      <c r="AL33" s="22">
        <f t="shared" si="4"/>
        <v>246.82072062447358</v>
      </c>
      <c r="AM33" s="62">
        <f t="shared" si="5"/>
        <v>540.15405395780692</v>
      </c>
      <c r="AN33" s="62">
        <f ca="1">AVERAGE(OFFSET($AM$3,0,0,'Données projet'!$E$10+1,1))-AVERAGE(OFFSET($H$3,0,0,'Données projet'!$E$10+1,1))</f>
        <v>252.84702735189455</v>
      </c>
      <c r="AO33" s="62">
        <f t="shared" si="36"/>
        <v>283.48738729114024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143.49999999999994</v>
      </c>
      <c r="BE33" s="14">
        <f>BD33*VLOOKUP('Données projet'!$B$11,Paramètres!$A$1:$I$89,3,0)*VLOOKUP('Données projet'!$B$11,Paramètres!$A$1:$I$89,5,0)</f>
        <v>96.25979999999997</v>
      </c>
      <c r="BF33" s="14">
        <f t="shared" si="37"/>
        <v>26.068979293748086</v>
      </c>
      <c r="BG33" s="22">
        <f t="shared" si="7"/>
        <v>213.05595726994454</v>
      </c>
      <c r="BH33" s="62">
        <f t="shared" si="8"/>
        <v>506.38929060327786</v>
      </c>
      <c r="BI33" s="62">
        <f ca="1">AVERAGE(OFFSET($BH$3,0,0,'Données projet'!$E$11+1,1))-AVERAGE(OFFSET($H$3,0,0,'Données projet'!$E$11+1,1))</f>
        <v>221.98516361836096</v>
      </c>
      <c r="BJ33" s="62">
        <f t="shared" si="38"/>
        <v>249.72262393661117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143.49999999999994</v>
      </c>
      <c r="BZ33" s="14">
        <f>BY33*VLOOKUP('Données projet'!$B$12,Paramètres!$A$1:$I$89,3,0)*VLOOKUP('Données projet'!$B$12,Paramètres!$A$1:$I$89,5,0)</f>
        <v>114.16859999999997</v>
      </c>
      <c r="CA33" s="14">
        <f t="shared" si="39"/>
        <v>30.311002987693719</v>
      </c>
      <c r="CB33" s="22">
        <f t="shared" si="10"/>
        <v>251.63530853689983</v>
      </c>
      <c r="CC33" s="62">
        <f t="shared" si="11"/>
        <v>544.96864187023311</v>
      </c>
      <c r="CD33" s="62">
        <f ca="1">AVERAGE(OFFSET($CC$3,0,0,'Données projet'!$E$12+1,1))-AVERAGE(OFFSET($H$3,0,0,'Données projet'!$E$12+1,1))</f>
        <v>257.24784840892409</v>
      </c>
      <c r="CE33" s="62">
        <f t="shared" si="40"/>
        <v>288.30197520356643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210</v>
      </c>
      <c r="CR33" s="13">
        <f>VLOOKUP(A33,'Données projet'!$A$139:$I$159,9,0)</f>
        <v>9.15</v>
      </c>
      <c r="CS33" s="13">
        <f t="array" ref="CS33">INDEX(CR:CR,MIN(IF(ISNUMBER(CR33:CR229),ROW(CR33:CR229),"")))</f>
        <v>9.15</v>
      </c>
      <c r="CT33" s="13">
        <f>IF('Données projet'!$A$140&gt;35,CT32+CS33-DB32,IF(A33&lt;'Données projet'!$A$140,$CQ$205^A33,IF(A33='Données projet'!$A$140,'Données projet'!$B$140,CT32+CS33-DB32)))</f>
        <v>210.00000000000006</v>
      </c>
      <c r="CU33" s="18">
        <f>CT33*VLOOKUP('Données projet'!$B$13,Paramètres!$A$1:$I$89,3,0)*VLOOKUP('Données projet'!$B$13,Paramètres!$A$1:$I$89,5,0)</f>
        <v>98.28000000000003</v>
      </c>
      <c r="CV33" s="14">
        <f t="shared" si="41"/>
        <v>26.551818424463473</v>
      </c>
      <c r="CW33" s="22">
        <f t="shared" si="13"/>
        <v>217.41541708927392</v>
      </c>
      <c r="CX33" s="62">
        <f t="shared" si="14"/>
        <v>510.74875042260726</v>
      </c>
      <c r="CY33" s="62">
        <f ca="1">AVERAGE(OFFSET($CX$3,0,0,'Données projet'!$E$13+1,1))-AVERAGE(OFFSET($H$3,0,0,'Données projet'!$E$13+1,1))</f>
        <v>199.0086462069545</v>
      </c>
      <c r="CZ33" s="62">
        <f t="shared" si="42"/>
        <v>254.08208375594057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53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560</v>
      </c>
      <c r="DM33" s="13">
        <f>VLOOKUP(A33,'Données projet'!$A$165:$I$185,9,0)</f>
        <v>27.4</v>
      </c>
      <c r="DN33" s="13">
        <f t="array" ref="DN33">INDEX(DM:DM,MIN(IF(ISNUMBER(DM33:DM229),ROW(DM33:DM229),"")))</f>
        <v>27.4</v>
      </c>
      <c r="DO33" s="13">
        <f>IF('Données projet'!$A$166&gt;35,DO32+DN33-DW32,IF(A33&lt;'Données projet'!$A$166,$DL$205^A33,IF(A33='Données projet'!$A$166,'Données projet'!$B$166,DO32+DN33-DW32)))</f>
        <v>559.99999999999989</v>
      </c>
      <c r="DP33" s="18">
        <f>DO33*VLOOKUP('Données projet'!$B$14,Paramètres!$A$1:$I$89,3,0)*VLOOKUP('Données projet'!$B$14,Paramètres!$A$1:$I$89,5,0)</f>
        <v>313.03999999999996</v>
      </c>
      <c r="DQ33" s="14">
        <f t="shared" si="43"/>
        <v>73.903342138054057</v>
      </c>
      <c r="DR33" s="22">
        <f t="shared" si="16"/>
        <v>673.92632089044412</v>
      </c>
      <c r="DS33" s="62">
        <f t="shared" si="17"/>
        <v>967.25965422377749</v>
      </c>
      <c r="DT33" s="62">
        <f ca="1">AVERAGE(OFFSET($DS$3,0,0,'Données projet'!$E$14+1,1))-AVERAGE(OFFSET($H$3,0,0,'Données projet'!$E$14+1,1))</f>
        <v>534.78683721545372</v>
      </c>
      <c r="DU33" s="62">
        <f t="shared" si="44"/>
        <v>710.59298755711075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67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16.166666666666668</v>
      </c>
      <c r="EJ33" s="13">
        <f>IF('Données projet'!$A$192&gt;35,EJ32+EI33-ER32,IF(A33&lt;'Données projet'!$A$192,$EG$205^A33,IF(A33='Données projet'!$A$192,'Données projet'!$B$192,EJ32+EI33-ER32)))</f>
        <v>220.33333333333331</v>
      </c>
      <c r="EK33" s="18">
        <f>EJ33*VLOOKUP('Données projet'!$B$15,Paramètres!$A$1:$I$89,3,0)*VLOOKUP('Données projet'!$B$15,Paramètres!$A$1:$I$89,5,0)</f>
        <v>131.75933333333333</v>
      </c>
      <c r="EL33" s="14">
        <f t="shared" si="45"/>
        <v>34.402571012016736</v>
      </c>
      <c r="EM33" s="22">
        <f t="shared" si="19"/>
        <v>289.39865006815137</v>
      </c>
      <c r="EN33" s="62">
        <f t="shared" si="20"/>
        <v>582.73198340148474</v>
      </c>
      <c r="EO33" s="62">
        <f ca="1">AVERAGE(OFFSET($EN$3,0,0,'Données projet'!$E$15+1,1))-AVERAGE(OFFSET($H$3,0,0,'Données projet'!$E$15+1,1))</f>
        <v>292.87204407272162</v>
      </c>
      <c r="EP33" s="62">
        <f t="shared" si="46"/>
        <v>326.06531673481805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24.7</v>
      </c>
      <c r="N34" s="14">
        <f>IF('Données projet'!$A$36&gt;35,N33+M34-V33,IF(A34&lt;'Données projet'!$A$36,$K$205^A34,IF(A34='Données projet'!$A$36,'Données projet'!$B$36,N33+M34-V33)))</f>
        <v>275.7</v>
      </c>
      <c r="O34" s="14">
        <f>N34*VLOOKUP('Données projet'!$B$9,Paramètres!$A$1:$I$89,3,0)*VLOOKUP('Données projet'!$B$9,Paramètres!$A$1:$I$89,5,0)</f>
        <v>202.14323999999996</v>
      </c>
      <c r="P34" s="14">
        <f t="shared" si="33"/>
        <v>50.214894406217809</v>
      </c>
      <c r="Q34" s="22">
        <f t="shared" si="2"/>
        <v>439.52375075749592</v>
      </c>
      <c r="R34" s="62">
        <f t="shared" si="0"/>
        <v>732.85708409082918</v>
      </c>
      <c r="S34" s="62">
        <f ca="1">AVERAGE(OFFSET($R$3,0,0,'Données projet'!$E$9+1,1))-AVERAGE(OFFSET($H$3,0,0,'Données projet'!$E$9+1,1))</f>
        <v>451.25506262546861</v>
      </c>
      <c r="T34" s="62">
        <f t="shared" si="34"/>
        <v>534.19872447444368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>
        <f>VLOOKUP(A34,'Données projet'!$A$61:$I$81,2,0)</f>
        <v>155</v>
      </c>
      <c r="AG34" s="13">
        <f>VLOOKUP(A34,'Données projet'!$A$61:$I$81,9,0)</f>
        <v>11.5</v>
      </c>
      <c r="AH34" s="13">
        <f t="array" ref="AH34">INDEX(AG:AG,MIN(IF(ISNUMBER(AG34:AG230),ROW(AG34:AG230),"")))</f>
        <v>11.5</v>
      </c>
      <c r="AI34" s="14">
        <f>IF('Données projet'!$A$62&gt;35,AI33+AH34-AQ33,IF(A34&lt;'Données projet'!$A$62,$AF$205^A34,IF(A34='Données projet'!$A$62,'Données projet'!$B$62,AI33+AH34-AQ33)))</f>
        <v>154.99999999999994</v>
      </c>
      <c r="AJ34" s="14">
        <f>AI34*VLOOKUP('Données projet'!$B$10,Paramètres!$A$1:$I$89,3,0)*VLOOKUP('Données projet'!$B$10,Paramètres!$A$1:$I$89,5,0)</f>
        <v>120.89999999999996</v>
      </c>
      <c r="AK34" s="14">
        <f t="shared" si="35"/>
        <v>31.884818143351602</v>
      </c>
      <c r="AL34" s="22">
        <f t="shared" si="4"/>
        <v>266.10022493300397</v>
      </c>
      <c r="AM34" s="62">
        <f t="shared" si="5"/>
        <v>559.43355826633729</v>
      </c>
      <c r="AN34" s="62">
        <f ca="1">AVERAGE(OFFSET($AM$3,0,0,'Données projet'!$E$10+1,1))-AVERAGE(OFFSET($H$3,0,0,'Données projet'!$E$10+1,1))</f>
        <v>252.84702735189455</v>
      </c>
      <c r="AO34" s="62">
        <f t="shared" si="36"/>
        <v>283.48738729114024</v>
      </c>
      <c r="AP34" s="16">
        <f>IF(ISNA(VLOOKUP(A34,'Données projet'!$A$61:$I$81,3,0)),0,VLOOKUP(A34,'Données projet'!$A$61:$I$81,3,0))</f>
        <v>4</v>
      </c>
      <c r="AQ34" s="16">
        <f>IF(ISNA(VLOOKUP(A34,'Données projet'!$A$61:$I$81,4,0)),0,VLOOKUP(A34,'Données projet'!$A$61:$I$81,4,0))</f>
        <v>36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154.99999999999994</v>
      </c>
      <c r="BE34" s="14">
        <f>BD34*VLOOKUP('Données projet'!$B$11,Paramètres!$A$1:$I$89,3,0)*VLOOKUP('Données projet'!$B$11,Paramètres!$A$1:$I$89,5,0)</f>
        <v>103.97399999999996</v>
      </c>
      <c r="BF34" s="14">
        <f t="shared" si="37"/>
        <v>27.906590257048865</v>
      </c>
      <c r="BG34" s="22">
        <f t="shared" si="7"/>
        <v>229.69202803102669</v>
      </c>
      <c r="BH34" s="62">
        <f t="shared" si="8"/>
        <v>523.02536136436004</v>
      </c>
      <c r="BI34" s="62">
        <f ca="1">AVERAGE(OFFSET($BH$3,0,0,'Données projet'!$E$11+1,1))-AVERAGE(OFFSET($H$3,0,0,'Données projet'!$E$11+1,1))</f>
        <v>221.98516361836096</v>
      </c>
      <c r="BJ34" s="62">
        <f t="shared" si="38"/>
        <v>249.72262393661117</v>
      </c>
      <c r="BK34" s="16">
        <f>IF(ISNA(VLOOKUP(A34,'Données projet'!$A$87:$I$107,3,0)),0,VLOOKUP(A34,'Données projet'!$A$87:$I$107,3,0))</f>
        <v>4</v>
      </c>
      <c r="BL34" s="16">
        <f>IF(ISNA(VLOOKUP(A34,'Données projet'!$A$87:$I$107,4,0)),0,VLOOKUP(A34,'Données projet'!$A$87:$I$107,4,0))</f>
        <v>36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154.99999999999994</v>
      </c>
      <c r="BZ34" s="14">
        <f>BY34*VLOOKUP('Données projet'!$B$12,Paramètres!$A$1:$I$89,3,0)*VLOOKUP('Données projet'!$B$12,Paramètres!$A$1:$I$89,5,0)</f>
        <v>123.31799999999996</v>
      </c>
      <c r="CA34" s="14">
        <f t="shared" si="39"/>
        <v>32.44763560269552</v>
      </c>
      <c r="CB34" s="22">
        <f t="shared" si="10"/>
        <v>271.29181534136131</v>
      </c>
      <c r="CC34" s="62">
        <f t="shared" si="11"/>
        <v>564.62514867469463</v>
      </c>
      <c r="CD34" s="62">
        <f ca="1">AVERAGE(OFFSET($CC$3,0,0,'Données projet'!$E$12+1,1))-AVERAGE(OFFSET($H$3,0,0,'Données projet'!$E$12+1,1))</f>
        <v>257.24784840892409</v>
      </c>
      <c r="CE34" s="62">
        <f t="shared" si="40"/>
        <v>288.30197520356643</v>
      </c>
      <c r="CF34" s="16">
        <f>IF(ISNA(VLOOKUP(A34,'Données projet'!$A$113:$I$133,3,0)),0,VLOOKUP(A34,'Données projet'!$A$113:$I$133,3,0))</f>
        <v>4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</v>
      </c>
      <c r="CT34" s="13">
        <f>IF('Données projet'!$A$140&gt;35,CT33+CS34-DB33,IF(A34&lt;'Données projet'!$A$140,$CQ$205^A34,IF(A34='Données projet'!$A$140,'Données projet'!$B$140,CT33+CS34-DB33)))</f>
        <v>167.00000000000006</v>
      </c>
      <c r="CU34" s="18">
        <f>CT34*VLOOKUP('Données projet'!$B$13,Paramètres!$A$1:$I$89,3,0)*VLOOKUP('Données projet'!$B$13,Paramètres!$A$1:$I$89,5,0)</f>
        <v>78.15600000000002</v>
      </c>
      <c r="CV34" s="14">
        <f t="shared" si="41"/>
        <v>21.685706446534809</v>
      </c>
      <c r="CW34" s="22">
        <f t="shared" si="13"/>
        <v>173.89097206104816</v>
      </c>
      <c r="CX34" s="62">
        <f t="shared" si="14"/>
        <v>467.22430539438147</v>
      </c>
      <c r="CY34" s="62">
        <f ca="1">AVERAGE(OFFSET($CX$3,0,0,'Données projet'!$E$13+1,1))-AVERAGE(OFFSET($H$3,0,0,'Données projet'!$E$13+1,1))</f>
        <v>199.0086462069545</v>
      </c>
      <c r="CZ34" s="62">
        <f t="shared" si="42"/>
        <v>254.08208375594057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24.6</v>
      </c>
      <c r="DO34" s="13">
        <f>IF('Données projet'!$A$166&gt;35,DO33+DN34-DW33,IF(A34&lt;'Données projet'!$A$166,$DL$205^A34,IF(A34='Données projet'!$A$166,'Données projet'!$B$166,DO33+DN34-DW33)))</f>
        <v>517.59999999999991</v>
      </c>
      <c r="DP34" s="18">
        <f>DO34*VLOOKUP('Données projet'!$B$14,Paramètres!$A$1:$I$89,3,0)*VLOOKUP('Données projet'!$B$14,Paramètres!$A$1:$I$89,5,0)</f>
        <v>289.33839999999998</v>
      </c>
      <c r="DQ34" s="14">
        <f t="shared" si="43"/>
        <v>68.936697354141856</v>
      </c>
      <c r="DR34" s="22">
        <f t="shared" si="16"/>
        <v>623.99579455846367</v>
      </c>
      <c r="DS34" s="62">
        <f t="shared" si="17"/>
        <v>917.32912789179704</v>
      </c>
      <c r="DT34" s="62">
        <f ca="1">AVERAGE(OFFSET($DS$3,0,0,'Données projet'!$E$14+1,1))-AVERAGE(OFFSET($H$3,0,0,'Données projet'!$E$14+1,1))</f>
        <v>534.78683721545372</v>
      </c>
      <c r="DU34" s="62">
        <f t="shared" si="44"/>
        <v>710.59298755711075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16.166666666666668</v>
      </c>
      <c r="EJ34" s="13">
        <f>IF('Données projet'!$A$192&gt;35,EJ33+EI34-ER33,IF(A34&lt;'Données projet'!$A$192,$EG$205^A34,IF(A34='Données projet'!$A$192,'Données projet'!$B$192,EJ33+EI34-ER33)))</f>
        <v>236.49999999999997</v>
      </c>
      <c r="EK34" s="18">
        <f>EJ34*VLOOKUP('Données projet'!$B$15,Paramètres!$A$1:$I$89,3,0)*VLOOKUP('Données projet'!$B$15,Paramètres!$A$1:$I$89,5,0)</f>
        <v>141.42699999999999</v>
      </c>
      <c r="EL34" s="14">
        <f t="shared" si="45"/>
        <v>36.623717959686019</v>
      </c>
      <c r="EM34" s="22">
        <f t="shared" si="19"/>
        <v>310.10500044645312</v>
      </c>
      <c r="EN34" s="62">
        <f t="shared" si="20"/>
        <v>603.43833377978649</v>
      </c>
      <c r="EO34" s="62">
        <f ca="1">AVERAGE(OFFSET($EN$3,0,0,'Données projet'!$E$15+1,1))-AVERAGE(OFFSET($H$3,0,0,'Données projet'!$E$15+1,1))</f>
        <v>292.87204407272162</v>
      </c>
      <c r="EP34" s="62">
        <f t="shared" si="46"/>
        <v>326.06531673481805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24.7</v>
      </c>
      <c r="N35" s="14">
        <f>IF('Données projet'!$A$36&gt;35,N34+M35-V34,IF(A35&lt;'Données projet'!$A$36,$K$205^A35,IF(A35='Données projet'!$A$36,'Données projet'!$B$36,N34+M35-V34)))</f>
        <v>300.39999999999998</v>
      </c>
      <c r="O35" s="14">
        <f>N35*VLOOKUP('Données projet'!$B$9,Paramètres!$A$1:$I$89,3,0)*VLOOKUP('Données projet'!$B$9,Paramètres!$A$1:$I$89,5,0)</f>
        <v>220.25327999999999</v>
      </c>
      <c r="P35" s="14">
        <f t="shared" si="33"/>
        <v>54.169931190250303</v>
      </c>
      <c r="Q35" s="22">
        <f t="shared" ref="Q35:Q66" si="53">(O35+P35)*0.475*44/12</f>
        <v>477.95375948968586</v>
      </c>
      <c r="R35" s="62">
        <f t="shared" si="0"/>
        <v>771.28709282301918</v>
      </c>
      <c r="S35" s="62">
        <f ca="1">AVERAGE(OFFSET($R$3,0,0,'Données projet'!$E$9+1,1))-AVERAGE(OFFSET($H$3,0,0,'Données projet'!$E$9+1,1))</f>
        <v>451.25506262546861</v>
      </c>
      <c r="T35" s="62">
        <f t="shared" si="34"/>
        <v>534.19872447444368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11.5</v>
      </c>
      <c r="AI35" s="14">
        <f>IF('Données projet'!$A$62&gt;35,AI34+AH35-AQ34,IF(A35&lt;'Données projet'!$A$62,$AF$205^A35,IF(A35='Données projet'!$A$62,'Données projet'!$B$62,AI34+AH35-AQ34)))</f>
        <v>130.49999999999994</v>
      </c>
      <c r="AJ35" s="14">
        <f>AI35*VLOOKUP('Données projet'!$B$10,Paramètres!$A$1:$I$89,3,0)*VLOOKUP('Données projet'!$B$10,Paramètres!$A$1:$I$89,5,0)</f>
        <v>101.78999999999996</v>
      </c>
      <c r="AK35" s="14">
        <f t="shared" si="35"/>
        <v>27.38799903683508</v>
      </c>
      <c r="AL35" s="22">
        <f t="shared" si="4"/>
        <v>224.98501498915437</v>
      </c>
      <c r="AM35" s="62">
        <f t="shared" si="5"/>
        <v>518.31834832248774</v>
      </c>
      <c r="AN35" s="62">
        <f ca="1">AVERAGE(OFFSET($AM$3,0,0,'Données projet'!$E$10+1,1))-AVERAGE(OFFSET($H$3,0,0,'Données projet'!$E$10+1,1))</f>
        <v>252.84702735189455</v>
      </c>
      <c r="AO35" s="62">
        <f t="shared" si="36"/>
        <v>283.48738729114024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130.49999999999994</v>
      </c>
      <c r="BE35" s="14">
        <f>BD35*VLOOKUP('Données projet'!$B$11,Paramètres!$A$1:$I$89,3,0)*VLOOKUP('Données projet'!$B$11,Paramètres!$A$1:$I$89,5,0)</f>
        <v>87.539399999999958</v>
      </c>
      <c r="BF35" s="14">
        <f t="shared" si="37"/>
        <v>23.970833505938423</v>
      </c>
      <c r="BG35" s="22">
        <f t="shared" si="7"/>
        <v>194.21365668950932</v>
      </c>
      <c r="BH35" s="62">
        <f t="shared" si="8"/>
        <v>487.54699002284264</v>
      </c>
      <c r="BI35" s="62">
        <f ca="1">AVERAGE(OFFSET($BH$3,0,0,'Données projet'!$E$11+1,1))-AVERAGE(OFFSET($H$3,0,0,'Données projet'!$E$11+1,1))</f>
        <v>221.98516361836096</v>
      </c>
      <c r="BJ35" s="62">
        <f t="shared" si="38"/>
        <v>249.72262393661117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projet'!$B$12,Paramètres!$A$1:$I$89,3,0)*VLOOKUP('Données projet'!$B$12,Paramètres!$A$1:$I$89,5,0)</f>
        <v>103.82579999999997</v>
      </c>
      <c r="CA35" s="14">
        <f t="shared" si="39"/>
        <v>27.871440528178173</v>
      </c>
      <c r="CB35" s="22">
        <f t="shared" si="10"/>
        <v>229.37269391991026</v>
      </c>
      <c r="CC35" s="62">
        <f t="shared" si="11"/>
        <v>522.70602725324352</v>
      </c>
      <c r="CD35" s="62">
        <f ca="1">AVERAGE(OFFSET($CC$3,0,0,'Données projet'!$E$12+1,1))-AVERAGE(OFFSET($H$3,0,0,'Données projet'!$E$12+1,1))</f>
        <v>257.24784840892409</v>
      </c>
      <c r="CE35" s="62">
        <f t="shared" si="40"/>
        <v>288.30197520356643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</v>
      </c>
      <c r="CT35" s="13">
        <f>IF('Données projet'!$A$140&gt;35,CT34+CS35-DB34,IF(A35&lt;'Données projet'!$A$140,$CQ$205^A35,IF(A35='Données projet'!$A$140,'Données projet'!$B$140,CT34+CS35-DB34)))</f>
        <v>177.00000000000006</v>
      </c>
      <c r="CU35" s="18">
        <f>CT35*VLOOKUP('Données projet'!$B$13,Paramètres!$A$1:$I$89,3,0)*VLOOKUP('Données projet'!$B$13,Paramètres!$A$1:$I$89,5,0)</f>
        <v>82.836000000000027</v>
      </c>
      <c r="CV35" s="14">
        <f t="shared" si="41"/>
        <v>22.829188748646022</v>
      </c>
      <c r="CW35" s="22">
        <f t="shared" si="13"/>
        <v>184.03353707055851</v>
      </c>
      <c r="CX35" s="62">
        <f t="shared" si="14"/>
        <v>477.36687040389182</v>
      </c>
      <c r="CY35" s="62">
        <f ca="1">AVERAGE(OFFSET($CX$3,0,0,'Données projet'!$E$13+1,1))-AVERAGE(OFFSET($H$3,0,0,'Données projet'!$E$13+1,1))</f>
        <v>199.0086462069545</v>
      </c>
      <c r="CZ35" s="62">
        <f t="shared" si="42"/>
        <v>254.08208375594057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24.6</v>
      </c>
      <c r="DO35" s="13">
        <f>IF('Données projet'!$A$166&gt;35,DO34+DN35-DW34,IF(A35&lt;'Données projet'!$A$166,$DL$205^A35,IF(A35='Données projet'!$A$166,'Données projet'!$B$166,DO34+DN35-DW34)))</f>
        <v>542.19999999999993</v>
      </c>
      <c r="DP35" s="18">
        <f>DO35*VLOOKUP('Données projet'!$B$14,Paramètres!$A$1:$I$89,3,0)*VLOOKUP('Données projet'!$B$14,Paramètres!$A$1:$I$89,5,0)</f>
        <v>303.08979999999997</v>
      </c>
      <c r="DQ35" s="14">
        <f t="shared" si="43"/>
        <v>71.823817446744386</v>
      </c>
      <c r="DR35" s="22">
        <f t="shared" si="16"/>
        <v>652.97455038641306</v>
      </c>
      <c r="DS35" s="62">
        <f t="shared" si="17"/>
        <v>946.30788371974631</v>
      </c>
      <c r="DT35" s="62">
        <f ca="1">AVERAGE(OFFSET($DS$3,0,0,'Données projet'!$E$14+1,1))-AVERAGE(OFFSET($H$3,0,0,'Données projet'!$E$14+1,1))</f>
        <v>534.78683721545372</v>
      </c>
      <c r="DU35" s="62">
        <f t="shared" si="44"/>
        <v>710.59298755711075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16.166666666666668</v>
      </c>
      <c r="EJ35" s="13">
        <f>IF('Données projet'!$A$192&gt;35,EJ34+EI35-ER34,IF(A35&lt;'Données projet'!$A$192,$EG$205^A35,IF(A35='Données projet'!$A$192,'Données projet'!$B$192,EJ34+EI35-ER34)))</f>
        <v>252.66666666666663</v>
      </c>
      <c r="EK35" s="18">
        <f>EJ35*VLOOKUP('Données projet'!$B$15,Paramètres!$A$1:$I$89,3,0)*VLOOKUP('Données projet'!$B$15,Paramètres!$A$1:$I$89,5,0)</f>
        <v>151.09466666666665</v>
      </c>
      <c r="EL35" s="14">
        <f t="shared" si="45"/>
        <v>38.827247175812786</v>
      </c>
      <c r="EM35" s="22">
        <f t="shared" si="19"/>
        <v>330.78066660898503</v>
      </c>
      <c r="EN35" s="62">
        <f t="shared" si="20"/>
        <v>624.11399994231829</v>
      </c>
      <c r="EO35" s="62">
        <f ca="1">AVERAGE(OFFSET($EN$3,0,0,'Données projet'!$E$15+1,1))-AVERAGE(OFFSET($H$3,0,0,'Données projet'!$E$15+1,1))</f>
        <v>292.87204407272162</v>
      </c>
      <c r="EP35" s="62">
        <f t="shared" si="46"/>
        <v>326.06531673481805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24.7</v>
      </c>
      <c r="N36" s="14">
        <f>IF('Données projet'!$A$36&gt;35,N35+M36-V35,IF(A36&lt;'Données projet'!$A$36,$K$205^A36,IF(A36='Données projet'!$A$36,'Données projet'!$B$36,N35+M36-V35)))</f>
        <v>325.09999999999997</v>
      </c>
      <c r="O36" s="14">
        <f>N36*VLOOKUP('Données projet'!$B$9,Paramètres!$A$1:$I$89,3,0)*VLOOKUP('Données projet'!$B$9,Paramètres!$A$1:$I$89,5,0)</f>
        <v>238.36331999999996</v>
      </c>
      <c r="P36" s="14">
        <f t="shared" si="33"/>
        <v>58.087250688894315</v>
      </c>
      <c r="Q36" s="22">
        <f t="shared" si="53"/>
        <v>516.31807728315755</v>
      </c>
      <c r="R36" s="62">
        <f t="shared" si="0"/>
        <v>809.65141061649092</v>
      </c>
      <c r="S36" s="62">
        <f ca="1">AVERAGE(OFFSET($R$3,0,0,'Données projet'!$E$9+1,1))-AVERAGE(OFFSET($H$3,0,0,'Données projet'!$E$9+1,1))</f>
        <v>451.25506262546861</v>
      </c>
      <c r="T36" s="62">
        <f t="shared" si="34"/>
        <v>534.19872447444368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11.5</v>
      </c>
      <c r="AI36" s="14">
        <f>IF('Données projet'!$A$62&gt;35,AI35+AH36-AQ35,IF(A36&lt;'Données projet'!$A$62,$AF$205^A36,IF(A36='Données projet'!$A$62,'Données projet'!$B$62,AI35+AH36-AQ35)))</f>
        <v>141.99999999999994</v>
      </c>
      <c r="AJ36" s="14">
        <f>AI36*VLOOKUP('Données projet'!$B$10,Paramètres!$A$1:$I$89,3,0)*VLOOKUP('Données projet'!$B$10,Paramètres!$A$1:$I$89,5,0)</f>
        <v>110.75999999999996</v>
      </c>
      <c r="AK36" s="14">
        <f t="shared" si="35"/>
        <v>29.509974682362923</v>
      </c>
      <c r="AL36" s="22">
        <f t="shared" si="4"/>
        <v>244.30353923844871</v>
      </c>
      <c r="AM36" s="62">
        <f t="shared" si="5"/>
        <v>537.63687257178208</v>
      </c>
      <c r="AN36" s="62">
        <f ca="1">AVERAGE(OFFSET($AM$3,0,0,'Données projet'!$E$10+1,1))-AVERAGE(OFFSET($H$3,0,0,'Données projet'!$E$10+1,1))</f>
        <v>252.84702735189455</v>
      </c>
      <c r="AO36" s="62">
        <f t="shared" si="36"/>
        <v>283.48738729114024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141.99999999999994</v>
      </c>
      <c r="BE36" s="14">
        <f>BD36*VLOOKUP('Données projet'!$B$11,Paramètres!$A$1:$I$89,3,0)*VLOOKUP('Données projet'!$B$11,Paramètres!$A$1:$I$89,5,0)</f>
        <v>95.253599999999963</v>
      </c>
      <c r="BF36" s="14">
        <f t="shared" si="37"/>
        <v>25.828052970353951</v>
      </c>
      <c r="BG36" s="22">
        <f t="shared" si="7"/>
        <v>210.88387892336638</v>
      </c>
      <c r="BH36" s="62">
        <f t="shared" si="8"/>
        <v>504.21721225669967</v>
      </c>
      <c r="BI36" s="62">
        <f ca="1">AVERAGE(OFFSET($BH$3,0,0,'Données projet'!$E$11+1,1))-AVERAGE(OFFSET($H$3,0,0,'Données projet'!$E$11+1,1))</f>
        <v>221.98516361836096</v>
      </c>
      <c r="BJ36" s="62">
        <f t="shared" si="38"/>
        <v>249.72262393661117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112.97519999999996</v>
      </c>
      <c r="CA36" s="14">
        <f t="shared" si="39"/>
        <v>30.030872399306435</v>
      </c>
      <c r="CB36" s="22">
        <f t="shared" si="10"/>
        <v>249.06890942879195</v>
      </c>
      <c r="CC36" s="62">
        <f t="shared" si="11"/>
        <v>542.4022427621253</v>
      </c>
      <c r="CD36" s="62">
        <f ca="1">AVERAGE(OFFSET($CC$3,0,0,'Données projet'!$E$12+1,1))-AVERAGE(OFFSET($H$3,0,0,'Données projet'!$E$12+1,1))</f>
        <v>257.24784840892409</v>
      </c>
      <c r="CE36" s="62">
        <f t="shared" si="40"/>
        <v>288.30197520356643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</v>
      </c>
      <c r="CT36" s="13">
        <f>IF('Données projet'!$A$140&gt;35,CT35+CS36-DB35,IF(A36&lt;'Données projet'!$A$140,$CQ$205^A36,IF(A36='Données projet'!$A$140,'Données projet'!$B$140,CT35+CS36-DB35)))</f>
        <v>187.00000000000006</v>
      </c>
      <c r="CU36" s="18">
        <f>CT36*VLOOKUP('Données projet'!$B$13,Paramètres!$A$1:$I$89,3,0)*VLOOKUP('Données projet'!$B$13,Paramètres!$A$1:$I$89,5,0)</f>
        <v>87.516000000000034</v>
      </c>
      <c r="CV36" s="14">
        <f t="shared" si="41"/>
        <v>23.965171662037665</v>
      </c>
      <c r="CW36" s="22">
        <f t="shared" si="13"/>
        <v>194.16304064471566</v>
      </c>
      <c r="CX36" s="62">
        <f t="shared" si="14"/>
        <v>487.49637397804895</v>
      </c>
      <c r="CY36" s="62">
        <f ca="1">AVERAGE(OFFSET($CX$3,0,0,'Données projet'!$E$13+1,1))-AVERAGE(OFFSET($H$3,0,0,'Données projet'!$E$13+1,1))</f>
        <v>199.0086462069545</v>
      </c>
      <c r="CZ36" s="62">
        <f t="shared" si="42"/>
        <v>254.08208375594057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24.6</v>
      </c>
      <c r="DO36" s="13">
        <f>IF('Données projet'!$A$166&gt;35,DO35+DN36-DW35,IF(A36&lt;'Données projet'!$A$166,$DL$205^A36,IF(A36='Données projet'!$A$166,'Données projet'!$B$166,DO35+DN36-DW35)))</f>
        <v>566.79999999999995</v>
      </c>
      <c r="DP36" s="18">
        <f>DO36*VLOOKUP('Données projet'!$B$14,Paramètres!$A$1:$I$89,3,0)*VLOOKUP('Données projet'!$B$14,Paramètres!$A$1:$I$89,5,0)</f>
        <v>316.84120000000001</v>
      </c>
      <c r="DQ36" s="14">
        <f t="shared" si="43"/>
        <v>74.695724902330795</v>
      </c>
      <c r="DR36" s="22">
        <f t="shared" si="16"/>
        <v>681.9268108715595</v>
      </c>
      <c r="DS36" s="62">
        <f t="shared" si="17"/>
        <v>975.26014420489287</v>
      </c>
      <c r="DT36" s="62">
        <f ca="1">AVERAGE(OFFSET($DS$3,0,0,'Données projet'!$E$14+1,1))-AVERAGE(OFFSET($H$3,0,0,'Données projet'!$E$14+1,1))</f>
        <v>534.78683721545372</v>
      </c>
      <c r="DU36" s="62">
        <f t="shared" si="44"/>
        <v>710.59298755711075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16.166666666666668</v>
      </c>
      <c r="EJ36" s="13">
        <f>IF('Données projet'!$A$192&gt;35,EJ35+EI36-ER35,IF(A36&lt;'Données projet'!$A$192,$EG$205^A36,IF(A36='Données projet'!$A$192,'Données projet'!$B$192,EJ35+EI36-ER35)))</f>
        <v>268.83333333333331</v>
      </c>
      <c r="EK36" s="18">
        <f>EJ36*VLOOKUP('Données projet'!$B$15,Paramètres!$A$1:$I$89,3,0)*VLOOKUP('Données projet'!$B$15,Paramètres!$A$1:$I$89,5,0)</f>
        <v>160.76233333333332</v>
      </c>
      <c r="EL36" s="14">
        <f t="shared" si="45"/>
        <v>41.01441422175877</v>
      </c>
      <c r="EM36" s="22">
        <f t="shared" si="19"/>
        <v>351.42783532511868</v>
      </c>
      <c r="EN36" s="62">
        <f t="shared" si="20"/>
        <v>644.76116865845199</v>
      </c>
      <c r="EO36" s="62">
        <f ca="1">AVERAGE(OFFSET($EN$3,0,0,'Données projet'!$E$15+1,1))-AVERAGE(OFFSET($H$3,0,0,'Données projet'!$E$15+1,1))</f>
        <v>292.87204407272162</v>
      </c>
      <c r="EP36" s="62">
        <f t="shared" si="46"/>
        <v>326.06531673481805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24.7</v>
      </c>
      <c r="N37" s="14">
        <f>IF('Données projet'!$A$36&gt;35,N36+M37-V36,IF(A37&lt;'Données projet'!$A$36,$K$205^A37,IF(A37='Données projet'!$A$36,'Données projet'!$B$36,N36+M37-V36)))</f>
        <v>349.79999999999995</v>
      </c>
      <c r="O37" s="14">
        <f>N37*VLOOKUP('Données projet'!$B$9,Paramètres!$A$1:$I$89,3,0)*VLOOKUP('Données projet'!$B$9,Paramètres!$A$1:$I$89,5,0)</f>
        <v>256.47335999999996</v>
      </c>
      <c r="P37" s="14">
        <f t="shared" si="33"/>
        <v>61.970044365838163</v>
      </c>
      <c r="Q37" s="22">
        <f t="shared" si="53"/>
        <v>554.62226260383466</v>
      </c>
      <c r="R37" s="62">
        <f t="shared" si="0"/>
        <v>847.95559593716803</v>
      </c>
      <c r="S37" s="62">
        <f ca="1">AVERAGE(OFFSET($R$3,0,0,'Données projet'!$E$9+1,1))-AVERAGE(OFFSET($H$3,0,0,'Données projet'!$E$9+1,1))</f>
        <v>451.25506262546861</v>
      </c>
      <c r="T37" s="62">
        <f t="shared" si="34"/>
        <v>534.19872447444368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11.5</v>
      </c>
      <c r="AI37" s="14">
        <f>IF('Données projet'!$A$62&gt;35,AI36+AH37-AQ36,IF(A37&lt;'Données projet'!$A$62,$AF$205^A37,IF(A37='Données projet'!$A$62,'Données projet'!$B$62,AI36+AH37-AQ36)))</f>
        <v>153.49999999999994</v>
      </c>
      <c r="AJ37" s="14">
        <f>AI37*VLOOKUP('Données projet'!$B$10,Paramètres!$A$1:$I$89,3,0)*VLOOKUP('Données projet'!$B$10,Paramètres!$A$1:$I$89,5,0)</f>
        <v>119.72999999999996</v>
      </c>
      <c r="AK37" s="14">
        <f t="shared" si="35"/>
        <v>31.612017974790529</v>
      </c>
      <c r="AL37" s="22">
        <f t="shared" si="4"/>
        <v>263.58734797276003</v>
      </c>
      <c r="AM37" s="62">
        <f t="shared" si="5"/>
        <v>556.92068130609334</v>
      </c>
      <c r="AN37" s="62">
        <f ca="1">AVERAGE(OFFSET($AM$3,0,0,'Données projet'!$E$10+1,1))-AVERAGE(OFFSET($H$3,0,0,'Données projet'!$E$10+1,1))</f>
        <v>252.84702735189455</v>
      </c>
      <c r="AO37" s="62">
        <f t="shared" si="36"/>
        <v>283.48738729114024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153.49999999999994</v>
      </c>
      <c r="BE37" s="14">
        <f>BD37*VLOOKUP('Données projet'!$B$11,Paramètres!$A$1:$I$89,3,0)*VLOOKUP('Données projet'!$B$11,Paramètres!$A$1:$I$89,5,0)</f>
        <v>102.96779999999997</v>
      </c>
      <c r="BF37" s="14">
        <f t="shared" si="37"/>
        <v>27.667827015814101</v>
      </c>
      <c r="BG37" s="22">
        <f t="shared" si="7"/>
        <v>227.52371705254282</v>
      </c>
      <c r="BH37" s="62">
        <f t="shared" si="8"/>
        <v>520.85705038587616</v>
      </c>
      <c r="BI37" s="62">
        <f ca="1">AVERAGE(OFFSET($BH$3,0,0,'Données projet'!$E$11+1,1))-AVERAGE(OFFSET($H$3,0,0,'Données projet'!$E$11+1,1))</f>
        <v>221.98516361836096</v>
      </c>
      <c r="BJ37" s="62">
        <f t="shared" si="38"/>
        <v>249.72262393661117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projet'!$B$12,Paramètres!$A$1:$I$89,3,0)*VLOOKUP('Données projet'!$B$12,Paramètres!$A$1:$I$89,5,0)</f>
        <v>122.12459999999996</v>
      </c>
      <c r="CA37" s="14">
        <f t="shared" si="39"/>
        <v>32.170020079783427</v>
      </c>
      <c r="CB37" s="22">
        <f t="shared" si="10"/>
        <v>268.72979663895603</v>
      </c>
      <c r="CC37" s="62">
        <f t="shared" si="11"/>
        <v>562.06312997228929</v>
      </c>
      <c r="CD37" s="62">
        <f ca="1">AVERAGE(OFFSET($CC$3,0,0,'Données projet'!$E$12+1,1))-AVERAGE(OFFSET($H$3,0,0,'Données projet'!$E$12+1,1))</f>
        <v>257.24784840892409</v>
      </c>
      <c r="CE37" s="62">
        <f t="shared" si="40"/>
        <v>288.30197520356643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</v>
      </c>
      <c r="CT37" s="13">
        <f>IF('Données projet'!$A$140&gt;35,CT36+CS37-DB36,IF(A37&lt;'Données projet'!$A$140,$CQ$205^A37,IF(A37='Données projet'!$A$140,'Données projet'!$B$140,CT36+CS37-DB36)))</f>
        <v>197.00000000000006</v>
      </c>
      <c r="CU37" s="18">
        <f>CT37*VLOOKUP('Données projet'!$B$13,Paramètres!$A$1:$I$89,3,0)*VLOOKUP('Données projet'!$B$13,Paramètres!$A$1:$I$89,5,0)</f>
        <v>92.196000000000026</v>
      </c>
      <c r="CV37" s="14">
        <f t="shared" si="41"/>
        <v>25.09410195059451</v>
      </c>
      <c r="CW37" s="22">
        <f t="shared" si="13"/>
        <v>204.2802608972855</v>
      </c>
      <c r="CX37" s="62">
        <f t="shared" si="14"/>
        <v>497.61359423061879</v>
      </c>
      <c r="CY37" s="62">
        <f ca="1">AVERAGE(OFFSET($CX$3,0,0,'Données projet'!$E$13+1,1))-AVERAGE(OFFSET($H$3,0,0,'Données projet'!$E$13+1,1))</f>
        <v>199.0086462069545</v>
      </c>
      <c r="CZ37" s="62">
        <f t="shared" si="42"/>
        <v>254.08208375594057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24.6</v>
      </c>
      <c r="DO37" s="13">
        <f>IF('Données projet'!$A$166&gt;35,DO36+DN37-DW36,IF(A37&lt;'Données projet'!$A$166,$DL$205^A37,IF(A37='Données projet'!$A$166,'Données projet'!$B$166,DO36+DN37-DW36)))</f>
        <v>591.4</v>
      </c>
      <c r="DP37" s="18">
        <f>DO37*VLOOKUP('Données projet'!$B$14,Paramètres!$A$1:$I$89,3,0)*VLOOKUP('Données projet'!$B$14,Paramètres!$A$1:$I$89,5,0)</f>
        <v>330.5926</v>
      </c>
      <c r="DQ37" s="14">
        <f t="shared" si="43"/>
        <v>77.553155439033247</v>
      </c>
      <c r="DR37" s="22">
        <f t="shared" si="16"/>
        <v>710.85385738964942</v>
      </c>
      <c r="DS37" s="62">
        <f t="shared" si="17"/>
        <v>1004.1871907229827</v>
      </c>
      <c r="DT37" s="62">
        <f ca="1">AVERAGE(OFFSET($DS$3,0,0,'Données projet'!$E$14+1,1))-AVERAGE(OFFSET($H$3,0,0,'Données projet'!$E$14+1,1))</f>
        <v>534.78683721545372</v>
      </c>
      <c r="DU37" s="62">
        <f t="shared" si="44"/>
        <v>710.59298755711075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>
        <f>VLOOKUP(A37,'Données projet'!$A$191:$I$211,2,0)</f>
        <v>285</v>
      </c>
      <c r="EH37" s="13">
        <f>VLOOKUP(A37,'Données projet'!$A$191:$I$211,9,0)</f>
        <v>16.166666666666668</v>
      </c>
      <c r="EI37" s="13">
        <f t="array" ref="EI37">INDEX(EH:EH,MIN(IF(ISNUMBER(EH37:EH233),ROW(EH37:EH233),"")))</f>
        <v>16.166666666666668</v>
      </c>
      <c r="EJ37" s="13">
        <f>IF('Données projet'!$A$192&gt;35,EJ36+EI37-ER36,IF(A37&lt;'Données projet'!$A$192,$EG$205^A37,IF(A37='Données projet'!$A$192,'Données projet'!$B$192,EJ36+EI37-ER36)))</f>
        <v>285</v>
      </c>
      <c r="EK37" s="18">
        <f>EJ37*VLOOKUP('Données projet'!$B$15,Paramètres!$A$1:$I$89,3,0)*VLOOKUP('Données projet'!$B$15,Paramètres!$A$1:$I$89,5,0)</f>
        <v>170.43</v>
      </c>
      <c r="EL37" s="14">
        <f t="shared" si="45"/>
        <v>43.186315117079396</v>
      </c>
      <c r="EM37" s="22">
        <f t="shared" si="19"/>
        <v>372.04841549557995</v>
      </c>
      <c r="EN37" s="62">
        <f t="shared" si="20"/>
        <v>665.38174882891326</v>
      </c>
      <c r="EO37" s="62">
        <f ca="1">AVERAGE(OFFSET($EN$3,0,0,'Données projet'!$E$15+1,1))-AVERAGE(OFFSET($H$3,0,0,'Données projet'!$E$15+1,1))</f>
        <v>292.87204407272162</v>
      </c>
      <c r="EP37" s="62">
        <f t="shared" si="46"/>
        <v>326.06531673481805</v>
      </c>
      <c r="EQ37" s="16">
        <f>IF(ISNA(VLOOKUP(A37,'Données projet'!$A$191:$I$211,3,0)),0,VLOOKUP(A37,'Données projet'!$A$191:$I$211,3,0))</f>
        <v>6</v>
      </c>
      <c r="ER37" s="16">
        <f>IF(ISNA(VLOOKUP(A37,'Données projet'!$A$191:$I$211,4,0)),0,VLOOKUP(A37,'Données projet'!$A$191:$I$211,4,0))</f>
        <v>55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24.7</v>
      </c>
      <c r="N38" s="14">
        <f>IF('Données projet'!$A$36&gt;35,N37+M38-V37,IF(A38&lt;'Données projet'!$A$36,$K$205^A38,IF(A38='Données projet'!$A$36,'Données projet'!$B$36,N37+M38-V37)))</f>
        <v>374.49999999999994</v>
      </c>
      <c r="O38" s="14">
        <f>N38*VLOOKUP('Données projet'!$B$9,Paramètres!$A$1:$I$89,3,0)*VLOOKUP('Données projet'!$B$9,Paramètres!$A$1:$I$89,5,0)</f>
        <v>274.58339999999993</v>
      </c>
      <c r="P38" s="14">
        <f t="shared" si="33"/>
        <v>65.821027443501535</v>
      </c>
      <c r="Q38" s="22">
        <f t="shared" si="53"/>
        <v>592.8710444640983</v>
      </c>
      <c r="R38" s="62">
        <f t="shared" si="0"/>
        <v>886.20437779743156</v>
      </c>
      <c r="S38" s="62">
        <f ca="1">AVERAGE(OFFSET($R$3,0,0,'Données projet'!$E$9+1,1))-AVERAGE(OFFSET($H$3,0,0,'Données projet'!$E$9+1,1))</f>
        <v>451.25506262546861</v>
      </c>
      <c r="T38" s="62">
        <f t="shared" si="34"/>
        <v>534.19872447444368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11.5</v>
      </c>
      <c r="AI38" s="14">
        <f>IF('Données projet'!$A$62&gt;35,AI37+AH38-AQ37,IF(A38&lt;'Données projet'!$A$62,$AF$205^A38,IF(A38='Données projet'!$A$62,'Données projet'!$B$62,AI37+AH38-AQ37)))</f>
        <v>164.99999999999994</v>
      </c>
      <c r="AJ38" s="14">
        <f>AI38*VLOOKUP('Données projet'!$B$10,Paramètres!$A$1:$I$89,3,0)*VLOOKUP('Données projet'!$B$10,Paramètres!$A$1:$I$89,5,0)</f>
        <v>128.69999999999996</v>
      </c>
      <c r="AK38" s="14">
        <f t="shared" si="35"/>
        <v>33.695792019186115</v>
      </c>
      <c r="AL38" s="22">
        <f t="shared" si="4"/>
        <v>282.83933776674911</v>
      </c>
      <c r="AM38" s="62">
        <f t="shared" si="5"/>
        <v>576.17267110008243</v>
      </c>
      <c r="AN38" s="62">
        <f ca="1">AVERAGE(OFFSET($AM$3,0,0,'Données projet'!$E$10+1,1))-AVERAGE(OFFSET($H$3,0,0,'Données projet'!$E$10+1,1))</f>
        <v>252.84702735189455</v>
      </c>
      <c r="AO38" s="62">
        <f t="shared" si="36"/>
        <v>283.48738729114024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164.99999999999994</v>
      </c>
      <c r="BE38" s="14">
        <f>BD38*VLOOKUP('Données projet'!$B$11,Paramètres!$A$1:$I$89,3,0)*VLOOKUP('Données projet'!$B$11,Paramètres!$A$1:$I$89,5,0)</f>
        <v>110.68199999999996</v>
      </c>
      <c r="BF38" s="14">
        <f t="shared" si="37"/>
        <v>29.491611243899666</v>
      </c>
      <c r="BG38" s="22">
        <f t="shared" si="7"/>
        <v>244.13570624979181</v>
      </c>
      <c r="BH38" s="62">
        <f t="shared" si="8"/>
        <v>537.4690395831251</v>
      </c>
      <c r="BI38" s="62">
        <f ca="1">AVERAGE(OFFSET($BH$3,0,0,'Données projet'!$E$11+1,1))-AVERAGE(OFFSET($H$3,0,0,'Données projet'!$E$11+1,1))</f>
        <v>221.98516361836096</v>
      </c>
      <c r="BJ38" s="62">
        <f t="shared" si="38"/>
        <v>249.72262393661117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projet'!$B$12,Paramètres!$A$1:$I$89,3,0)*VLOOKUP('Données projet'!$B$12,Paramètres!$A$1:$I$89,5,0)</f>
        <v>131.27399999999997</v>
      </c>
      <c r="CA38" s="14">
        <f t="shared" si="39"/>
        <v>34.290576031111669</v>
      </c>
      <c r="CB38" s="22">
        <f t="shared" si="10"/>
        <v>288.35830325418607</v>
      </c>
      <c r="CC38" s="62">
        <f t="shared" si="11"/>
        <v>581.69163658751938</v>
      </c>
      <c r="CD38" s="62">
        <f ca="1">AVERAGE(OFFSET($CC$3,0,0,'Données projet'!$E$12+1,1))-AVERAGE(OFFSET($H$3,0,0,'Données projet'!$E$12+1,1))</f>
        <v>257.24784840892409</v>
      </c>
      <c r="CE38" s="62">
        <f t="shared" si="40"/>
        <v>288.30197520356643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</v>
      </c>
      <c r="CT38" s="13">
        <f>IF('Données projet'!$A$140&gt;35,CT37+CS38-DB37,IF(A38&lt;'Données projet'!$A$140,$CQ$205^A38,IF(A38='Données projet'!$A$140,'Données projet'!$B$140,CT37+CS38-DB37)))</f>
        <v>207.00000000000006</v>
      </c>
      <c r="CU38" s="18">
        <f>CT38*VLOOKUP('Données projet'!$B$13,Paramètres!$A$1:$I$89,3,0)*VLOOKUP('Données projet'!$B$13,Paramètres!$A$1:$I$89,5,0)</f>
        <v>96.876000000000033</v>
      </c>
      <c r="CV38" s="14">
        <f t="shared" si="41"/>
        <v>26.21637845945024</v>
      </c>
      <c r="CW38" s="22">
        <f t="shared" si="13"/>
        <v>214.38589248354256</v>
      </c>
      <c r="CX38" s="62">
        <f t="shared" si="14"/>
        <v>507.71922581687591</v>
      </c>
      <c r="CY38" s="62">
        <f ca="1">AVERAGE(OFFSET($CX$3,0,0,'Données projet'!$E$13+1,1))-AVERAGE(OFFSET($H$3,0,0,'Données projet'!$E$13+1,1))</f>
        <v>199.0086462069545</v>
      </c>
      <c r="CZ38" s="62">
        <f t="shared" si="42"/>
        <v>254.08208375594057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616</v>
      </c>
      <c r="DM38" s="13">
        <f>VLOOKUP(A38,'Données projet'!$A$165:$I$185,9,0)</f>
        <v>24.6</v>
      </c>
      <c r="DN38" s="13">
        <f t="array" ref="DN38">INDEX(DM:DM,MIN(IF(ISNUMBER(DM38:DM234),ROW(DM38:DM234),"")))</f>
        <v>24.6</v>
      </c>
      <c r="DO38" s="13">
        <f>IF('Données projet'!$A$166&gt;35,DO37+DN38-DW37,IF(A38&lt;'Données projet'!$A$166,$DL$205^A38,IF(A38='Données projet'!$A$166,'Données projet'!$B$166,DO37+DN38-DW37)))</f>
        <v>616</v>
      </c>
      <c r="DP38" s="18">
        <f>DO38*VLOOKUP('Données projet'!$B$14,Paramètres!$A$1:$I$89,3,0)*VLOOKUP('Données projet'!$B$14,Paramètres!$A$1:$I$89,5,0)</f>
        <v>344.34399999999999</v>
      </c>
      <c r="DQ38" s="14">
        <f t="shared" si="43"/>
        <v>80.396780105945552</v>
      </c>
      <c r="DR38" s="22">
        <f t="shared" si="16"/>
        <v>739.75685868452183</v>
      </c>
      <c r="DS38" s="62">
        <f t="shared" si="17"/>
        <v>1033.0901920178551</v>
      </c>
      <c r="DT38" s="62">
        <f ca="1">AVERAGE(OFFSET($DS$3,0,0,'Données projet'!$E$14+1,1))-AVERAGE(OFFSET($H$3,0,0,'Données projet'!$E$14+1,1))</f>
        <v>534.78683721545372</v>
      </c>
      <c r="DU38" s="62">
        <f t="shared" si="44"/>
        <v>710.59298755711075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72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13.5</v>
      </c>
      <c r="EJ38" s="13">
        <f>IF('Données projet'!$A$192&gt;35,EJ37+EI38-ER37,IF(A38&lt;'Données projet'!$A$192,$EG$205^A38,IF(A38='Données projet'!$A$192,'Données projet'!$B$192,EJ37+EI38-ER37)))</f>
        <v>243.5</v>
      </c>
      <c r="EK38" s="18">
        <f>EJ38*VLOOKUP('Données projet'!$B$15,Paramètres!$A$1:$I$89,3,0)*VLOOKUP('Données projet'!$B$15,Paramètres!$A$1:$I$89,5,0)</f>
        <v>145.613</v>
      </c>
      <c r="EL38" s="14">
        <f t="shared" si="45"/>
        <v>37.579908384199868</v>
      </c>
      <c r="EM38" s="22">
        <f t="shared" si="19"/>
        <v>319.06098210248143</v>
      </c>
      <c r="EN38" s="62">
        <f t="shared" si="20"/>
        <v>612.39431543581475</v>
      </c>
      <c r="EO38" s="62">
        <f ca="1">AVERAGE(OFFSET($EN$3,0,0,'Données projet'!$E$15+1,1))-AVERAGE(OFFSET($H$3,0,0,'Données projet'!$E$15+1,1))</f>
        <v>292.87204407272162</v>
      </c>
      <c r="EP38" s="62">
        <f t="shared" si="46"/>
        <v>326.06531673481805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24.7</v>
      </c>
      <c r="N39" s="14">
        <f>IF('Données projet'!$A$36&gt;35,N38+M39-V38,IF(A39&lt;'Données projet'!$A$36,$K$205^A39,IF(A39='Données projet'!$A$36,'Données projet'!$B$36,N38+M39-V38)))</f>
        <v>399.19999999999993</v>
      </c>
      <c r="O39" s="14">
        <f>N39*VLOOKUP('Données projet'!$B$9,Paramètres!$A$1:$I$89,3,0)*VLOOKUP('Données projet'!$B$9,Paramètres!$A$1:$I$89,5,0)</f>
        <v>292.69343999999995</v>
      </c>
      <c r="P39" s="14">
        <f t="shared" si="33"/>
        <v>69.642536722432993</v>
      </c>
      <c r="Q39" s="22">
        <f t="shared" si="53"/>
        <v>631.06849279157075</v>
      </c>
      <c r="R39" s="62">
        <f t="shared" si="0"/>
        <v>924.40182612490412</v>
      </c>
      <c r="S39" s="62">
        <f ca="1">AVERAGE(OFFSET($R$3,0,0,'Données projet'!$E$9+1,1))-AVERAGE(OFFSET($H$3,0,0,'Données projet'!$E$9+1,1))</f>
        <v>451.25506262546861</v>
      </c>
      <c r="T39" s="62">
        <f t="shared" si="34"/>
        <v>534.19872447444368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11.5</v>
      </c>
      <c r="AI39" s="14">
        <f>IF('Données projet'!$A$62&gt;35,AI38+AH39-AQ38,IF(A39&lt;'Données projet'!$A$62,$AF$205^A39,IF(A39='Données projet'!$A$62,'Données projet'!$B$62,AI38+AH39-AQ38)))</f>
        <v>176.49999999999994</v>
      </c>
      <c r="AJ39" s="14">
        <f>AI39*VLOOKUP('Données projet'!$B$10,Paramètres!$A$1:$I$89,3,0)*VLOOKUP('Données projet'!$B$10,Paramètres!$A$1:$I$89,5,0)</f>
        <v>137.66999999999996</v>
      </c>
      <c r="AK39" s="14">
        <f t="shared" si="35"/>
        <v>35.762714965854656</v>
      </c>
      <c r="AL39" s="22">
        <f t="shared" si="4"/>
        <v>302.06197856553007</v>
      </c>
      <c r="AM39" s="62">
        <f t="shared" si="5"/>
        <v>595.39531189886338</v>
      </c>
      <c r="AN39" s="62">
        <f ca="1">AVERAGE(OFFSET($AM$3,0,0,'Données projet'!$E$10+1,1))-AVERAGE(OFFSET($H$3,0,0,'Données projet'!$E$10+1,1))</f>
        <v>252.84702735189455</v>
      </c>
      <c r="AO39" s="62">
        <f t="shared" si="36"/>
        <v>283.48738729114024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176.49999999999994</v>
      </c>
      <c r="BE39" s="14">
        <f>BD39*VLOOKUP('Données projet'!$B$11,Paramètres!$A$1:$I$89,3,0)*VLOOKUP('Données projet'!$B$11,Paramètres!$A$1:$I$89,5,0)</f>
        <v>118.39619999999995</v>
      </c>
      <c r="BF39" s="14">
        <f t="shared" si="37"/>
        <v>31.300646864120012</v>
      </c>
      <c r="BG39" s="22">
        <f t="shared" si="7"/>
        <v>260.72200828834224</v>
      </c>
      <c r="BH39" s="62">
        <f t="shared" si="8"/>
        <v>554.05534162167555</v>
      </c>
      <c r="BI39" s="62">
        <f ca="1">AVERAGE(OFFSET($BH$3,0,0,'Données projet'!$E$11+1,1))-AVERAGE(OFFSET($H$3,0,0,'Données projet'!$E$11+1,1))</f>
        <v>221.98516361836096</v>
      </c>
      <c r="BJ39" s="62">
        <f t="shared" si="38"/>
        <v>249.72262393661117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projet'!$B$12,Paramètres!$A$1:$I$89,3,0)*VLOOKUP('Données projet'!$B$12,Paramètres!$A$1:$I$89,5,0)</f>
        <v>140.42339999999996</v>
      </c>
      <c r="CA39" s="14">
        <f t="shared" si="39"/>
        <v>36.393983436191526</v>
      </c>
      <c r="CB39" s="22">
        <f t="shared" si="10"/>
        <v>307.9569428180335</v>
      </c>
      <c r="CC39" s="62">
        <f t="shared" si="11"/>
        <v>601.29027615136681</v>
      </c>
      <c r="CD39" s="62">
        <f ca="1">AVERAGE(OFFSET($CC$3,0,0,'Données projet'!$E$12+1,1))-AVERAGE(OFFSET($H$3,0,0,'Données projet'!$E$12+1,1))</f>
        <v>257.24784840892409</v>
      </c>
      <c r="CE39" s="62">
        <f t="shared" si="40"/>
        <v>288.30197520356643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</v>
      </c>
      <c r="CT39" s="13">
        <f>IF('Données projet'!$A$140&gt;35,CT38+CS39-DB38,IF(A39&lt;'Données projet'!$A$140,$CQ$205^A39,IF(A39='Données projet'!$A$140,'Données projet'!$B$140,CT38+CS39-DB38)))</f>
        <v>217.00000000000006</v>
      </c>
      <c r="CU39" s="18">
        <f>CT39*VLOOKUP('Données projet'!$B$13,Paramètres!$A$1:$I$89,3,0)*VLOOKUP('Données projet'!$B$13,Paramètres!$A$1:$I$89,5,0)</f>
        <v>101.55600000000003</v>
      </c>
      <c r="CV39" s="14">
        <f t="shared" si="41"/>
        <v>27.332359320696909</v>
      </c>
      <c r="CW39" s="22">
        <f t="shared" si="13"/>
        <v>224.48055915021382</v>
      </c>
      <c r="CX39" s="62">
        <f t="shared" si="14"/>
        <v>517.81389248354708</v>
      </c>
      <c r="CY39" s="62">
        <f ca="1">AVERAGE(OFFSET($CX$3,0,0,'Données projet'!$E$13+1,1))-AVERAGE(OFFSET($H$3,0,0,'Données projet'!$E$13+1,1))</f>
        <v>199.0086462069545</v>
      </c>
      <c r="CZ39" s="62">
        <f t="shared" si="42"/>
        <v>254.08208375594057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22</v>
      </c>
      <c r="DO39" s="13">
        <f>IF('Données projet'!$A$166&gt;35,DO38+DN39-DW38,IF(A39&lt;'Données projet'!$A$166,$DL$205^A39,IF(A39='Données projet'!$A$166,'Données projet'!$B$166,DO38+DN39-DW38)))</f>
        <v>566</v>
      </c>
      <c r="DP39" s="18">
        <f>DO39*VLOOKUP('Données projet'!$B$14,Paramètres!$A$1:$I$89,3,0)*VLOOKUP('Données projet'!$B$14,Paramètres!$A$1:$I$89,5,0)</f>
        <v>316.39400000000001</v>
      </c>
      <c r="DQ39" s="14">
        <f t="shared" si="43"/>
        <v>74.602561081494827</v>
      </c>
      <c r="DR39" s="22">
        <f t="shared" si="16"/>
        <v>680.98567721693689</v>
      </c>
      <c r="DS39" s="62">
        <f t="shared" si="17"/>
        <v>974.31901055027015</v>
      </c>
      <c r="DT39" s="62">
        <f ca="1">AVERAGE(OFFSET($DS$3,0,0,'Données projet'!$E$14+1,1))-AVERAGE(OFFSET($H$3,0,0,'Données projet'!$E$14+1,1))</f>
        <v>534.78683721545372</v>
      </c>
      <c r="DU39" s="62">
        <f t="shared" si="44"/>
        <v>710.59298755711075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13.5</v>
      </c>
      <c r="EJ39" s="13">
        <f>IF('Données projet'!$A$192&gt;35,EJ38+EI39-ER38,IF(A39&lt;'Données projet'!$A$192,$EG$205^A39,IF(A39='Données projet'!$A$192,'Données projet'!$B$192,EJ38+EI39-ER38)))</f>
        <v>257</v>
      </c>
      <c r="EK39" s="18">
        <f>EJ39*VLOOKUP('Données projet'!$B$15,Paramètres!$A$1:$I$89,3,0)*VLOOKUP('Données projet'!$B$15,Paramètres!$A$1:$I$89,5,0)</f>
        <v>153.68600000000001</v>
      </c>
      <c r="EL39" s="14">
        <f t="shared" si="45"/>
        <v>39.415055172513433</v>
      </c>
      <c r="EM39" s="22">
        <f t="shared" si="19"/>
        <v>336.31767109212757</v>
      </c>
      <c r="EN39" s="62">
        <f t="shared" si="20"/>
        <v>629.65100442546088</v>
      </c>
      <c r="EO39" s="62">
        <f ca="1">AVERAGE(OFFSET($EN$3,0,0,'Données projet'!$E$15+1,1))-AVERAGE(OFFSET($H$3,0,0,'Données projet'!$E$15+1,1))</f>
        <v>292.87204407272162</v>
      </c>
      <c r="EP39" s="62">
        <f t="shared" si="46"/>
        <v>326.06531673481805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24.7</v>
      </c>
      <c r="N40" s="14">
        <f>IF('Données projet'!$A$36&gt;35,N39+M40-V39,IF(A40&lt;'Données projet'!$A$36,$K$205^A40,IF(A40='Données projet'!$A$36,'Données projet'!$B$36,N39+M40-V39)))</f>
        <v>423.89999999999992</v>
      </c>
      <c r="O40" s="14">
        <f>N40*VLOOKUP('Données projet'!$B$9,Paramètres!$A$1:$I$89,3,0)*VLOOKUP('Données projet'!$B$9,Paramètres!$A$1:$I$89,5,0)</f>
        <v>310.80347999999992</v>
      </c>
      <c r="P40" s="14">
        <f t="shared" si="33"/>
        <v>73.43660348764837</v>
      </c>
      <c r="Q40" s="22">
        <f t="shared" si="53"/>
        <v>669.21814540765399</v>
      </c>
      <c r="R40" s="62">
        <f t="shared" si="0"/>
        <v>962.55147874098725</v>
      </c>
      <c r="S40" s="62">
        <f ca="1">AVERAGE(OFFSET($R$3,0,0,'Données projet'!$E$9+1,1))-AVERAGE(OFFSET($H$3,0,0,'Données projet'!$E$9+1,1))</f>
        <v>451.25506262546861</v>
      </c>
      <c r="T40" s="62">
        <f t="shared" si="34"/>
        <v>534.19872447444368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188</v>
      </c>
      <c r="AG40" s="13">
        <f>VLOOKUP(A40,'Données projet'!$A$61:$I$81,9,0)</f>
        <v>11.5</v>
      </c>
      <c r="AH40" s="13">
        <f t="array" ref="AH40">INDEX(AG:AG,MIN(IF(ISNUMBER(AG40:AG236),ROW(AG40:AG236),"")))</f>
        <v>11.5</v>
      </c>
      <c r="AI40" s="14">
        <f>IF('Données projet'!$A$62&gt;35,AI39+AH40-AQ39,IF(A40&lt;'Données projet'!$A$62,$AF$205^A40,IF(A40='Données projet'!$A$62,'Données projet'!$B$62,AI39+AH40-AQ39)))</f>
        <v>187.99999999999994</v>
      </c>
      <c r="AJ40" s="14">
        <f>AI40*VLOOKUP('Données projet'!$B$10,Paramètres!$A$1:$I$89,3,0)*VLOOKUP('Données projet'!$B$10,Paramètres!$A$1:$I$89,5,0)</f>
        <v>146.63999999999996</v>
      </c>
      <c r="AK40" s="14">
        <f t="shared" si="35"/>
        <v>37.814009712703026</v>
      </c>
      <c r="AL40" s="22">
        <f t="shared" si="4"/>
        <v>321.25740024962437</v>
      </c>
      <c r="AM40" s="62">
        <f t="shared" si="5"/>
        <v>614.59073358295768</v>
      </c>
      <c r="AN40" s="62">
        <f ca="1">AVERAGE(OFFSET($AM$3,0,0,'Données projet'!$E$10+1,1))-AVERAGE(OFFSET($H$3,0,0,'Données projet'!$E$10+1,1))</f>
        <v>252.84702735189455</v>
      </c>
      <c r="AO40" s="62">
        <f t="shared" si="36"/>
        <v>283.48738729114024</v>
      </c>
      <c r="AP40" s="16">
        <f>IF(ISNA(VLOOKUP(A40,'Données projet'!$A$61:$I$81,3,0)),0,VLOOKUP(A40,'Données projet'!$A$61:$I$81,3,0))</f>
        <v>5</v>
      </c>
      <c r="AQ40" s="16">
        <f>IF(ISNA(VLOOKUP(A40,'Données projet'!$A$61:$I$81,4,0)),0,VLOOKUP(A40,'Données projet'!$A$61:$I$81,4,0))</f>
        <v>36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188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187.99999999999994</v>
      </c>
      <c r="BE40" s="14">
        <f>BD40*VLOOKUP('Données projet'!$B$11,Paramètres!$A$1:$I$89,3,0)*VLOOKUP('Données projet'!$B$11,Paramètres!$A$1:$I$89,5,0)</f>
        <v>126.11039999999997</v>
      </c>
      <c r="BF40" s="14">
        <f t="shared" si="37"/>
        <v>33.096004194977844</v>
      </c>
      <c r="BG40" s="22">
        <f t="shared" si="7"/>
        <v>277.28448730625303</v>
      </c>
      <c r="BH40" s="62">
        <f t="shared" si="8"/>
        <v>570.6178206395864</v>
      </c>
      <c r="BI40" s="62">
        <f ca="1">AVERAGE(OFFSET($BH$3,0,0,'Données projet'!$E$11+1,1))-AVERAGE(OFFSET($H$3,0,0,'Données projet'!$E$11+1,1))</f>
        <v>221.98516361836096</v>
      </c>
      <c r="BJ40" s="62">
        <f t="shared" si="38"/>
        <v>249.72262393661117</v>
      </c>
      <c r="BK40" s="16">
        <f>IF(ISNA(VLOOKUP(A40,'Données projet'!$A$87:$I$107,3,0)),0,VLOOKUP(A40,'Données projet'!$A$87:$I$107,3,0))</f>
        <v>5</v>
      </c>
      <c r="BL40" s="16">
        <f>IF(ISNA(VLOOKUP(A40,'Données projet'!$A$87:$I$107,4,0)),0,VLOOKUP(A40,'Données projet'!$A$87:$I$107,4,0))</f>
        <v>36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projet'!$B$12,Paramètres!$A$1:$I$89,3,0)*VLOOKUP('Données projet'!$B$12,Paramètres!$A$1:$I$89,5,0)</f>
        <v>149.57279999999994</v>
      </c>
      <c r="CA40" s="14">
        <f t="shared" si="39"/>
        <v>38.481486779011689</v>
      </c>
      <c r="CB40" s="22">
        <f t="shared" si="10"/>
        <v>327.52788280677856</v>
      </c>
      <c r="CC40" s="62">
        <f t="shared" si="11"/>
        <v>620.86121614011188</v>
      </c>
      <c r="CD40" s="62">
        <f ca="1">AVERAGE(OFFSET($CC$3,0,0,'Données projet'!$E$12+1,1))-AVERAGE(OFFSET($H$3,0,0,'Données projet'!$E$12+1,1))</f>
        <v>257.24784840892409</v>
      </c>
      <c r="CE40" s="62">
        <f t="shared" si="40"/>
        <v>288.30197520356643</v>
      </c>
      <c r="CF40" s="16">
        <f>IF(ISNA(VLOOKUP(A40,'Données projet'!$A$113:$I$133,3,0)),0,VLOOKUP(A40,'Données projet'!$A$113:$I$133,3,0))</f>
        <v>5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</v>
      </c>
      <c r="CT40" s="13">
        <f>IF('Données projet'!$A$140&gt;35,CT39+CS40-DB39,IF(A40&lt;'Données projet'!$A$140,$CQ$205^A40,IF(A40='Données projet'!$A$140,'Données projet'!$B$140,CT39+CS40-DB39)))</f>
        <v>227.00000000000006</v>
      </c>
      <c r="CU40" s="18">
        <f>CT40*VLOOKUP('Données projet'!$B$13,Paramètres!$A$1:$I$89,3,0)*VLOOKUP('Données projet'!$B$13,Paramètres!$A$1:$I$89,5,0)</f>
        <v>106.23600000000002</v>
      </c>
      <c r="CV40" s="14">
        <f t="shared" si="41"/>
        <v>28.442367793282877</v>
      </c>
      <c r="CW40" s="22">
        <f t="shared" si="13"/>
        <v>234.56482390663436</v>
      </c>
      <c r="CX40" s="62">
        <f t="shared" si="14"/>
        <v>527.89815723996765</v>
      </c>
      <c r="CY40" s="62">
        <f ca="1">AVERAGE(OFFSET($CX$3,0,0,'Données projet'!$E$13+1,1))-AVERAGE(OFFSET($H$3,0,0,'Données projet'!$E$13+1,1))</f>
        <v>199.0086462069545</v>
      </c>
      <c r="CZ40" s="62">
        <f t="shared" si="42"/>
        <v>254.08208375594057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22</v>
      </c>
      <c r="DO40" s="13">
        <f>IF('Données projet'!$A$166&gt;35,DO39+DN40-DW39,IF(A40&lt;'Données projet'!$A$166,$DL$205^A40,IF(A40='Données projet'!$A$166,'Données projet'!$B$166,DO39+DN40-DW39)))</f>
        <v>588</v>
      </c>
      <c r="DP40" s="18">
        <f>DO40*VLOOKUP('Données projet'!$B$14,Paramètres!$A$1:$I$89,3,0)*VLOOKUP('Données projet'!$B$14,Paramètres!$A$1:$I$89,5,0)</f>
        <v>328.69200000000001</v>
      </c>
      <c r="DQ40" s="14">
        <f t="shared" si="43"/>
        <v>77.159062750651316</v>
      </c>
      <c r="DR40" s="22">
        <f t="shared" si="16"/>
        <v>706.85726762405102</v>
      </c>
      <c r="DS40" s="62">
        <f t="shared" si="17"/>
        <v>1000.1906009573843</v>
      </c>
      <c r="DT40" s="62">
        <f ca="1">AVERAGE(OFFSET($DS$3,0,0,'Données projet'!$E$14+1,1))-AVERAGE(OFFSET($H$3,0,0,'Données projet'!$E$14+1,1))</f>
        <v>534.78683721545372</v>
      </c>
      <c r="DU40" s="62">
        <f t="shared" si="44"/>
        <v>710.59298755711075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13.5</v>
      </c>
      <c r="EJ40" s="13">
        <f>IF('Données projet'!$A$192&gt;35,EJ39+EI40-ER39,IF(A40&lt;'Données projet'!$A$192,$EG$205^A40,IF(A40='Données projet'!$A$192,'Données projet'!$B$192,EJ39+EI40-ER39)))</f>
        <v>270.5</v>
      </c>
      <c r="EK40" s="18">
        <f>EJ40*VLOOKUP('Données projet'!$B$15,Paramètres!$A$1:$I$89,3,0)*VLOOKUP('Données projet'!$B$15,Paramètres!$A$1:$I$89,5,0)</f>
        <v>161.75900000000001</v>
      </c>
      <c r="EL40" s="14">
        <f t="shared" si="45"/>
        <v>41.239009945858278</v>
      </c>
      <c r="EM40" s="22">
        <f t="shared" si="19"/>
        <v>353.55486732236983</v>
      </c>
      <c r="EN40" s="62">
        <f t="shared" si="20"/>
        <v>646.88820065570314</v>
      </c>
      <c r="EO40" s="62">
        <f ca="1">AVERAGE(OFFSET($EN$3,0,0,'Données projet'!$E$15+1,1))-AVERAGE(OFFSET($H$3,0,0,'Données projet'!$E$15+1,1))</f>
        <v>292.87204407272162</v>
      </c>
      <c r="EP40" s="62">
        <f t="shared" si="46"/>
        <v>326.06531673481805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24.7</v>
      </c>
      <c r="N41" s="14">
        <f>IF('Données projet'!$A$36&gt;35,N40+M41-V40,IF(A41&lt;'Données projet'!$A$36,$K$205^A41,IF(A41='Données projet'!$A$36,'Données projet'!$B$36,N40+M41-V40)))</f>
        <v>448.59999999999991</v>
      </c>
      <c r="O41" s="14">
        <f>N41*VLOOKUP('Données projet'!$B$9,Paramètres!$A$1:$I$89,3,0)*VLOOKUP('Données projet'!$B$9,Paramètres!$A$1:$I$89,5,0)</f>
        <v>328.91351999999995</v>
      </c>
      <c r="P41" s="14">
        <f t="shared" si="33"/>
        <v>77.205008932696302</v>
      </c>
      <c r="Q41" s="22">
        <f t="shared" si="53"/>
        <v>707.32310455777917</v>
      </c>
      <c r="R41" s="62">
        <f t="shared" si="0"/>
        <v>1000.6564378911125</v>
      </c>
      <c r="S41" s="62">
        <f ca="1">AVERAGE(OFFSET($R$3,0,0,'Données projet'!$E$9+1,1))-AVERAGE(OFFSET($H$3,0,0,'Données projet'!$E$9+1,1))</f>
        <v>451.25506262546861</v>
      </c>
      <c r="T41" s="62">
        <f t="shared" si="34"/>
        <v>534.19872447444368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11.142857142857142</v>
      </c>
      <c r="AI41" s="14">
        <f>IF('Données projet'!$A$62&gt;35,AI40+AH41-AQ40,IF(A41&lt;'Données projet'!$A$62,$AF$205^A41,IF(A41='Données projet'!$A$62,'Données projet'!$B$62,AI40+AH41-AQ40)))</f>
        <v>163.14285714285708</v>
      </c>
      <c r="AJ41" s="14">
        <f>AI41*VLOOKUP('Données projet'!$B$10,Paramètres!$A$1:$I$89,3,0)*VLOOKUP('Données projet'!$B$10,Paramètres!$A$1:$I$89,5,0)</f>
        <v>127.25142857142853</v>
      </c>
      <c r="AK41" s="14">
        <f t="shared" si="35"/>
        <v>33.360457439554281</v>
      </c>
      <c r="AL41" s="22">
        <f t="shared" si="4"/>
        <v>279.73236813579501</v>
      </c>
      <c r="AM41" s="62">
        <f t="shared" si="5"/>
        <v>573.06570146912827</v>
      </c>
      <c r="AN41" s="62">
        <f ca="1">AVERAGE(OFFSET($AM$3,0,0,'Données projet'!$E$10+1,1))-AVERAGE(OFFSET($H$3,0,0,'Données projet'!$E$10+1,1))</f>
        <v>252.84702735189455</v>
      </c>
      <c r="AO41" s="62">
        <f t="shared" si="36"/>
        <v>283.48738729114024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163.14285714285708</v>
      </c>
      <c r="BE41" s="14">
        <f>BD41*VLOOKUP('Données projet'!$B$11,Paramètres!$A$1:$I$89,3,0)*VLOOKUP('Données projet'!$B$11,Paramètres!$A$1:$I$89,5,0)</f>
        <v>109.43622857142853</v>
      </c>
      <c r="BF41" s="14">
        <f t="shared" si="37"/>
        <v>29.198115929899995</v>
      </c>
      <c r="BG41" s="22">
        <f t="shared" si="7"/>
        <v>241.45481667314718</v>
      </c>
      <c r="BH41" s="62">
        <f t="shared" si="8"/>
        <v>534.78815000648046</v>
      </c>
      <c r="BI41" s="62">
        <f ca="1">AVERAGE(OFFSET($BH$3,0,0,'Données projet'!$E$11+1,1))-AVERAGE(OFFSET($H$3,0,0,'Données projet'!$E$11+1,1))</f>
        <v>221.98516361836096</v>
      </c>
      <c r="BJ41" s="62">
        <f t="shared" si="38"/>
        <v>249.72262393661117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163.14285714285708</v>
      </c>
      <c r="BZ41" s="14">
        <f>BY41*VLOOKUP('Données projet'!$B$12,Paramètres!$A$1:$I$89,3,0)*VLOOKUP('Données projet'!$B$12,Paramètres!$A$1:$I$89,5,0)</f>
        <v>129.79645714285709</v>
      </c>
      <c r="CA41" s="14">
        <f t="shared" si="39"/>
        <v>33.949322265888433</v>
      </c>
      <c r="CB41" s="22">
        <f t="shared" si="10"/>
        <v>285.19056580356511</v>
      </c>
      <c r="CC41" s="62">
        <f t="shared" si="11"/>
        <v>578.52389913689842</v>
      </c>
      <c r="CD41" s="62">
        <f ca="1">AVERAGE(OFFSET($CC$3,0,0,'Données projet'!$E$12+1,1))-AVERAGE(OFFSET($H$3,0,0,'Données projet'!$E$12+1,1))</f>
        <v>257.24784840892409</v>
      </c>
      <c r="CE41" s="62">
        <f t="shared" si="40"/>
        <v>288.30197520356643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</v>
      </c>
      <c r="CT41" s="13">
        <f>IF('Données projet'!$A$140&gt;35,CT40+CS41-DB40,IF(A41&lt;'Données projet'!$A$140,$CQ$205^A41,IF(A41='Données projet'!$A$140,'Données projet'!$B$140,CT40+CS41-DB40)))</f>
        <v>237.00000000000006</v>
      </c>
      <c r="CU41" s="18">
        <f>CT41*VLOOKUP('Données projet'!$B$13,Paramètres!$A$1:$I$89,3,0)*VLOOKUP('Données projet'!$B$13,Paramètres!$A$1:$I$89,5,0)</f>
        <v>110.91600000000003</v>
      </c>
      <c r="CV41" s="14">
        <f t="shared" si="41"/>
        <v>29.546697044802634</v>
      </c>
      <c r="CW41" s="22">
        <f t="shared" si="13"/>
        <v>244.63919735303134</v>
      </c>
      <c r="CX41" s="62">
        <f t="shared" si="14"/>
        <v>537.97253068636462</v>
      </c>
      <c r="CY41" s="62">
        <f ca="1">AVERAGE(OFFSET($CX$3,0,0,'Données projet'!$E$13+1,1))-AVERAGE(OFFSET($H$3,0,0,'Données projet'!$E$13+1,1))</f>
        <v>199.0086462069545</v>
      </c>
      <c r="CZ41" s="62">
        <f t="shared" si="42"/>
        <v>254.08208375594057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22</v>
      </c>
      <c r="DO41" s="13">
        <f>IF('Données projet'!$A$166&gt;35,DO40+DN41-DW40,IF(A41&lt;'Données projet'!$A$166,$DL$205^A41,IF(A41='Données projet'!$A$166,'Données projet'!$B$166,DO40+DN41-DW40)))</f>
        <v>610</v>
      </c>
      <c r="DP41" s="18">
        <f>DO41*VLOOKUP('Données projet'!$B$14,Paramètres!$A$1:$I$89,3,0)*VLOOKUP('Données projet'!$B$14,Paramètres!$A$1:$I$89,5,0)</f>
        <v>340.99</v>
      </c>
      <c r="DQ41" s="14">
        <f t="shared" si="43"/>
        <v>79.704452064974646</v>
      </c>
      <c r="DR41" s="22">
        <f t="shared" si="16"/>
        <v>732.70950401316429</v>
      </c>
      <c r="DS41" s="62">
        <f t="shared" si="17"/>
        <v>1026.0428373464977</v>
      </c>
      <c r="DT41" s="62">
        <f ca="1">AVERAGE(OFFSET($DS$3,0,0,'Données projet'!$E$14+1,1))-AVERAGE(OFFSET($H$3,0,0,'Données projet'!$E$14+1,1))</f>
        <v>534.78683721545372</v>
      </c>
      <c r="DU41" s="62">
        <f t="shared" si="44"/>
        <v>710.59298755711075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13.5</v>
      </c>
      <c r="EJ41" s="13">
        <f>IF('Données projet'!$A$192&gt;35,EJ40+EI41-ER40,IF(A41&lt;'Données projet'!$A$192,$EG$205^A41,IF(A41='Données projet'!$A$192,'Données projet'!$B$192,EJ40+EI41-ER40)))</f>
        <v>284</v>
      </c>
      <c r="EK41" s="18">
        <f>EJ41*VLOOKUP('Données projet'!$B$15,Paramètres!$A$1:$I$89,3,0)*VLOOKUP('Données projet'!$B$15,Paramètres!$A$1:$I$89,5,0)</f>
        <v>169.83200000000002</v>
      </c>
      <c r="EL41" s="14">
        <f t="shared" si="45"/>
        <v>43.052395009050464</v>
      </c>
      <c r="EM41" s="22">
        <f t="shared" si="19"/>
        <v>370.77365464076291</v>
      </c>
      <c r="EN41" s="62">
        <f t="shared" si="20"/>
        <v>664.10698797409623</v>
      </c>
      <c r="EO41" s="62">
        <f ca="1">AVERAGE(OFFSET($EN$3,0,0,'Données projet'!$E$15+1,1))-AVERAGE(OFFSET($H$3,0,0,'Données projet'!$E$15+1,1))</f>
        <v>292.87204407272162</v>
      </c>
      <c r="EP41" s="62">
        <f t="shared" si="46"/>
        <v>326.06531673481805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24.7</v>
      </c>
      <c r="N42" s="14">
        <f>IF('Données projet'!$A$36&gt;35,N41+M42-V41,IF(A42&lt;'Données projet'!$A$36,$K$205^A42,IF(A42='Données projet'!$A$36,'Données projet'!$B$36,N41+M42-V41)))</f>
        <v>473.2999999999999</v>
      </c>
      <c r="O42" s="14">
        <f>N42*VLOOKUP('Données projet'!$B$9,Paramètres!$A$1:$I$89,3,0)*VLOOKUP('Données projet'!$B$9,Paramètres!$A$1:$I$89,5,0)</f>
        <v>347.02355999999992</v>
      </c>
      <c r="P42" s="14">
        <f t="shared" si="33"/>
        <v>80.949327027443047</v>
      </c>
      <c r="Q42" s="22">
        <f t="shared" si="53"/>
        <v>745.38611157279649</v>
      </c>
      <c r="R42" s="62">
        <f t="shared" si="0"/>
        <v>1038.7194449061299</v>
      </c>
      <c r="S42" s="62">
        <f ca="1">AVERAGE(OFFSET($R$3,0,0,'Données projet'!$E$9+1,1))-AVERAGE(OFFSET($H$3,0,0,'Données projet'!$E$9+1,1))</f>
        <v>451.25506262546861</v>
      </c>
      <c r="T42" s="62">
        <f t="shared" si="34"/>
        <v>534.19872447444368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11.142857142857142</v>
      </c>
      <c r="AI42" s="14">
        <f>IF('Données projet'!$A$62&gt;35,AI41+AH42-AQ41,IF(A42&lt;'Données projet'!$A$62,$AF$205^A42,IF(A42='Données projet'!$A$62,'Données projet'!$B$62,AI41+AH42-AQ41)))</f>
        <v>174.28571428571422</v>
      </c>
      <c r="AJ42" s="14">
        <f>AI42*VLOOKUP('Données projet'!$B$10,Paramètres!$A$1:$I$89,3,0)*VLOOKUP('Données projet'!$B$10,Paramètres!$A$1:$I$89,5,0)</f>
        <v>135.94285714285709</v>
      </c>
      <c r="AK42" s="14">
        <f t="shared" si="35"/>
        <v>35.365986273808367</v>
      </c>
      <c r="AL42" s="22">
        <f t="shared" si="4"/>
        <v>298.36290228402567</v>
      </c>
      <c r="AM42" s="62">
        <f t="shared" si="5"/>
        <v>591.69623561735898</v>
      </c>
      <c r="AN42" s="62">
        <f ca="1">AVERAGE(OFFSET($AM$3,0,0,'Données projet'!$E$10+1,1))-AVERAGE(OFFSET($H$3,0,0,'Données projet'!$E$10+1,1))</f>
        <v>252.84702735189455</v>
      </c>
      <c r="AO42" s="62">
        <f t="shared" si="36"/>
        <v>283.48738729114024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174.28571428571422</v>
      </c>
      <c r="BE42" s="14">
        <f>BD42*VLOOKUP('Données projet'!$B$11,Paramètres!$A$1:$I$89,3,0)*VLOOKUP('Données projet'!$B$11,Paramètres!$A$1:$I$89,5,0)</f>
        <v>116.9108571428571</v>
      </c>
      <c r="BF42" s="14">
        <f t="shared" si="37"/>
        <v>30.95341750241019</v>
      </c>
      <c r="BG42" s="22">
        <f t="shared" si="7"/>
        <v>257.53027834050721</v>
      </c>
      <c r="BH42" s="62">
        <f t="shared" si="8"/>
        <v>550.86361167384052</v>
      </c>
      <c r="BI42" s="62">
        <f ca="1">AVERAGE(OFFSET($BH$3,0,0,'Données projet'!$E$11+1,1))-AVERAGE(OFFSET($H$3,0,0,'Données projet'!$E$11+1,1))</f>
        <v>221.98516361836096</v>
      </c>
      <c r="BJ42" s="62">
        <f t="shared" si="38"/>
        <v>249.72262393661117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174.28571428571422</v>
      </c>
      <c r="BZ42" s="14">
        <f>BY42*VLOOKUP('Données projet'!$B$12,Paramètres!$A$1:$I$89,3,0)*VLOOKUP('Données projet'!$B$12,Paramètres!$A$1:$I$89,5,0)</f>
        <v>138.66171428571425</v>
      </c>
      <c r="CA42" s="14">
        <f t="shared" si="39"/>
        <v>35.990251855387889</v>
      </c>
      <c r="CB42" s="22">
        <f t="shared" si="10"/>
        <v>304.18550769575285</v>
      </c>
      <c r="CC42" s="62">
        <f t="shared" si="11"/>
        <v>597.51884102908616</v>
      </c>
      <c r="CD42" s="62">
        <f ca="1">AVERAGE(OFFSET($CC$3,0,0,'Données projet'!$E$12+1,1))-AVERAGE(OFFSET($H$3,0,0,'Données projet'!$E$12+1,1))</f>
        <v>257.24784840892409</v>
      </c>
      <c r="CE42" s="62">
        <f t="shared" si="40"/>
        <v>288.30197520356643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</v>
      </c>
      <c r="CT42" s="13">
        <f>IF('Données projet'!$A$140&gt;35,CT41+CS42-DB41,IF(A42&lt;'Données projet'!$A$140,$CQ$205^A42,IF(A42='Données projet'!$A$140,'Données projet'!$B$140,CT41+CS42-DB41)))</f>
        <v>247.00000000000006</v>
      </c>
      <c r="CU42" s="18">
        <f>CT42*VLOOKUP('Données projet'!$B$13,Paramètres!$A$1:$I$89,3,0)*VLOOKUP('Données projet'!$B$13,Paramètres!$A$1:$I$89,5,0)</f>
        <v>115.59600000000002</v>
      </c>
      <c r="CV42" s="14">
        <f t="shared" si="41"/>
        <v>30.645614103483879</v>
      </c>
      <c r="CW42" s="22">
        <f t="shared" si="13"/>
        <v>254.70414456356778</v>
      </c>
      <c r="CX42" s="62">
        <f t="shared" si="14"/>
        <v>548.03747789690112</v>
      </c>
      <c r="CY42" s="62">
        <f ca="1">AVERAGE(OFFSET($CX$3,0,0,'Données projet'!$E$13+1,1))-AVERAGE(OFFSET($H$3,0,0,'Données projet'!$E$13+1,1))</f>
        <v>199.0086462069545</v>
      </c>
      <c r="CZ42" s="62">
        <f t="shared" si="42"/>
        <v>254.08208375594057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22</v>
      </c>
      <c r="DO42" s="13">
        <f>IF('Données projet'!$A$166&gt;35,DO41+DN42-DW41,IF(A42&lt;'Données projet'!$A$166,$DL$205^A42,IF(A42='Données projet'!$A$166,'Données projet'!$B$166,DO41+DN42-DW41)))</f>
        <v>632</v>
      </c>
      <c r="DP42" s="18">
        <f>DO42*VLOOKUP('Données projet'!$B$14,Paramètres!$A$1:$I$89,3,0)*VLOOKUP('Données projet'!$B$14,Paramètres!$A$1:$I$89,5,0)</f>
        <v>353.28800000000001</v>
      </c>
      <c r="DQ42" s="14">
        <f t="shared" si="43"/>
        <v>82.239175707062913</v>
      </c>
      <c r="DR42" s="22">
        <f t="shared" si="16"/>
        <v>758.54316435646797</v>
      </c>
      <c r="DS42" s="62">
        <f t="shared" si="17"/>
        <v>1051.8764976898012</v>
      </c>
      <c r="DT42" s="62">
        <f ca="1">AVERAGE(OFFSET($DS$3,0,0,'Données projet'!$E$14+1,1))-AVERAGE(OFFSET($H$3,0,0,'Données projet'!$E$14+1,1))</f>
        <v>534.78683721545372</v>
      </c>
      <c r="DU42" s="62">
        <f t="shared" si="44"/>
        <v>710.59298755711075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13.5</v>
      </c>
      <c r="EJ42" s="13">
        <f>IF('Données projet'!$A$192&gt;35,EJ41+EI42-ER41,IF(A42&lt;'Données projet'!$A$192,$EG$205^A42,IF(A42='Données projet'!$A$192,'Données projet'!$B$192,EJ41+EI42-ER41)))</f>
        <v>297.5</v>
      </c>
      <c r="EK42" s="18">
        <f>EJ42*VLOOKUP('Données projet'!$B$15,Paramètres!$A$1:$I$89,3,0)*VLOOKUP('Données projet'!$B$15,Paramètres!$A$1:$I$89,5,0)</f>
        <v>177.905</v>
      </c>
      <c r="EL42" s="14">
        <f t="shared" si="45"/>
        <v>44.855770161052853</v>
      </c>
      <c r="EM42" s="22">
        <f t="shared" si="19"/>
        <v>387.97500803050031</v>
      </c>
      <c r="EN42" s="62">
        <f t="shared" si="20"/>
        <v>681.30834136383362</v>
      </c>
      <c r="EO42" s="62">
        <f ca="1">AVERAGE(OFFSET($EN$3,0,0,'Données projet'!$E$15+1,1))-AVERAGE(OFFSET($H$3,0,0,'Données projet'!$E$15+1,1))</f>
        <v>292.87204407272162</v>
      </c>
      <c r="EP42" s="62">
        <f t="shared" si="46"/>
        <v>326.06531673481805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498</v>
      </c>
      <c r="L43" s="13">
        <f>VLOOKUP(A43,'Données projet'!$A$35:$I$55,9,0)</f>
        <v>24.7</v>
      </c>
      <c r="M43" s="13">
        <f t="array" ref="M43">INDEX(L:L,MIN(IF(ISNUMBER(L43:L239),ROW(L43:L239),"")))</f>
        <v>24.7</v>
      </c>
      <c r="N43" s="14">
        <f>IF('Données projet'!$A$36&gt;35,N42+M43-V42,IF(A43&lt;'Données projet'!$A$36,$K$205^A43,IF(A43='Données projet'!$A$36,'Données projet'!$B$36,N42+M43-V42)))</f>
        <v>497.99999999999989</v>
      </c>
      <c r="O43" s="14">
        <f>N43*VLOOKUP('Données projet'!$B$9,Paramètres!$A$1:$I$89,3,0)*VLOOKUP('Données projet'!$B$9,Paramètres!$A$1:$I$89,5,0)</f>
        <v>365.13359999999994</v>
      </c>
      <c r="P43" s="14">
        <f t="shared" si="33"/>
        <v>84.670958182226528</v>
      </c>
      <c r="Q43" s="22">
        <f t="shared" si="53"/>
        <v>783.40960550071111</v>
      </c>
      <c r="R43" s="62">
        <f t="shared" si="0"/>
        <v>1076.7429388340445</v>
      </c>
      <c r="S43" s="62">
        <f ca="1">AVERAGE(OFFSET($R$3,0,0,'Données projet'!$E$9+1,1))-AVERAGE(OFFSET($H$3,0,0,'Données projet'!$E$9+1,1))</f>
        <v>451.25506262546861</v>
      </c>
      <c r="T43" s="62">
        <f t="shared" si="34"/>
        <v>534.19872447444368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109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11.142857142857142</v>
      </c>
      <c r="AI43" s="14">
        <f>IF('Données projet'!$A$62&gt;35,AI42+AH43-AQ42,IF(A43&lt;'Données projet'!$A$62,$AF$205^A43,IF(A43='Données projet'!$A$62,'Données projet'!$B$62,AI42+AH43-AQ42)))</f>
        <v>185.42857142857136</v>
      </c>
      <c r="AJ43" s="14">
        <f>AI43*VLOOKUP('Données projet'!$B$10,Paramètres!$A$1:$I$89,3,0)*VLOOKUP('Données projet'!$B$10,Paramètres!$A$1:$I$89,5,0)</f>
        <v>144.63428571428565</v>
      </c>
      <c r="AK43" s="14">
        <f t="shared" si="35"/>
        <v>37.356634728420524</v>
      </c>
      <c r="AL43" s="22">
        <f t="shared" si="4"/>
        <v>316.96751977104657</v>
      </c>
      <c r="AM43" s="62">
        <f t="shared" si="5"/>
        <v>610.30085310437994</v>
      </c>
      <c r="AN43" s="62">
        <f ca="1">AVERAGE(OFFSET($AM$3,0,0,'Données projet'!$E$10+1,1))-AVERAGE(OFFSET($H$3,0,0,'Données projet'!$E$10+1,1))</f>
        <v>252.84702735189455</v>
      </c>
      <c r="AO43" s="62">
        <f t="shared" si="36"/>
        <v>283.48738729114024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185.42857142857136</v>
      </c>
      <c r="BE43" s="14">
        <f>BD43*VLOOKUP('Données projet'!$B$11,Paramètres!$A$1:$I$89,3,0)*VLOOKUP('Données projet'!$B$11,Paramètres!$A$1:$I$89,5,0)</f>
        <v>124.38548571428568</v>
      </c>
      <c r="BF43" s="14">
        <f t="shared" si="37"/>
        <v>32.69569530117105</v>
      </c>
      <c r="BG43" s="22">
        <f t="shared" si="7"/>
        <v>273.58305693525381</v>
      </c>
      <c r="BH43" s="62">
        <f t="shared" si="8"/>
        <v>566.91639026858707</v>
      </c>
      <c r="BI43" s="62">
        <f ca="1">AVERAGE(OFFSET($BH$3,0,0,'Données projet'!$E$11+1,1))-AVERAGE(OFFSET($H$3,0,0,'Données projet'!$E$11+1,1))</f>
        <v>221.98516361836096</v>
      </c>
      <c r="BJ43" s="62">
        <f t="shared" si="38"/>
        <v>249.72262393661117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185.42857142857136</v>
      </c>
      <c r="BZ43" s="14">
        <f>BY43*VLOOKUP('Données projet'!$B$12,Paramètres!$A$1:$I$89,3,0)*VLOOKUP('Données projet'!$B$12,Paramètres!$A$1:$I$89,5,0)</f>
        <v>147.52697142857136</v>
      </c>
      <c r="CA43" s="14">
        <f t="shared" si="39"/>
        <v>38.016038403014555</v>
      </c>
      <c r="CB43" s="22">
        <f t="shared" si="10"/>
        <v>323.15407545667881</v>
      </c>
      <c r="CC43" s="62">
        <f t="shared" si="11"/>
        <v>616.48740879001207</v>
      </c>
      <c r="CD43" s="62">
        <f ca="1">AVERAGE(OFFSET($CC$3,0,0,'Données projet'!$E$12+1,1))-AVERAGE(OFFSET($H$3,0,0,'Données projet'!$E$12+1,1))</f>
        <v>257.24784840892409</v>
      </c>
      <c r="CE43" s="62">
        <f t="shared" si="40"/>
        <v>288.30197520356643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257</v>
      </c>
      <c r="CR43" s="13">
        <f>VLOOKUP(A43,'Données projet'!$A$139:$I$159,9,0)</f>
        <v>10</v>
      </c>
      <c r="CS43" s="13">
        <f t="array" ref="CS43">INDEX(CR:CR,MIN(IF(ISNUMBER(CR43:CR239),ROW(CR43:CR239),"")))</f>
        <v>10</v>
      </c>
      <c r="CT43" s="13">
        <f>IF('Données projet'!$A$140&gt;35,CT42+CS43-DB42,IF(A43&lt;'Données projet'!$A$140,$CQ$205^A43,IF(A43='Données projet'!$A$140,'Données projet'!$B$140,CT42+CS43-DB42)))</f>
        <v>257.00000000000006</v>
      </c>
      <c r="CU43" s="18">
        <f>CT43*VLOOKUP('Données projet'!$B$13,Paramètres!$A$1:$I$89,3,0)*VLOOKUP('Données projet'!$B$13,Paramètres!$A$1:$I$89,5,0)</f>
        <v>120.27600000000001</v>
      </c>
      <c r="CV43" s="14">
        <f t="shared" si="41"/>
        <v>31.739363152156315</v>
      </c>
      <c r="CW43" s="22">
        <f t="shared" si="13"/>
        <v>264.76009082333894</v>
      </c>
      <c r="CX43" s="62">
        <f t="shared" si="14"/>
        <v>558.0934241566722</v>
      </c>
      <c r="CY43" s="62">
        <f ca="1">AVERAGE(OFFSET($CX$3,0,0,'Données projet'!$E$13+1,1))-AVERAGE(OFFSET($H$3,0,0,'Données projet'!$E$13+1,1))</f>
        <v>199.0086462069545</v>
      </c>
      <c r="CZ43" s="62">
        <f t="shared" si="42"/>
        <v>254.08208375594057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64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654</v>
      </c>
      <c r="DM43" s="13">
        <f>VLOOKUP(A43,'Données projet'!$A$165:$I$185,9,0)</f>
        <v>22</v>
      </c>
      <c r="DN43" s="13">
        <f t="array" ref="DN43">INDEX(DM:DM,MIN(IF(ISNUMBER(DM43:DM239),ROW(DM43:DM239),"")))</f>
        <v>22</v>
      </c>
      <c r="DO43" s="13">
        <f>IF('Données projet'!$A$166&gt;35,DO42+DN43-DW42,IF(A43&lt;'Données projet'!$A$166,$DL$205^A43,IF(A43='Données projet'!$A$166,'Données projet'!$B$166,DO42+DN43-DW42)))</f>
        <v>654</v>
      </c>
      <c r="DP43" s="18">
        <f>DO43*VLOOKUP('Données projet'!$B$14,Paramètres!$A$1:$I$89,3,0)*VLOOKUP('Données projet'!$B$14,Paramètres!$A$1:$I$89,5,0)</f>
        <v>365.58599999999996</v>
      </c>
      <c r="DQ43" s="14">
        <f t="shared" si="43"/>
        <v>84.763647497813551</v>
      </c>
      <c r="DR43" s="22">
        <f t="shared" si="16"/>
        <v>784.35896939202519</v>
      </c>
      <c r="DS43" s="62">
        <f t="shared" si="17"/>
        <v>1077.6923027253586</v>
      </c>
      <c r="DT43" s="62">
        <f ca="1">AVERAGE(OFFSET($DS$3,0,0,'Données projet'!$E$14+1,1))-AVERAGE(OFFSET($H$3,0,0,'Données projet'!$E$14+1,1))</f>
        <v>534.78683721545372</v>
      </c>
      <c r="DU43" s="62">
        <f t="shared" si="44"/>
        <v>710.59298755711075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79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311</v>
      </c>
      <c r="EH43" s="13">
        <f>VLOOKUP(A43,'Données projet'!$A$191:$I$211,9,0)</f>
        <v>13.5</v>
      </c>
      <c r="EI43" s="13">
        <f t="array" ref="EI43">INDEX(EH:EH,MIN(IF(ISNUMBER(EH43:EH239),ROW(EH43:EH239),"")))</f>
        <v>13.5</v>
      </c>
      <c r="EJ43" s="13">
        <f>IF('Données projet'!$A$192&gt;35,EJ42+EI43-ER42,IF(A43&lt;'Données projet'!$A$192,$EG$205^A43,IF(A43='Données projet'!$A$192,'Données projet'!$B$192,EJ42+EI43-ER42)))</f>
        <v>311</v>
      </c>
      <c r="EK43" s="18">
        <f>EJ43*VLOOKUP('Données projet'!$B$15,Paramètres!$A$1:$I$89,3,0)*VLOOKUP('Données projet'!$B$15,Paramètres!$A$1:$I$89,5,0)</f>
        <v>185.97800000000001</v>
      </c>
      <c r="EL43" s="14">
        <f t="shared" si="45"/>
        <v>46.649641523668571</v>
      </c>
      <c r="EM43" s="22">
        <f t="shared" si="19"/>
        <v>405.15980898705612</v>
      </c>
      <c r="EN43" s="62">
        <f t="shared" si="20"/>
        <v>698.49314232038944</v>
      </c>
      <c r="EO43" s="62">
        <f ca="1">AVERAGE(OFFSET($EN$3,0,0,'Données projet'!$E$15+1,1))-AVERAGE(OFFSET($H$3,0,0,'Données projet'!$E$15+1,1))</f>
        <v>292.87204407272162</v>
      </c>
      <c r="EP43" s="62">
        <f t="shared" si="46"/>
        <v>326.06531673481805</v>
      </c>
      <c r="EQ43" s="16">
        <f>IF(ISNA(VLOOKUP(A43,'Données projet'!$A$191:$I$211,3,0)),0,VLOOKUP(A43,'Données projet'!$A$191:$I$211,3,0))</f>
        <v>7</v>
      </c>
      <c r="ER43" s="16">
        <f>IF(ISNA(VLOOKUP(A43,'Données projet'!$A$191:$I$211,4,0)),0,VLOOKUP(A43,'Données projet'!$A$191:$I$211,4,0))</f>
        <v>47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19.3</v>
      </c>
      <c r="N44" s="14">
        <f>IF('Données projet'!$A$36&gt;35,N43+M44-V43,IF(A44&lt;'Données projet'!$A$36,$K$205^A44,IF(A44='Données projet'!$A$36,'Données projet'!$B$36,N43+M44-V43)))</f>
        <v>408.29999999999984</v>
      </c>
      <c r="O44" s="14">
        <f>N44*VLOOKUP('Données projet'!$B$9,Paramètres!$A$1:$I$89,3,0)*VLOOKUP('Données projet'!$B$9,Paramètres!$A$1:$I$89,5,0)</f>
        <v>299.3655599999999</v>
      </c>
      <c r="P44" s="14">
        <f t="shared" si="33"/>
        <v>71.043444099492191</v>
      </c>
      <c r="Q44" s="22">
        <f t="shared" si="53"/>
        <v>645.12901547328204</v>
      </c>
      <c r="R44" s="62">
        <f t="shared" si="0"/>
        <v>938.46234880661541</v>
      </c>
      <c r="S44" s="62">
        <f ca="1">AVERAGE(OFFSET($R$3,0,0,'Données projet'!$E$9+1,1))-AVERAGE(OFFSET($H$3,0,0,'Données projet'!$E$9+1,1))</f>
        <v>451.25506262546861</v>
      </c>
      <c r="T44" s="62">
        <f t="shared" si="34"/>
        <v>534.19872447444368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11.142857142857142</v>
      </c>
      <c r="AI44" s="14">
        <f>IF('Données projet'!$A$62&gt;35,AI43+AH44-AQ43,IF(A44&lt;'Données projet'!$A$62,$AF$205^A44,IF(A44='Données projet'!$A$62,'Données projet'!$B$62,AI43+AH44-AQ43)))</f>
        <v>196.5714285714285</v>
      </c>
      <c r="AJ44" s="14">
        <f>AI44*VLOOKUP('Données projet'!$B$10,Paramètres!$A$1:$I$89,3,0)*VLOOKUP('Données projet'!$B$10,Paramètres!$A$1:$I$89,5,0)</f>
        <v>153.32571428571424</v>
      </c>
      <c r="AK44" s="14">
        <f t="shared" si="35"/>
        <v>39.333398837614155</v>
      </c>
      <c r="AL44" s="22">
        <f t="shared" si="4"/>
        <v>335.5479553564636</v>
      </c>
      <c r="AM44" s="62">
        <f t="shared" si="5"/>
        <v>628.88128868979697</v>
      </c>
      <c r="AN44" s="62">
        <f ca="1">AVERAGE(OFFSET($AM$3,0,0,'Données projet'!$E$10+1,1))-AVERAGE(OFFSET($H$3,0,0,'Données projet'!$E$10+1,1))</f>
        <v>252.84702735189455</v>
      </c>
      <c r="AO44" s="62">
        <f t="shared" si="36"/>
        <v>283.48738729114024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</v>
      </c>
      <c r="BE44" s="14">
        <f>BD44*VLOOKUP('Données projet'!$B$11,Paramètres!$A$1:$I$89,3,0)*VLOOKUP('Données projet'!$B$11,Paramètres!$A$1:$I$89,5,0)</f>
        <v>131.86011428571425</v>
      </c>
      <c r="BF44" s="14">
        <f t="shared" si="37"/>
        <v>34.425821086492789</v>
      </c>
      <c r="BG44" s="22">
        <f t="shared" si="7"/>
        <v>289.61467077326057</v>
      </c>
      <c r="BH44" s="62">
        <f t="shared" si="8"/>
        <v>582.94800410659388</v>
      </c>
      <c r="BI44" s="62">
        <f ca="1">AVERAGE(OFFSET($BH$3,0,0,'Données projet'!$E$11+1,1))-AVERAGE(OFFSET($H$3,0,0,'Données projet'!$E$11+1,1))</f>
        <v>221.98516361836096</v>
      </c>
      <c r="BJ44" s="62">
        <f t="shared" si="38"/>
        <v>249.72262393661117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</v>
      </c>
      <c r="BZ44" s="14">
        <f>BY44*VLOOKUP('Données projet'!$B$12,Paramètres!$A$1:$I$89,3,0)*VLOOKUP('Données projet'!$B$12,Paramètres!$A$1:$I$89,5,0)</f>
        <v>156.39222857142852</v>
      </c>
      <c r="CA44" s="14">
        <f t="shared" si="39"/>
        <v>40.027695524570888</v>
      </c>
      <c r="CB44" s="22">
        <f t="shared" si="10"/>
        <v>342.09803446719894</v>
      </c>
      <c r="CC44" s="62">
        <f t="shared" si="11"/>
        <v>635.43136780053226</v>
      </c>
      <c r="CD44" s="62">
        <f ca="1">AVERAGE(OFFSET($CC$3,0,0,'Données projet'!$E$12+1,1))-AVERAGE(OFFSET($H$3,0,0,'Données projet'!$E$12+1,1))</f>
        <v>257.24784840892409</v>
      </c>
      <c r="CE44" s="62">
        <f t="shared" si="40"/>
        <v>288.30197520356643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11.5</v>
      </c>
      <c r="CT44" s="13">
        <f>IF('Données projet'!$A$140&gt;35,CT43+CS44-DB43,IF(A44&lt;'Données projet'!$A$140,$CQ$205^A44,IF(A44='Données projet'!$A$140,'Données projet'!$B$140,CT43+CS44-DB43)))</f>
        <v>204.50000000000006</v>
      </c>
      <c r="CU44" s="18">
        <f>CT44*VLOOKUP('Données projet'!$B$13,Paramètres!$A$1:$I$89,3,0)*VLOOKUP('Données projet'!$B$13,Paramètres!$A$1:$I$89,5,0)</f>
        <v>95.706000000000031</v>
      </c>
      <c r="CV44" s="14">
        <f t="shared" si="41"/>
        <v>25.936412902008851</v>
      </c>
      <c r="CW44" s="22">
        <f t="shared" si="13"/>
        <v>211.86053580433213</v>
      </c>
      <c r="CX44" s="62">
        <f t="shared" si="14"/>
        <v>505.19386913766544</v>
      </c>
      <c r="CY44" s="62">
        <f ca="1">AVERAGE(OFFSET($CX$3,0,0,'Données projet'!$E$13+1,1))-AVERAGE(OFFSET($H$3,0,0,'Données projet'!$E$13+1,1))</f>
        <v>199.0086462069545</v>
      </c>
      <c r="CZ44" s="62">
        <f t="shared" si="42"/>
        <v>254.08208375594057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20.399999999999999</v>
      </c>
      <c r="DO44" s="13">
        <f>IF('Données projet'!$A$166&gt;35,DO43+DN44-DW43,IF(A44&lt;'Données projet'!$A$166,$DL$205^A44,IF(A44='Données projet'!$A$166,'Données projet'!$B$166,DO43+DN44-DW43)))</f>
        <v>595.4</v>
      </c>
      <c r="DP44" s="18">
        <f>DO44*VLOOKUP('Données projet'!$B$14,Paramètres!$A$1:$I$89,3,0)*VLOOKUP('Données projet'!$B$14,Paramètres!$A$1:$I$89,5,0)</f>
        <v>332.82859999999999</v>
      </c>
      <c r="DQ44" s="14">
        <f t="shared" si="43"/>
        <v>78.016456494733006</v>
      </c>
      <c r="DR44" s="22">
        <f t="shared" si="16"/>
        <v>715.55514006165993</v>
      </c>
      <c r="DS44" s="62">
        <f t="shared" si="17"/>
        <v>1008.8884733949933</v>
      </c>
      <c r="DT44" s="62">
        <f ca="1">AVERAGE(OFFSET($DS$3,0,0,'Données projet'!$E$14+1,1))-AVERAGE(OFFSET($H$3,0,0,'Données projet'!$E$14+1,1))</f>
        <v>534.78683721545372</v>
      </c>
      <c r="DU44" s="62">
        <f t="shared" si="44"/>
        <v>710.59298755711075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10</v>
      </c>
      <c r="EJ44" s="13">
        <f>IF('Données projet'!$A$192&gt;35,EJ43+EI44-ER43,IF(A44&lt;'Données projet'!$A$192,$EG$205^A44,IF(A44='Données projet'!$A$192,'Données projet'!$B$192,EJ43+EI44-ER43)))</f>
        <v>274</v>
      </c>
      <c r="EK44" s="18">
        <f>EJ44*VLOOKUP('Données projet'!$B$15,Paramètres!$A$1:$I$89,3,0)*VLOOKUP('Données projet'!$B$15,Paramètres!$A$1:$I$89,5,0)</f>
        <v>163.852</v>
      </c>
      <c r="EL44" s="14">
        <f t="shared" si="45"/>
        <v>41.710138155336118</v>
      </c>
      <c r="EM44" s="22">
        <f t="shared" si="19"/>
        <v>358.02072395387705</v>
      </c>
      <c r="EN44" s="62">
        <f t="shared" si="20"/>
        <v>651.35405728721037</v>
      </c>
      <c r="EO44" s="62">
        <f ca="1">AVERAGE(OFFSET($EN$3,0,0,'Données projet'!$E$15+1,1))-AVERAGE(OFFSET($H$3,0,0,'Données projet'!$E$15+1,1))</f>
        <v>292.87204407272162</v>
      </c>
      <c r="EP44" s="62">
        <f t="shared" si="46"/>
        <v>326.06531673481805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19.3</v>
      </c>
      <c r="N45" s="14">
        <f>IF('Données projet'!$A$36&gt;35,N44+M45-V44,IF(A45&lt;'Données projet'!$A$36,$K$205^A45,IF(A45='Données projet'!$A$36,'Données projet'!$B$36,N44+M45-V44)))</f>
        <v>427.59999999999985</v>
      </c>
      <c r="O45" s="14">
        <f>N45*VLOOKUP('Données projet'!$B$9,Paramètres!$A$1:$I$89,3,0)*VLOOKUP('Données projet'!$B$9,Paramètres!$A$1:$I$89,5,0)</f>
        <v>313.51631999999989</v>
      </c>
      <c r="P45" s="14">
        <f t="shared" si="33"/>
        <v>74.002694987888304</v>
      </c>
      <c r="Q45" s="22">
        <f t="shared" si="53"/>
        <v>674.92895110390532</v>
      </c>
      <c r="R45" s="62">
        <f t="shared" si="0"/>
        <v>968.26228443723858</v>
      </c>
      <c r="S45" s="62">
        <f ca="1">AVERAGE(OFFSET($R$3,0,0,'Données projet'!$E$9+1,1))-AVERAGE(OFFSET($H$3,0,0,'Données projet'!$E$9+1,1))</f>
        <v>451.25506262546861</v>
      </c>
      <c r="T45" s="62">
        <f t="shared" si="34"/>
        <v>534.19872447444368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11.142857142857142</v>
      </c>
      <c r="AI45" s="14">
        <f>IF('Données projet'!$A$62&gt;35,AI44+AH45-AQ44,IF(A45&lt;'Données projet'!$A$62,$AF$205^A45,IF(A45='Données projet'!$A$62,'Données projet'!$B$62,AI44+AH45-AQ44)))</f>
        <v>207.71428571428564</v>
      </c>
      <c r="AJ45" s="14">
        <f>AI45*VLOOKUP('Données projet'!$B$10,Paramètres!$A$1:$I$89,3,0)*VLOOKUP('Données projet'!$B$10,Paramètres!$A$1:$I$89,5,0)</f>
        <v>162.0171428571428</v>
      </c>
      <c r="AK45" s="14">
        <f t="shared" si="35"/>
        <v>41.29715533509664</v>
      </c>
      <c r="AL45" s="22">
        <f t="shared" si="4"/>
        <v>354.10573601815037</v>
      </c>
      <c r="AM45" s="62">
        <f t="shared" si="5"/>
        <v>647.43906935148368</v>
      </c>
      <c r="AN45" s="62">
        <f ca="1">AVERAGE(OFFSET($AM$3,0,0,'Données projet'!$E$10+1,1))-AVERAGE(OFFSET($H$3,0,0,'Données projet'!$E$10+1,1))</f>
        <v>252.84702735189455</v>
      </c>
      <c r="AO45" s="62">
        <f t="shared" si="36"/>
        <v>283.48738729114024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207.71428571428564</v>
      </c>
      <c r="BE45" s="14">
        <f>BD45*VLOOKUP('Données projet'!$B$11,Paramètres!$A$1:$I$89,3,0)*VLOOKUP('Données projet'!$B$11,Paramètres!$A$1:$I$89,5,0)</f>
        <v>139.33474285714283</v>
      </c>
      <c r="BF45" s="14">
        <f t="shared" si="37"/>
        <v>36.144562203141966</v>
      </c>
      <c r="BG45" s="22">
        <f t="shared" si="7"/>
        <v>305.62645631332936</v>
      </c>
      <c r="BH45" s="62">
        <f t="shared" si="8"/>
        <v>598.95978964666267</v>
      </c>
      <c r="BI45" s="62">
        <f ca="1">AVERAGE(OFFSET($BH$3,0,0,'Données projet'!$E$11+1,1))-AVERAGE(OFFSET($H$3,0,0,'Données projet'!$E$11+1,1))</f>
        <v>221.98516361836096</v>
      </c>
      <c r="BJ45" s="62">
        <f t="shared" si="38"/>
        <v>249.72262393661117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207.71428571428564</v>
      </c>
      <c r="BZ45" s="14">
        <f>BY45*VLOOKUP('Données projet'!$B$12,Paramètres!$A$1:$I$89,3,0)*VLOOKUP('Données projet'!$B$12,Paramètres!$A$1:$I$89,5,0)</f>
        <v>165.25748571428565</v>
      </c>
      <c r="CA45" s="14">
        <f t="shared" si="39"/>
        <v>42.026115429500585</v>
      </c>
      <c r="CB45" s="22">
        <f t="shared" si="10"/>
        <v>361.01893865876099</v>
      </c>
      <c r="CC45" s="62">
        <f t="shared" si="11"/>
        <v>654.3522719920943</v>
      </c>
      <c r="CD45" s="62">
        <f ca="1">AVERAGE(OFFSET($CC$3,0,0,'Données projet'!$E$12+1,1))-AVERAGE(OFFSET($H$3,0,0,'Données projet'!$E$12+1,1))</f>
        <v>257.24784840892409</v>
      </c>
      <c r="CE45" s="62">
        <f t="shared" si="40"/>
        <v>288.30197520356643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11.5</v>
      </c>
      <c r="CT45" s="13">
        <f>IF('Données projet'!$A$140&gt;35,CT44+CS45-DB44,IF(A45&lt;'Données projet'!$A$140,$CQ$205^A45,IF(A45='Données projet'!$A$140,'Données projet'!$B$140,CT44+CS45-DB44)))</f>
        <v>216.00000000000006</v>
      </c>
      <c r="CU45" s="18">
        <f>CT45*VLOOKUP('Données projet'!$B$13,Paramètres!$A$1:$I$89,3,0)*VLOOKUP('Données projet'!$B$13,Paramètres!$A$1:$I$89,5,0)</f>
        <v>101.08800000000002</v>
      </c>
      <c r="CV45" s="14">
        <f t="shared" si="41"/>
        <v>27.221035075711939</v>
      </c>
      <c r="CW45" s="22">
        <f t="shared" si="13"/>
        <v>223.47156942353163</v>
      </c>
      <c r="CX45" s="62">
        <f t="shared" si="14"/>
        <v>516.80490275686498</v>
      </c>
      <c r="CY45" s="62">
        <f ca="1">AVERAGE(OFFSET($CX$3,0,0,'Données projet'!$E$13+1,1))-AVERAGE(OFFSET($H$3,0,0,'Données projet'!$E$13+1,1))</f>
        <v>199.0086462069545</v>
      </c>
      <c r="CZ45" s="62">
        <f t="shared" si="42"/>
        <v>254.08208375594057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20.399999999999999</v>
      </c>
      <c r="DO45" s="13">
        <f>IF('Données projet'!$A$166&gt;35,DO44+DN45-DW44,IF(A45&lt;'Données projet'!$A$166,$DL$205^A45,IF(A45='Données projet'!$A$166,'Données projet'!$B$166,DO44+DN45-DW44)))</f>
        <v>615.79999999999995</v>
      </c>
      <c r="DP45" s="18">
        <f>DO45*VLOOKUP('Données projet'!$B$14,Paramètres!$A$1:$I$89,3,0)*VLOOKUP('Données projet'!$B$14,Paramètres!$A$1:$I$89,5,0)</f>
        <v>344.23219999999998</v>
      </c>
      <c r="DQ45" s="14">
        <f t="shared" si="43"/>
        <v>80.373715191199906</v>
      </c>
      <c r="DR45" s="22">
        <f t="shared" si="16"/>
        <v>739.52196895800637</v>
      </c>
      <c r="DS45" s="62">
        <f t="shared" si="17"/>
        <v>1032.8553022913397</v>
      </c>
      <c r="DT45" s="62">
        <f ca="1">AVERAGE(OFFSET($DS$3,0,0,'Données projet'!$E$14+1,1))-AVERAGE(OFFSET($H$3,0,0,'Données projet'!$E$14+1,1))</f>
        <v>534.78683721545372</v>
      </c>
      <c r="DU45" s="62">
        <f t="shared" si="44"/>
        <v>710.59298755711075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10</v>
      </c>
      <c r="EJ45" s="13">
        <f>IF('Données projet'!$A$192&gt;35,EJ44+EI45-ER44,IF(A45&lt;'Données projet'!$A$192,$EG$205^A45,IF(A45='Données projet'!$A$192,'Données projet'!$B$192,EJ44+EI45-ER44)))</f>
        <v>284</v>
      </c>
      <c r="EK45" s="18">
        <f>EJ45*VLOOKUP('Données projet'!$B$15,Paramètres!$A$1:$I$89,3,0)*VLOOKUP('Données projet'!$B$15,Paramètres!$A$1:$I$89,5,0)</f>
        <v>169.83200000000002</v>
      </c>
      <c r="EL45" s="14">
        <f t="shared" si="45"/>
        <v>43.052395009050464</v>
      </c>
      <c r="EM45" s="22">
        <f t="shared" si="19"/>
        <v>370.77365464076291</v>
      </c>
      <c r="EN45" s="62">
        <f t="shared" si="20"/>
        <v>664.10698797409623</v>
      </c>
      <c r="EO45" s="62">
        <f ca="1">AVERAGE(OFFSET($EN$3,0,0,'Données projet'!$E$15+1,1))-AVERAGE(OFFSET($H$3,0,0,'Données projet'!$E$15+1,1))</f>
        <v>292.87204407272162</v>
      </c>
      <c r="EP45" s="62">
        <f t="shared" si="46"/>
        <v>326.06531673481805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19.3</v>
      </c>
      <c r="N46" s="14">
        <f>IF('Données projet'!$A$36&gt;35,N45+M46-V45,IF(A46&lt;'Données projet'!$A$36,$K$205^A46,IF(A46='Données projet'!$A$36,'Données projet'!$B$36,N45+M46-V45)))</f>
        <v>446.89999999999986</v>
      </c>
      <c r="O46" s="14">
        <f>N46*VLOOKUP('Données projet'!$B$9,Paramètres!$A$1:$I$89,3,0)*VLOOKUP('Données projet'!$B$9,Paramètres!$A$1:$I$89,5,0)</f>
        <v>327.66707999999988</v>
      </c>
      <c r="P46" s="14">
        <f t="shared" si="33"/>
        <v>76.94643380577989</v>
      </c>
      <c r="Q46" s="22">
        <f t="shared" si="53"/>
        <v>704.70186987839986</v>
      </c>
      <c r="R46" s="62">
        <f t="shared" si="0"/>
        <v>998.03520321173323</v>
      </c>
      <c r="S46" s="62">
        <f ca="1">AVERAGE(OFFSET($R$3,0,0,'Données projet'!$E$9+1,1))-AVERAGE(OFFSET($H$3,0,0,'Données projet'!$E$9+1,1))</f>
        <v>451.25506262546861</v>
      </c>
      <c r="T46" s="62">
        <f t="shared" si="34"/>
        <v>534.19872447444368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11.142857142857142</v>
      </c>
      <c r="AI46" s="14">
        <f>IF('Données projet'!$A$62&gt;35,AI45+AH46-AQ45,IF(A46&lt;'Données projet'!$A$62,$AF$205^A46,IF(A46='Données projet'!$A$62,'Données projet'!$B$62,AI45+AH46-AQ45)))</f>
        <v>218.85714285714278</v>
      </c>
      <c r="AJ46" s="14">
        <f>AI46*VLOOKUP('Données projet'!$B$10,Paramètres!$A$1:$I$89,3,0)*VLOOKUP('Données projet'!$B$10,Paramètres!$A$1:$I$89,5,0)</f>
        <v>170.70857142857136</v>
      </c>
      <c r="AK46" s="14">
        <f t="shared" si="35"/>
        <v>43.248681576985376</v>
      </c>
      <c r="AL46" s="22">
        <f t="shared" si="4"/>
        <v>372.64221565134466</v>
      </c>
      <c r="AM46" s="62">
        <f t="shared" si="5"/>
        <v>665.97554898467797</v>
      </c>
      <c r="AN46" s="62">
        <f ca="1">AVERAGE(OFFSET($AM$3,0,0,'Données projet'!$E$10+1,1))-AVERAGE(OFFSET($H$3,0,0,'Données projet'!$E$10+1,1))</f>
        <v>252.84702735189455</v>
      </c>
      <c r="AO46" s="62">
        <f t="shared" si="36"/>
        <v>283.48738729114024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218.85714285714278</v>
      </c>
      <c r="BE46" s="14">
        <f>BD46*VLOOKUP('Données projet'!$B$11,Paramètres!$A$1:$I$89,3,0)*VLOOKUP('Données projet'!$B$11,Paramètres!$A$1:$I$89,5,0)</f>
        <v>146.80937142857138</v>
      </c>
      <c r="BF46" s="14">
        <f t="shared" si="37"/>
        <v>37.852599017509782</v>
      </c>
      <c r="BG46" s="22">
        <f t="shared" si="7"/>
        <v>321.61959852692468</v>
      </c>
      <c r="BH46" s="62">
        <f t="shared" si="8"/>
        <v>614.95293186025799</v>
      </c>
      <c r="BI46" s="62">
        <f ca="1">AVERAGE(OFFSET($BH$3,0,0,'Données projet'!$E$11+1,1))-AVERAGE(OFFSET($H$3,0,0,'Données projet'!$E$11+1,1))</f>
        <v>221.98516361836096</v>
      </c>
      <c r="BJ46" s="62">
        <f t="shared" si="38"/>
        <v>249.72262393661117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218.85714285714278</v>
      </c>
      <c r="BZ46" s="14">
        <f>BY46*VLOOKUP('Données projet'!$B$12,Paramètres!$A$1:$I$89,3,0)*VLOOKUP('Données projet'!$B$12,Paramètres!$A$1:$I$89,5,0)</f>
        <v>174.12274285714281</v>
      </c>
      <c r="CA46" s="14">
        <f t="shared" si="39"/>
        <v>44.012089195485771</v>
      </c>
      <c r="CB46" s="22">
        <f t="shared" si="10"/>
        <v>379.91816582499479</v>
      </c>
      <c r="CC46" s="62">
        <f t="shared" si="11"/>
        <v>673.2514991583281</v>
      </c>
      <c r="CD46" s="62">
        <f ca="1">AVERAGE(OFFSET($CC$3,0,0,'Données projet'!$E$12+1,1))-AVERAGE(OFFSET($H$3,0,0,'Données projet'!$E$12+1,1))</f>
        <v>257.24784840892409</v>
      </c>
      <c r="CE46" s="62">
        <f t="shared" si="40"/>
        <v>288.30197520356643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11.5</v>
      </c>
      <c r="CT46" s="13">
        <f>IF('Données projet'!$A$140&gt;35,CT45+CS46-DB45,IF(A46&lt;'Données projet'!$A$140,$CQ$205^A46,IF(A46='Données projet'!$A$140,'Données projet'!$B$140,CT45+CS46-DB45)))</f>
        <v>227.50000000000006</v>
      </c>
      <c r="CU46" s="18">
        <f>CT46*VLOOKUP('Données projet'!$B$13,Paramètres!$A$1:$I$89,3,0)*VLOOKUP('Données projet'!$B$13,Paramètres!$A$1:$I$89,5,0)</f>
        <v>106.47000000000003</v>
      </c>
      <c r="CV46" s="14">
        <f t="shared" si="41"/>
        <v>28.49771681771891</v>
      </c>
      <c r="CW46" s="22">
        <f t="shared" si="13"/>
        <v>235.06877345752716</v>
      </c>
      <c r="CX46" s="62">
        <f t="shared" si="14"/>
        <v>528.40210679086044</v>
      </c>
      <c r="CY46" s="62">
        <f ca="1">AVERAGE(OFFSET($CX$3,0,0,'Données projet'!$E$13+1,1))-AVERAGE(OFFSET($H$3,0,0,'Données projet'!$E$13+1,1))</f>
        <v>199.0086462069545</v>
      </c>
      <c r="CZ46" s="62">
        <f t="shared" si="42"/>
        <v>254.08208375594057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20.399999999999999</v>
      </c>
      <c r="DO46" s="13">
        <f>IF('Données projet'!$A$166&gt;35,DO45+DN46-DW45,IF(A46&lt;'Données projet'!$A$166,$DL$205^A46,IF(A46='Données projet'!$A$166,'Données projet'!$B$166,DO45+DN46-DW45)))</f>
        <v>636.19999999999993</v>
      </c>
      <c r="DP46" s="18">
        <f>DO46*VLOOKUP('Données projet'!$B$14,Paramètres!$A$1:$I$89,3,0)*VLOOKUP('Données projet'!$B$14,Paramètres!$A$1:$I$89,5,0)</f>
        <v>355.63579999999996</v>
      </c>
      <c r="DQ46" s="14">
        <f t="shared" si="43"/>
        <v>82.72189991276511</v>
      </c>
      <c r="DR46" s="22">
        <f t="shared" si="16"/>
        <v>763.47299401473254</v>
      </c>
      <c r="DS46" s="62">
        <f t="shared" si="17"/>
        <v>1056.8063273480659</v>
      </c>
      <c r="DT46" s="62">
        <f ca="1">AVERAGE(OFFSET($DS$3,0,0,'Données projet'!$E$14+1,1))-AVERAGE(OFFSET($H$3,0,0,'Données projet'!$E$14+1,1))</f>
        <v>534.78683721545372</v>
      </c>
      <c r="DU46" s="62">
        <f t="shared" si="44"/>
        <v>710.59298755711075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10</v>
      </c>
      <c r="EJ46" s="13">
        <f>IF('Données projet'!$A$192&gt;35,EJ45+EI46-ER45,IF(A46&lt;'Données projet'!$A$192,$EG$205^A46,IF(A46='Données projet'!$A$192,'Données projet'!$B$192,EJ45+EI46-ER45)))</f>
        <v>294</v>
      </c>
      <c r="EK46" s="18">
        <f>EJ46*VLOOKUP('Données projet'!$B$15,Paramètres!$A$1:$I$89,3,0)*VLOOKUP('Données projet'!$B$15,Paramètres!$A$1:$I$89,5,0)</f>
        <v>175.81200000000001</v>
      </c>
      <c r="EL46" s="14">
        <f t="shared" si="45"/>
        <v>44.389160560041141</v>
      </c>
      <c r="EM46" s="22">
        <f t="shared" si="19"/>
        <v>383.51702130873832</v>
      </c>
      <c r="EN46" s="62">
        <f t="shared" si="20"/>
        <v>676.85035464207158</v>
      </c>
      <c r="EO46" s="62">
        <f ca="1">AVERAGE(OFFSET($EN$3,0,0,'Données projet'!$E$15+1,1))-AVERAGE(OFFSET($H$3,0,0,'Données projet'!$E$15+1,1))</f>
        <v>292.87204407272162</v>
      </c>
      <c r="EP46" s="62">
        <f t="shared" si="46"/>
        <v>326.06531673481805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19.3</v>
      </c>
      <c r="N47" s="14">
        <f>IF('Données projet'!$A$36&gt;35,N46+M47-V46,IF(A47&lt;'Données projet'!$A$36,$K$205^A47,IF(A47='Données projet'!$A$36,'Données projet'!$B$36,N46+M47-V46)))</f>
        <v>466.19999999999987</v>
      </c>
      <c r="O47" s="14">
        <f>N47*VLOOKUP('Données projet'!$B$9,Paramètres!$A$1:$I$89,3,0)*VLOOKUP('Données projet'!$B$9,Paramètres!$A$1:$I$89,5,0)</f>
        <v>341.81783999999988</v>
      </c>
      <c r="P47" s="14">
        <f t="shared" si="33"/>
        <v>79.875407038131883</v>
      </c>
      <c r="Q47" s="22">
        <f t="shared" si="53"/>
        <v>734.44907192474602</v>
      </c>
      <c r="R47" s="62">
        <f t="shared" si="0"/>
        <v>1027.7824052580793</v>
      </c>
      <c r="S47" s="62">
        <f ca="1">AVERAGE(OFFSET($R$3,0,0,'Données projet'!$E$9+1,1))-AVERAGE(OFFSET($H$3,0,0,'Données projet'!$E$9+1,1))</f>
        <v>451.25506262546861</v>
      </c>
      <c r="T47" s="62">
        <f t="shared" si="34"/>
        <v>534.19872447444368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230</v>
      </c>
      <c r="AG47" s="13">
        <f>VLOOKUP(A47,'Données projet'!$A$61:$I$81,9,0)</f>
        <v>11.142857142857142</v>
      </c>
      <c r="AH47" s="13">
        <f t="array" ref="AH47">INDEX(AG:AG,MIN(IF(ISNUMBER(AG47:AG243),ROW(AG47:AG243),"")))</f>
        <v>11.142857142857142</v>
      </c>
      <c r="AI47" s="14">
        <f>IF('Données projet'!$A$62&gt;35,AI46+AH47-AQ46,IF(A47&lt;'Données projet'!$A$62,$AF$205^A47,IF(A47='Données projet'!$A$62,'Données projet'!$B$62,AI46+AH47-AQ46)))</f>
        <v>229.99999999999991</v>
      </c>
      <c r="AJ47" s="14">
        <f>AI47*VLOOKUP('Données projet'!$B$10,Paramètres!$A$1:$I$89,3,0)*VLOOKUP('Données projet'!$B$10,Paramètres!$A$1:$I$89,5,0)</f>
        <v>179.39999999999995</v>
      </c>
      <c r="AK47" s="14">
        <f t="shared" si="35"/>
        <v>45.188671291872232</v>
      </c>
      <c r="AL47" s="22">
        <f t="shared" si="4"/>
        <v>391.15860250001066</v>
      </c>
      <c r="AM47" s="62">
        <f t="shared" si="5"/>
        <v>684.49193583334397</v>
      </c>
      <c r="AN47" s="62">
        <f ca="1">AVERAGE(OFFSET($AM$3,0,0,'Données projet'!$E$10+1,1))-AVERAGE(OFFSET($H$3,0,0,'Données projet'!$E$10+1,1))</f>
        <v>252.84702735189455</v>
      </c>
      <c r="AO47" s="62">
        <f t="shared" si="36"/>
        <v>283.48738729114024</v>
      </c>
      <c r="AP47" s="16">
        <f>IF(ISNA(VLOOKUP(A47,'Données projet'!$A$61:$I$81,3,0)),0,VLOOKUP(A47,'Données projet'!$A$61:$I$81,3,0))</f>
        <v>6</v>
      </c>
      <c r="AQ47" s="16">
        <f>IF(ISNA(VLOOKUP(A47,'Données projet'!$A$61:$I$81,4,0)),0,VLOOKUP(A47,'Données projet'!$A$61:$I$81,4,0))</f>
        <v>43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229.99999999999991</v>
      </c>
      <c r="BE47" s="14">
        <f>BD47*VLOOKUP('Données projet'!$B$11,Paramètres!$A$1:$I$89,3,0)*VLOOKUP('Données projet'!$B$11,Paramètres!$A$1:$I$89,5,0)</f>
        <v>154.28399999999993</v>
      </c>
      <c r="BF47" s="14">
        <f t="shared" si="37"/>
        <v>39.550538702560999</v>
      </c>
      <c r="BG47" s="22">
        <f t="shared" si="7"/>
        <v>337.59515490696026</v>
      </c>
      <c r="BH47" s="62">
        <f t="shared" si="8"/>
        <v>630.92848824029352</v>
      </c>
      <c r="BI47" s="62">
        <f ca="1">AVERAGE(OFFSET($BH$3,0,0,'Données projet'!$E$11+1,1))-AVERAGE(OFFSET($H$3,0,0,'Données projet'!$E$11+1,1))</f>
        <v>221.98516361836096</v>
      </c>
      <c r="BJ47" s="62">
        <f t="shared" si="38"/>
        <v>249.72262393661117</v>
      </c>
      <c r="BK47" s="16">
        <f>IF(ISNA(VLOOKUP(A47,'Données projet'!$A$87:$I$107,3,0)),0,VLOOKUP(A47,'Données projet'!$A$87:$I$107,3,0))</f>
        <v>6</v>
      </c>
      <c r="BL47" s="16">
        <f>IF(ISNA(VLOOKUP(A47,'Données projet'!$A$87:$I$107,4,0)),0,VLOOKUP(A47,'Données projet'!$A$87:$I$107,4,0))</f>
        <v>43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229.99999999999991</v>
      </c>
      <c r="BZ47" s="14">
        <f>BY47*VLOOKUP('Données projet'!$B$12,Paramètres!$A$1:$I$89,3,0)*VLOOKUP('Données projet'!$B$12,Paramètres!$A$1:$I$89,5,0)</f>
        <v>182.98799999999994</v>
      </c>
      <c r="CA47" s="14">
        <f t="shared" si="39"/>
        <v>45.986322796524831</v>
      </c>
      <c r="CB47" s="22">
        <f t="shared" si="10"/>
        <v>398.79694553728064</v>
      </c>
      <c r="CC47" s="62">
        <f t="shared" si="11"/>
        <v>692.13027887061389</v>
      </c>
      <c r="CD47" s="62">
        <f ca="1">AVERAGE(OFFSET($CC$3,0,0,'Données projet'!$E$12+1,1))-AVERAGE(OFFSET($H$3,0,0,'Données projet'!$E$12+1,1))</f>
        <v>257.24784840892409</v>
      </c>
      <c r="CE47" s="62">
        <f t="shared" si="40"/>
        <v>288.30197520356643</v>
      </c>
      <c r="CF47" s="16">
        <f>IF(ISNA(VLOOKUP(A47,'Données projet'!$A$113:$I$133,3,0)),0,VLOOKUP(A47,'Données projet'!$A$113:$I$133,3,0))</f>
        <v>6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11.5</v>
      </c>
      <c r="CT47" s="13">
        <f>IF('Données projet'!$A$140&gt;35,CT46+CS47-DB46,IF(A47&lt;'Données projet'!$A$140,$CQ$205^A47,IF(A47='Données projet'!$A$140,'Données projet'!$B$140,CT46+CS47-DB46)))</f>
        <v>239.00000000000006</v>
      </c>
      <c r="CU47" s="18">
        <f>CT47*VLOOKUP('Données projet'!$B$13,Paramètres!$A$1:$I$89,3,0)*VLOOKUP('Données projet'!$B$13,Paramètres!$A$1:$I$89,5,0)</f>
        <v>111.85200000000003</v>
      </c>
      <c r="CV47" s="14">
        <f t="shared" si="41"/>
        <v>29.766905308078066</v>
      </c>
      <c r="CW47" s="22">
        <f t="shared" si="13"/>
        <v>246.65292674490271</v>
      </c>
      <c r="CX47" s="62">
        <f t="shared" si="14"/>
        <v>539.986260078236</v>
      </c>
      <c r="CY47" s="62">
        <f ca="1">AVERAGE(OFFSET($CX$3,0,0,'Données projet'!$E$13+1,1))-AVERAGE(OFFSET($H$3,0,0,'Données projet'!$E$13+1,1))</f>
        <v>199.0086462069545</v>
      </c>
      <c r="CZ47" s="62">
        <f t="shared" si="42"/>
        <v>254.08208375594057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20.399999999999999</v>
      </c>
      <c r="DO47" s="13">
        <f>IF('Données projet'!$A$166&gt;35,DO46+DN47-DW46,IF(A47&lt;'Données projet'!$A$166,$DL$205^A47,IF(A47='Données projet'!$A$166,'Données projet'!$B$166,DO46+DN47-DW46)))</f>
        <v>656.59999999999991</v>
      </c>
      <c r="DP47" s="18">
        <f>DO47*VLOOKUP('Données projet'!$B$14,Paramètres!$A$1:$I$89,3,0)*VLOOKUP('Données projet'!$B$14,Paramètres!$A$1:$I$89,5,0)</f>
        <v>367.03939999999994</v>
      </c>
      <c r="DQ47" s="14">
        <f t="shared" si="43"/>
        <v>85.061334995140626</v>
      </c>
      <c r="DR47" s="22">
        <f t="shared" si="16"/>
        <v>787.40878011653638</v>
      </c>
      <c r="DS47" s="62">
        <f t="shared" si="17"/>
        <v>1080.7421134498697</v>
      </c>
      <c r="DT47" s="62">
        <f ca="1">AVERAGE(OFFSET($DS$3,0,0,'Données projet'!$E$14+1,1))-AVERAGE(OFFSET($H$3,0,0,'Données projet'!$E$14+1,1))</f>
        <v>534.78683721545372</v>
      </c>
      <c r="DU47" s="62">
        <f t="shared" si="44"/>
        <v>710.59298755711075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10</v>
      </c>
      <c r="EJ47" s="13">
        <f>IF('Données projet'!$A$192&gt;35,EJ46+EI47-ER46,IF(A47&lt;'Données projet'!$A$192,$EG$205^A47,IF(A47='Données projet'!$A$192,'Données projet'!$B$192,EJ46+EI47-ER46)))</f>
        <v>304</v>
      </c>
      <c r="EK47" s="18">
        <f>EJ47*VLOOKUP('Données projet'!$B$15,Paramètres!$A$1:$I$89,3,0)*VLOOKUP('Données projet'!$B$15,Paramètres!$A$1:$I$89,5,0)</f>
        <v>181.792</v>
      </c>
      <c r="EL47" s="14">
        <f t="shared" si="45"/>
        <v>45.720642997712531</v>
      </c>
      <c r="EM47" s="22">
        <f t="shared" si="19"/>
        <v>396.25118655434932</v>
      </c>
      <c r="EN47" s="62">
        <f t="shared" si="20"/>
        <v>689.58451988768263</v>
      </c>
      <c r="EO47" s="62">
        <f ca="1">AVERAGE(OFFSET($EN$3,0,0,'Données projet'!$E$15+1,1))-AVERAGE(OFFSET($H$3,0,0,'Données projet'!$E$15+1,1))</f>
        <v>292.87204407272162</v>
      </c>
      <c r="EP47" s="62">
        <f t="shared" si="46"/>
        <v>326.06531673481805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19.3</v>
      </c>
      <c r="N48" s="14">
        <f>IF('Données projet'!$A$36&gt;35,N47+M48-V47,IF(A48&lt;'Données projet'!$A$36,$K$205^A48,IF(A48='Données projet'!$A$36,'Données projet'!$B$36,N47+M48-V47)))</f>
        <v>485.49999999999989</v>
      </c>
      <c r="O48" s="14">
        <f>N48*VLOOKUP('Données projet'!$B$9,Paramètres!$A$1:$I$89,3,0)*VLOOKUP('Données projet'!$B$9,Paramètres!$A$1:$I$89,5,0)</f>
        <v>355.96859999999992</v>
      </c>
      <c r="P48" s="14">
        <f t="shared" si="33"/>
        <v>82.790295866098276</v>
      </c>
      <c r="Q48" s="22">
        <f t="shared" si="53"/>
        <v>764.1717436334543</v>
      </c>
      <c r="R48" s="62">
        <f t="shared" si="0"/>
        <v>1057.5050769667876</v>
      </c>
      <c r="S48" s="62">
        <f ca="1">AVERAGE(OFFSET($R$3,0,0,'Données projet'!$E$9+1,1))-AVERAGE(OFFSET($H$3,0,0,'Données projet'!$E$9+1,1))</f>
        <v>451.25506262546861</v>
      </c>
      <c r="T48" s="62">
        <f t="shared" si="34"/>
        <v>534.19872447444368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10.375</v>
      </c>
      <c r="AI48" s="14">
        <f>IF('Données projet'!$A$62&gt;35,AI47+AH48-AQ47,IF(A48&lt;'Données projet'!$A$62,$AF$205^A48,IF(A48='Données projet'!$A$62,'Données projet'!$B$62,AI47+AH48-AQ47)))</f>
        <v>197.37499999999991</v>
      </c>
      <c r="AJ48" s="14">
        <f>AI48*VLOOKUP('Données projet'!$B$10,Paramètres!$A$1:$I$89,3,0)*VLOOKUP('Données projet'!$B$10,Paramètres!$A$1:$I$89,5,0)</f>
        <v>153.95249999999993</v>
      </c>
      <c r="AK48" s="14">
        <f t="shared" si="35"/>
        <v>39.475441267837361</v>
      </c>
      <c r="AL48" s="22">
        <f t="shared" si="4"/>
        <v>336.88699770814992</v>
      </c>
      <c r="AM48" s="62">
        <f t="shared" si="5"/>
        <v>630.22033104148318</v>
      </c>
      <c r="AN48" s="62">
        <f ca="1">AVERAGE(OFFSET($AM$3,0,0,'Données projet'!$E$10+1,1))-AVERAGE(OFFSET($H$3,0,0,'Données projet'!$E$10+1,1))</f>
        <v>252.84702735189455</v>
      </c>
      <c r="AO48" s="62">
        <f t="shared" si="36"/>
        <v>283.48738729114024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197.37499999999991</v>
      </c>
      <c r="BE48" s="14">
        <f>BD48*VLOOKUP('Données projet'!$B$11,Paramètres!$A$1:$I$89,3,0)*VLOOKUP('Données projet'!$B$11,Paramètres!$A$1:$I$89,5,0)</f>
        <v>132.39914999999993</v>
      </c>
      <c r="BF48" s="14">
        <f t="shared" si="37"/>
        <v>34.550141064782551</v>
      </c>
      <c r="BG48" s="22">
        <f t="shared" si="7"/>
        <v>290.77001527116278</v>
      </c>
      <c r="BH48" s="62">
        <f t="shared" si="8"/>
        <v>584.10334860449609</v>
      </c>
      <c r="BI48" s="62">
        <f ca="1">AVERAGE(OFFSET($BH$3,0,0,'Données projet'!$E$11+1,1))-AVERAGE(OFFSET($H$3,0,0,'Données projet'!$E$11+1,1))</f>
        <v>221.98516361836096</v>
      </c>
      <c r="BJ48" s="62">
        <f t="shared" si="38"/>
        <v>249.72262393661117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197.37499999999991</v>
      </c>
      <c r="BZ48" s="14">
        <f>BY48*VLOOKUP('Données projet'!$B$12,Paramètres!$A$1:$I$89,3,0)*VLOOKUP('Données projet'!$B$12,Paramètres!$A$1:$I$89,5,0)</f>
        <v>157.03154999999992</v>
      </c>
      <c r="CA48" s="14">
        <f t="shared" si="39"/>
        <v>40.172245228297676</v>
      </c>
      <c r="CB48" s="22">
        <f t="shared" si="10"/>
        <v>343.46327668928501</v>
      </c>
      <c r="CC48" s="62">
        <f t="shared" si="11"/>
        <v>636.79661002261832</v>
      </c>
      <c r="CD48" s="62">
        <f ca="1">AVERAGE(OFFSET($CC$3,0,0,'Données projet'!$E$12+1,1))-AVERAGE(OFFSET($H$3,0,0,'Données projet'!$E$12+1,1))</f>
        <v>257.24784840892409</v>
      </c>
      <c r="CE48" s="62">
        <f t="shared" si="40"/>
        <v>288.30197520356643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11.5</v>
      </c>
      <c r="CT48" s="13">
        <f>IF('Données projet'!$A$140&gt;35,CT47+CS48-DB47,IF(A48&lt;'Données projet'!$A$140,$CQ$205^A48,IF(A48='Données projet'!$A$140,'Données projet'!$B$140,CT47+CS48-DB47)))</f>
        <v>250.50000000000006</v>
      </c>
      <c r="CU48" s="18">
        <f>CT48*VLOOKUP('Données projet'!$B$13,Paramètres!$A$1:$I$89,3,0)*VLOOKUP('Données projet'!$B$13,Paramètres!$A$1:$I$89,5,0)</f>
        <v>117.23400000000004</v>
      </c>
      <c r="CV48" s="14">
        <f t="shared" si="41"/>
        <v>31.029002261277544</v>
      </c>
      <c r="CW48" s="22">
        <f t="shared" si="13"/>
        <v>258.22472893839176</v>
      </c>
      <c r="CX48" s="62">
        <f t="shared" si="14"/>
        <v>551.55806227172502</v>
      </c>
      <c r="CY48" s="62">
        <f ca="1">AVERAGE(OFFSET($CX$3,0,0,'Données projet'!$E$13+1,1))-AVERAGE(OFFSET($H$3,0,0,'Données projet'!$E$13+1,1))</f>
        <v>199.0086462069545</v>
      </c>
      <c r="CZ48" s="62">
        <f t="shared" si="42"/>
        <v>254.08208375594057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677</v>
      </c>
      <c r="DM48" s="13">
        <f>VLOOKUP(A48,'Données projet'!$A$165:$I$185,9,0)</f>
        <v>20.399999999999999</v>
      </c>
      <c r="DN48" s="13">
        <f t="array" ref="DN48">INDEX(DM:DM,MIN(IF(ISNUMBER(DM48:DM244),ROW(DM48:DM244),"")))</f>
        <v>20.399999999999999</v>
      </c>
      <c r="DO48" s="13">
        <f>IF('Données projet'!$A$166&gt;35,DO47+DN48-DW47,IF(A48&lt;'Données projet'!$A$166,$DL$205^A48,IF(A48='Données projet'!$A$166,'Données projet'!$B$166,DO47+DN48-DW47)))</f>
        <v>676.99999999999989</v>
      </c>
      <c r="DP48" s="18">
        <f>DO48*VLOOKUP('Données projet'!$B$14,Paramètres!$A$1:$I$89,3,0)*VLOOKUP('Données projet'!$B$14,Paramètres!$A$1:$I$89,5,0)</f>
        <v>378.44299999999998</v>
      </c>
      <c r="DQ48" s="14">
        <f t="shared" si="43"/>
        <v>87.392323475551621</v>
      </c>
      <c r="DR48" s="22">
        <f t="shared" si="16"/>
        <v>811.32985505325234</v>
      </c>
      <c r="DS48" s="62">
        <f t="shared" si="17"/>
        <v>1104.6631883865857</v>
      </c>
      <c r="DT48" s="62">
        <f ca="1">AVERAGE(OFFSET($DS$3,0,0,'Données projet'!$E$14+1,1))-AVERAGE(OFFSET($H$3,0,0,'Données projet'!$E$14+1,1))</f>
        <v>534.78683721545372</v>
      </c>
      <c r="DU48" s="62">
        <f t="shared" si="44"/>
        <v>710.59298755711075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82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10</v>
      </c>
      <c r="EJ48" s="13">
        <f>IF('Données projet'!$A$192&gt;35,EJ47+EI48-ER47,IF(A48&lt;'Données projet'!$A$192,$EG$205^A48,IF(A48='Données projet'!$A$192,'Données projet'!$B$192,EJ47+EI48-ER47)))</f>
        <v>314</v>
      </c>
      <c r="EK48" s="18">
        <f>EJ48*VLOOKUP('Données projet'!$B$15,Paramètres!$A$1:$I$89,3,0)*VLOOKUP('Données projet'!$B$15,Paramètres!$A$1:$I$89,5,0)</f>
        <v>187.77199999999999</v>
      </c>
      <c r="EL48" s="14">
        <f t="shared" si="45"/>
        <v>47.047036037430182</v>
      </c>
      <c r="EM48" s="22">
        <f t="shared" si="19"/>
        <v>408.97648776519083</v>
      </c>
      <c r="EN48" s="62">
        <f t="shared" si="20"/>
        <v>702.30982109852414</v>
      </c>
      <c r="EO48" s="62">
        <f ca="1">AVERAGE(OFFSET($EN$3,0,0,'Données projet'!$E$15+1,1))-AVERAGE(OFFSET($H$3,0,0,'Données projet'!$E$15+1,1))</f>
        <v>292.87204407272162</v>
      </c>
      <c r="EP48" s="62">
        <f t="shared" si="46"/>
        <v>326.06531673481805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19.3</v>
      </c>
      <c r="N49" s="14">
        <f>IF('Données projet'!$A$36&gt;35,N48+M49-V48,IF(A49&lt;'Données projet'!$A$36,$K$205^A49,IF(A49='Données projet'!$A$36,'Données projet'!$B$36,N48+M49-V48)))</f>
        <v>504.7999999999999</v>
      </c>
      <c r="O49" s="14">
        <f>N49*VLOOKUP('Données projet'!$B$9,Paramètres!$A$1:$I$89,3,0)*VLOOKUP('Données projet'!$B$9,Paramètres!$A$1:$I$89,5,0)</f>
        <v>370.11935999999992</v>
      </c>
      <c r="P49" s="14">
        <f t="shared" si="33"/>
        <v>85.691724247336737</v>
      </c>
      <c r="Q49" s="22">
        <f t="shared" si="53"/>
        <v>793.87097173077802</v>
      </c>
      <c r="R49" s="62">
        <f t="shared" si="0"/>
        <v>1087.2043050641114</v>
      </c>
      <c r="S49" s="62">
        <f ca="1">AVERAGE(OFFSET($R$3,0,0,'Données projet'!$E$9+1,1))-AVERAGE(OFFSET($H$3,0,0,'Données projet'!$E$9+1,1))</f>
        <v>451.25506262546861</v>
      </c>
      <c r="T49" s="62">
        <f t="shared" si="34"/>
        <v>534.19872447444368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10.375</v>
      </c>
      <c r="AI49" s="14">
        <f>IF('Données projet'!$A$62&gt;35,AI48+AH49-AQ48,IF(A49&lt;'Données projet'!$A$62,$AF$205^A49,IF(A49='Données projet'!$A$62,'Données projet'!$B$62,AI48+AH49-AQ48)))</f>
        <v>207.74999999999991</v>
      </c>
      <c r="AJ49" s="14">
        <f>AI49*VLOOKUP('Données projet'!$B$10,Paramètres!$A$1:$I$89,3,0)*VLOOKUP('Données projet'!$B$10,Paramètres!$A$1:$I$89,5,0)</f>
        <v>162.04499999999993</v>
      </c>
      <c r="AK49" s="14">
        <f t="shared" si="35"/>
        <v>41.303429372463391</v>
      </c>
      <c r="AL49" s="22">
        <f t="shared" si="4"/>
        <v>354.16518115704025</v>
      </c>
      <c r="AM49" s="62">
        <f t="shared" si="5"/>
        <v>647.49851449037351</v>
      </c>
      <c r="AN49" s="62">
        <f ca="1">AVERAGE(OFFSET($AM$3,0,0,'Données projet'!$E$10+1,1))-AVERAGE(OFFSET($H$3,0,0,'Données projet'!$E$10+1,1))</f>
        <v>252.84702735189455</v>
      </c>
      <c r="AO49" s="62">
        <f t="shared" si="36"/>
        <v>283.48738729114024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207.74999999999991</v>
      </c>
      <c r="BE49" s="14">
        <f>BD49*VLOOKUP('Données projet'!$B$11,Paramètres!$A$1:$I$89,3,0)*VLOOKUP('Données projet'!$B$11,Paramètres!$A$1:$I$89,5,0)</f>
        <v>139.35869999999994</v>
      </c>
      <c r="BF49" s="14">
        <f t="shared" si="37"/>
        <v>36.150053436909211</v>
      </c>
      <c r="BG49" s="22">
        <f t="shared" si="7"/>
        <v>305.67774556928345</v>
      </c>
      <c r="BH49" s="62">
        <f t="shared" si="8"/>
        <v>599.01107890261676</v>
      </c>
      <c r="BI49" s="62">
        <f ca="1">AVERAGE(OFFSET($BH$3,0,0,'Données projet'!$E$11+1,1))-AVERAGE(OFFSET($H$3,0,0,'Données projet'!$E$11+1,1))</f>
        <v>221.98516361836096</v>
      </c>
      <c r="BJ49" s="62">
        <f t="shared" si="38"/>
        <v>249.72262393661117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207.74999999999991</v>
      </c>
      <c r="BZ49" s="14">
        <f>BY49*VLOOKUP('Données projet'!$B$12,Paramètres!$A$1:$I$89,3,0)*VLOOKUP('Données projet'!$B$12,Paramètres!$A$1:$I$89,5,0)</f>
        <v>165.28589999999994</v>
      </c>
      <c r="CA49" s="14">
        <f t="shared" si="39"/>
        <v>42.032500213547884</v>
      </c>
      <c r="CB49" s="22">
        <f t="shared" si="10"/>
        <v>361.07954703859576</v>
      </c>
      <c r="CC49" s="62">
        <f t="shared" si="11"/>
        <v>654.41288037192908</v>
      </c>
      <c r="CD49" s="62">
        <f ca="1">AVERAGE(OFFSET($CC$3,0,0,'Données projet'!$E$12+1,1))-AVERAGE(OFFSET($H$3,0,0,'Données projet'!$E$12+1,1))</f>
        <v>257.24784840892409</v>
      </c>
      <c r="CE49" s="62">
        <f t="shared" si="40"/>
        <v>288.30197520356643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11.5</v>
      </c>
      <c r="CT49" s="13">
        <f>IF('Données projet'!$A$140&gt;35,CT48+CS49-DB48,IF(A49&lt;'Données projet'!$A$140,$CQ$205^A49,IF(A49='Données projet'!$A$140,'Données projet'!$B$140,CT48+CS49-DB48)))</f>
        <v>262.00000000000006</v>
      </c>
      <c r="CU49" s="18">
        <f>CT49*VLOOKUP('Données projet'!$B$13,Paramètres!$A$1:$I$89,3,0)*VLOOKUP('Données projet'!$B$13,Paramètres!$A$1:$I$89,5,0)</f>
        <v>122.61600000000003</v>
      </c>
      <c r="CV49" s="14">
        <f t="shared" si="41"/>
        <v>32.284370423104164</v>
      </c>
      <c r="CW49" s="22">
        <f t="shared" si="13"/>
        <v>269.78481182023978</v>
      </c>
      <c r="CX49" s="62">
        <f t="shared" si="14"/>
        <v>563.1181451535731</v>
      </c>
      <c r="CY49" s="62">
        <f ca="1">AVERAGE(OFFSET($CX$3,0,0,'Données projet'!$E$13+1,1))-AVERAGE(OFFSET($H$3,0,0,'Données projet'!$E$13+1,1))</f>
        <v>199.0086462069545</v>
      </c>
      <c r="CZ49" s="62">
        <f t="shared" si="42"/>
        <v>254.08208375594057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19.2</v>
      </c>
      <c r="DO49" s="13">
        <f>IF('Données projet'!$A$166&gt;35,DO48+DN49-DW48,IF(A49&lt;'Données projet'!$A$166,$DL$205^A49,IF(A49='Données projet'!$A$166,'Données projet'!$B$166,DO48+DN49-DW48)))</f>
        <v>614.19999999999993</v>
      </c>
      <c r="DP49" s="18">
        <f>DO49*VLOOKUP('Données projet'!$B$14,Paramètres!$A$1:$I$89,3,0)*VLOOKUP('Données projet'!$B$14,Paramètres!$A$1:$I$89,5,0)</f>
        <v>343.33780000000002</v>
      </c>
      <c r="DQ49" s="14">
        <f t="shared" si="43"/>
        <v>80.189164455589108</v>
      </c>
      <c r="DR49" s="22">
        <f t="shared" si="16"/>
        <v>737.64279642681765</v>
      </c>
      <c r="DS49" s="62">
        <f t="shared" si="17"/>
        <v>1030.976129760151</v>
      </c>
      <c r="DT49" s="62">
        <f ca="1">AVERAGE(OFFSET($DS$3,0,0,'Données projet'!$E$14+1,1))-AVERAGE(OFFSET($H$3,0,0,'Données projet'!$E$14+1,1))</f>
        <v>534.78683721545372</v>
      </c>
      <c r="DU49" s="62">
        <f t="shared" si="44"/>
        <v>710.59298755711075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>
        <f>VLOOKUP(A49,'Données projet'!$A$191:$I$211,2,0)</f>
        <v>324</v>
      </c>
      <c r="EH49" s="13">
        <f>VLOOKUP(A49,'Données projet'!$A$191:$I$211,9,0)</f>
        <v>10</v>
      </c>
      <c r="EI49" s="13">
        <f t="array" ref="EI49">INDEX(EH:EH,MIN(IF(ISNUMBER(EH49:EH245),ROW(EH49:EH245),"")))</f>
        <v>10</v>
      </c>
      <c r="EJ49" s="13">
        <f>IF('Données projet'!$A$192&gt;35,EJ48+EI49-ER48,IF(A49&lt;'Données projet'!$A$192,$EG$205^A49,IF(A49='Données projet'!$A$192,'Données projet'!$B$192,EJ48+EI49-ER48)))</f>
        <v>324</v>
      </c>
      <c r="EK49" s="18">
        <f>EJ49*VLOOKUP('Données projet'!$B$15,Paramètres!$A$1:$I$89,3,0)*VLOOKUP('Données projet'!$B$15,Paramètres!$A$1:$I$89,5,0)</f>
        <v>193.75200000000004</v>
      </c>
      <c r="EL49" s="14">
        <f t="shared" si="45"/>
        <v>48.368520355376113</v>
      </c>
      <c r="EM49" s="22">
        <f t="shared" si="19"/>
        <v>421.69323961894679</v>
      </c>
      <c r="EN49" s="62">
        <f t="shared" si="20"/>
        <v>715.02657295228005</v>
      </c>
      <c r="EO49" s="62">
        <f ca="1">AVERAGE(OFFSET($EN$3,0,0,'Données projet'!$E$15+1,1))-AVERAGE(OFFSET($H$3,0,0,'Données projet'!$E$15+1,1))</f>
        <v>292.87204407272162</v>
      </c>
      <c r="EP49" s="62">
        <f t="shared" si="46"/>
        <v>326.06531673481805</v>
      </c>
      <c r="EQ49" s="16">
        <f>IF(ISNA(VLOOKUP(A49,'Données projet'!$A$191:$I$211,3,0)),0,VLOOKUP(A49,'Données projet'!$A$191:$I$211,3,0))</f>
        <v>8</v>
      </c>
      <c r="ER49" s="16">
        <f>IF(ISNA(VLOOKUP(A49,'Données projet'!$A$191:$I$211,4,0)),0,VLOOKUP(A49,'Données projet'!$A$191:$I$211,4,0))</f>
        <v>32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19.3</v>
      </c>
      <c r="N50" s="14">
        <f>IF('Données projet'!$A$36&gt;35,N49+M50-V49,IF(A50&lt;'Données projet'!$A$36,$K$205^A50,IF(A50='Données projet'!$A$36,'Données projet'!$B$36,N49+M50-V49)))</f>
        <v>524.09999999999991</v>
      </c>
      <c r="O50" s="14">
        <f>N50*VLOOKUP('Données projet'!$B$9,Paramètres!$A$1:$I$89,3,0)*VLOOKUP('Données projet'!$B$9,Paramètres!$A$1:$I$89,5,0)</f>
        <v>384.27011999999991</v>
      </c>
      <c r="P50" s="14">
        <f t="shared" si="33"/>
        <v>88.580265725831268</v>
      </c>
      <c r="Q50" s="22">
        <f t="shared" si="53"/>
        <v>823.54775513915592</v>
      </c>
      <c r="R50" s="62">
        <f t="shared" si="0"/>
        <v>1116.8810884724892</v>
      </c>
      <c r="S50" s="62">
        <f ca="1">AVERAGE(OFFSET($R$3,0,0,'Données projet'!$E$9+1,1))-AVERAGE(OFFSET($H$3,0,0,'Données projet'!$E$9+1,1))</f>
        <v>451.25506262546861</v>
      </c>
      <c r="T50" s="62">
        <f t="shared" si="34"/>
        <v>534.19872447444368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10.375</v>
      </c>
      <c r="AI50" s="14">
        <f>IF('Données projet'!$A$62&gt;35,AI49+AH50-AQ49,IF(A50&lt;'Données projet'!$A$62,$AF$205^A50,IF(A50='Données projet'!$A$62,'Données projet'!$B$62,AI49+AH50-AQ49)))</f>
        <v>218.12499999999991</v>
      </c>
      <c r="AJ50" s="14">
        <f>AI50*VLOOKUP('Données projet'!$B$10,Paramètres!$A$1:$I$89,3,0)*VLOOKUP('Données projet'!$B$10,Paramètres!$A$1:$I$89,5,0)</f>
        <v>170.13749999999993</v>
      </c>
      <c r="AK50" s="14">
        <f t="shared" si="35"/>
        <v>43.120817562072375</v>
      </c>
      <c r="AL50" s="22">
        <f t="shared" si="4"/>
        <v>371.42490308727588</v>
      </c>
      <c r="AM50" s="62">
        <f t="shared" si="5"/>
        <v>664.75823642060914</v>
      </c>
      <c r="AN50" s="62">
        <f ca="1">AVERAGE(OFFSET($AM$3,0,0,'Données projet'!$E$10+1,1))-AVERAGE(OFFSET($H$3,0,0,'Données projet'!$E$10+1,1))</f>
        <v>252.84702735189455</v>
      </c>
      <c r="AO50" s="62">
        <f t="shared" si="36"/>
        <v>283.48738729114024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218.12499999999991</v>
      </c>
      <c r="BE50" s="14">
        <f>BD50*VLOOKUP('Données projet'!$B$11,Paramètres!$A$1:$I$89,3,0)*VLOOKUP('Données projet'!$B$11,Paramètres!$A$1:$I$89,5,0)</f>
        <v>146.31824999999995</v>
      </c>
      <c r="BF50" s="14">
        <f t="shared" si="37"/>
        <v>37.740688431827415</v>
      </c>
      <c r="BG50" s="22">
        <f t="shared" si="7"/>
        <v>320.56931776876598</v>
      </c>
      <c r="BH50" s="62">
        <f t="shared" si="8"/>
        <v>613.9026511020993</v>
      </c>
      <c r="BI50" s="62">
        <f ca="1">AVERAGE(OFFSET($BH$3,0,0,'Données projet'!$E$11+1,1))-AVERAGE(OFFSET($H$3,0,0,'Données projet'!$E$11+1,1))</f>
        <v>221.98516361836096</v>
      </c>
      <c r="BJ50" s="62">
        <f t="shared" si="38"/>
        <v>249.72262393661117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218.12499999999991</v>
      </c>
      <c r="BZ50" s="14">
        <f>BY50*VLOOKUP('Données projet'!$B$12,Paramètres!$A$1:$I$89,3,0)*VLOOKUP('Données projet'!$B$12,Paramètres!$A$1:$I$89,5,0)</f>
        <v>173.54024999999996</v>
      </c>
      <c r="CA50" s="14">
        <f t="shared" si="39"/>
        <v>43.881968178519585</v>
      </c>
      <c r="CB50" s="22">
        <f t="shared" si="10"/>
        <v>378.67702999425478</v>
      </c>
      <c r="CC50" s="62">
        <f t="shared" si="11"/>
        <v>672.01036332758804</v>
      </c>
      <c r="CD50" s="62">
        <f ca="1">AVERAGE(OFFSET($CC$3,0,0,'Données projet'!$E$12+1,1))-AVERAGE(OFFSET($H$3,0,0,'Données projet'!$E$12+1,1))</f>
        <v>257.24784840892409</v>
      </c>
      <c r="CE50" s="62">
        <f t="shared" si="40"/>
        <v>288.30197520356643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11.5</v>
      </c>
      <c r="CT50" s="13">
        <f>IF('Données projet'!$A$140&gt;35,CT49+CS50-DB49,IF(A50&lt;'Données projet'!$A$140,$CQ$205^A50,IF(A50='Données projet'!$A$140,'Données projet'!$B$140,CT49+CS50-DB49)))</f>
        <v>273.50000000000006</v>
      </c>
      <c r="CU50" s="18">
        <f>CT50*VLOOKUP('Données projet'!$B$13,Paramètres!$A$1:$I$89,3,0)*VLOOKUP('Données projet'!$B$13,Paramètres!$A$1:$I$89,5,0)</f>
        <v>127.99800000000003</v>
      </c>
      <c r="CV50" s="14">
        <f t="shared" si="41"/>
        <v>33.533338894635342</v>
      </c>
      <c r="CW50" s="22">
        <f t="shared" si="13"/>
        <v>281.33374857482323</v>
      </c>
      <c r="CX50" s="62">
        <f t="shared" si="14"/>
        <v>574.66708190815655</v>
      </c>
      <c r="CY50" s="62">
        <f ca="1">AVERAGE(OFFSET($CX$3,0,0,'Données projet'!$E$13+1,1))-AVERAGE(OFFSET($H$3,0,0,'Données projet'!$E$13+1,1))</f>
        <v>199.0086462069545</v>
      </c>
      <c r="CZ50" s="62">
        <f t="shared" si="42"/>
        <v>254.08208375594057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19.2</v>
      </c>
      <c r="DO50" s="13">
        <f>IF('Données projet'!$A$166&gt;35,DO49+DN50-DW49,IF(A50&lt;'Données projet'!$A$166,$DL$205^A50,IF(A50='Données projet'!$A$166,'Données projet'!$B$166,DO49+DN50-DW49)))</f>
        <v>633.4</v>
      </c>
      <c r="DP50" s="18">
        <f>DO50*VLOOKUP('Données projet'!$B$14,Paramètres!$A$1:$I$89,3,0)*VLOOKUP('Données projet'!$B$14,Paramètres!$A$1:$I$89,5,0)</f>
        <v>354.07059999999996</v>
      </c>
      <c r="DQ50" s="14">
        <f t="shared" si="43"/>
        <v>82.400125145142354</v>
      </c>
      <c r="DR50" s="22">
        <f t="shared" si="16"/>
        <v>760.18651296112273</v>
      </c>
      <c r="DS50" s="62">
        <f t="shared" si="17"/>
        <v>1053.5198462944561</v>
      </c>
      <c r="DT50" s="62">
        <f ca="1">AVERAGE(OFFSET($DS$3,0,0,'Données projet'!$E$14+1,1))-AVERAGE(OFFSET($H$3,0,0,'Données projet'!$E$14+1,1))</f>
        <v>534.78683721545372</v>
      </c>
      <c r="DU50" s="62">
        <f t="shared" si="44"/>
        <v>710.59298755711075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</v>
      </c>
      <c r="EJ50" s="13">
        <f>IF('Données projet'!$A$192&gt;35,EJ49+EI50-ER49,IF(A50&lt;'Données projet'!$A$192,$EG$205^A50,IF(A50='Données projet'!$A$192,'Données projet'!$B$192,EJ49+EI50-ER49)))</f>
        <v>298</v>
      </c>
      <c r="EK50" s="18">
        <f>EJ50*VLOOKUP('Données projet'!$B$15,Paramètres!$A$1:$I$89,3,0)*VLOOKUP('Données projet'!$B$15,Paramètres!$A$1:$I$89,5,0)</f>
        <v>178.20400000000004</v>
      </c>
      <c r="EL50" s="14">
        <f t="shared" si="45"/>
        <v>44.9223763527798</v>
      </c>
      <c r="EM50" s="22">
        <f t="shared" si="19"/>
        <v>388.61177214775813</v>
      </c>
      <c r="EN50" s="62">
        <f t="shared" si="20"/>
        <v>681.94510548109145</v>
      </c>
      <c r="EO50" s="62">
        <f ca="1">AVERAGE(OFFSET($EN$3,0,0,'Données projet'!$E$15+1,1))-AVERAGE(OFFSET($H$3,0,0,'Données projet'!$E$15+1,1))</f>
        <v>292.87204407272162</v>
      </c>
      <c r="EP50" s="62">
        <f t="shared" si="46"/>
        <v>326.06531673481805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19.3</v>
      </c>
      <c r="N51" s="14">
        <f>IF('Données projet'!$A$36&gt;35,N50+M51-V50,IF(A51&lt;'Données projet'!$A$36,$K$205^A51,IF(A51='Données projet'!$A$36,'Données projet'!$B$36,N50+M51-V50)))</f>
        <v>543.39999999999986</v>
      </c>
      <c r="O51" s="14">
        <f>N51*VLOOKUP('Données projet'!$B$9,Paramètres!$A$1:$I$89,3,0)*VLOOKUP('Données projet'!$B$9,Paramètres!$A$1:$I$89,5,0)</f>
        <v>398.4208799999999</v>
      </c>
      <c r="P51" s="14">
        <f t="shared" si="33"/>
        <v>91.456449210430549</v>
      </c>
      <c r="Q51" s="22">
        <f t="shared" si="53"/>
        <v>853.20301504149973</v>
      </c>
      <c r="R51" s="62">
        <f t="shared" si="0"/>
        <v>1146.5363483748331</v>
      </c>
      <c r="S51" s="62">
        <f ca="1">AVERAGE(OFFSET($R$3,0,0,'Données projet'!$E$9+1,1))-AVERAGE(OFFSET($H$3,0,0,'Données projet'!$E$9+1,1))</f>
        <v>451.25506262546861</v>
      </c>
      <c r="T51" s="62">
        <f t="shared" si="34"/>
        <v>534.19872447444368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10.375</v>
      </c>
      <c r="AI51" s="14">
        <f>IF('Données projet'!$A$62&gt;35,AI50+AH51-AQ50,IF(A51&lt;'Données projet'!$A$62,$AF$205^A51,IF(A51='Données projet'!$A$62,'Données projet'!$B$62,AI50+AH51-AQ50)))</f>
        <v>228.49999999999991</v>
      </c>
      <c r="AJ51" s="14">
        <f>AI51*VLOOKUP('Données projet'!$B$10,Paramètres!$A$1:$I$89,3,0)*VLOOKUP('Données projet'!$B$10,Paramètres!$A$1:$I$89,5,0)</f>
        <v>178.22999999999993</v>
      </c>
      <c r="AK51" s="14">
        <f t="shared" si="35"/>
        <v>44.928167580487852</v>
      </c>
      <c r="AL51" s="22">
        <f t="shared" si="4"/>
        <v>388.66714186934951</v>
      </c>
      <c r="AM51" s="62">
        <f t="shared" si="5"/>
        <v>682.00047520268276</v>
      </c>
      <c r="AN51" s="62">
        <f ca="1">AVERAGE(OFFSET($AM$3,0,0,'Données projet'!$E$10+1,1))-AVERAGE(OFFSET($H$3,0,0,'Données projet'!$E$10+1,1))</f>
        <v>252.84702735189455</v>
      </c>
      <c r="AO51" s="62">
        <f t="shared" si="36"/>
        <v>283.48738729114024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228.49999999999991</v>
      </c>
      <c r="BE51" s="14">
        <f>BD51*VLOOKUP('Données projet'!$B$11,Paramètres!$A$1:$I$89,3,0)*VLOOKUP('Données projet'!$B$11,Paramètres!$A$1:$I$89,5,0)</f>
        <v>153.27779999999996</v>
      </c>
      <c r="BF51" s="14">
        <f t="shared" si="37"/>
        <v>39.32253770530393</v>
      </c>
      <c r="BG51" s="22">
        <f t="shared" si="7"/>
        <v>335.44558817007095</v>
      </c>
      <c r="BH51" s="62">
        <f t="shared" si="8"/>
        <v>628.77892150340426</v>
      </c>
      <c r="BI51" s="62">
        <f ca="1">AVERAGE(OFFSET($BH$3,0,0,'Données projet'!$E$11+1,1))-AVERAGE(OFFSET($H$3,0,0,'Données projet'!$E$11+1,1))</f>
        <v>221.98516361836096</v>
      </c>
      <c r="BJ51" s="62">
        <f t="shared" si="38"/>
        <v>249.72262393661117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228.49999999999991</v>
      </c>
      <c r="BZ51" s="14">
        <f>BY51*VLOOKUP('Données projet'!$B$12,Paramètres!$A$1:$I$89,3,0)*VLOOKUP('Données projet'!$B$12,Paramètres!$A$1:$I$89,5,0)</f>
        <v>181.79459999999995</v>
      </c>
      <c r="CA51" s="14">
        <f t="shared" si="39"/>
        <v>45.721220782702858</v>
      </c>
      <c r="CB51" s="22">
        <f t="shared" si="10"/>
        <v>396.2567211965407</v>
      </c>
      <c r="CC51" s="62">
        <f t="shared" si="11"/>
        <v>689.59005452987401</v>
      </c>
      <c r="CD51" s="62">
        <f ca="1">AVERAGE(OFFSET($CC$3,0,0,'Données projet'!$E$12+1,1))-AVERAGE(OFFSET($H$3,0,0,'Données projet'!$E$12+1,1))</f>
        <v>257.24784840892409</v>
      </c>
      <c r="CE51" s="62">
        <f t="shared" si="40"/>
        <v>288.30197520356643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11.5</v>
      </c>
      <c r="CT51" s="13">
        <f>IF('Données projet'!$A$140&gt;35,CT50+CS51-DB50,IF(A51&lt;'Données projet'!$A$140,$CQ$205^A51,IF(A51='Données projet'!$A$140,'Données projet'!$B$140,CT50+CS51-DB50)))</f>
        <v>285.00000000000006</v>
      </c>
      <c r="CU51" s="18">
        <f>CT51*VLOOKUP('Données projet'!$B$13,Paramètres!$A$1:$I$89,3,0)*VLOOKUP('Données projet'!$B$13,Paramètres!$A$1:$I$89,5,0)</f>
        <v>133.38000000000002</v>
      </c>
      <c r="CV51" s="14">
        <f t="shared" si="41"/>
        <v>34.776207535548991</v>
      </c>
      <c r="CW51" s="22">
        <f t="shared" si="13"/>
        <v>292.87206145774786</v>
      </c>
      <c r="CX51" s="62">
        <f t="shared" si="14"/>
        <v>586.20539479108118</v>
      </c>
      <c r="CY51" s="62">
        <f ca="1">AVERAGE(OFFSET($CX$3,0,0,'Données projet'!$E$13+1,1))-AVERAGE(OFFSET($H$3,0,0,'Données projet'!$E$13+1,1))</f>
        <v>199.0086462069545</v>
      </c>
      <c r="CZ51" s="62">
        <f t="shared" si="42"/>
        <v>254.08208375594057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19.2</v>
      </c>
      <c r="DO51" s="13">
        <f>IF('Données projet'!$A$166&gt;35,DO50+DN51-DW50,IF(A51&lt;'Données projet'!$A$166,$DL$205^A51,IF(A51='Données projet'!$A$166,'Données projet'!$B$166,DO50+DN51-DW50)))</f>
        <v>652.6</v>
      </c>
      <c r="DP51" s="18">
        <f>DO51*VLOOKUP('Données projet'!$B$14,Paramètres!$A$1:$I$89,3,0)*VLOOKUP('Données projet'!$B$14,Paramètres!$A$1:$I$89,5,0)</f>
        <v>364.80340000000001</v>
      </c>
      <c r="DQ51" s="14">
        <f t="shared" si="43"/>
        <v>84.60329719715169</v>
      </c>
      <c r="DR51" s="22">
        <f t="shared" si="16"/>
        <v>782.7166642850392</v>
      </c>
      <c r="DS51" s="62">
        <f t="shared" si="17"/>
        <v>1076.0499976183726</v>
      </c>
      <c r="DT51" s="62">
        <f ca="1">AVERAGE(OFFSET($DS$3,0,0,'Données projet'!$E$14+1,1))-AVERAGE(OFFSET($H$3,0,0,'Données projet'!$E$14+1,1))</f>
        <v>534.78683721545372</v>
      </c>
      <c r="DU51" s="62">
        <f t="shared" si="44"/>
        <v>710.59298755711075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</v>
      </c>
      <c r="EJ51" s="13">
        <f>IF('Données projet'!$A$192&gt;35,EJ50+EI51-ER50,IF(A51&lt;'Données projet'!$A$192,$EG$205^A51,IF(A51='Données projet'!$A$192,'Données projet'!$B$192,EJ50+EI51-ER50)))</f>
        <v>304</v>
      </c>
      <c r="EK51" s="18">
        <f>EJ51*VLOOKUP('Données projet'!$B$15,Paramètres!$A$1:$I$89,3,0)*VLOOKUP('Données projet'!$B$15,Paramètres!$A$1:$I$89,5,0)</f>
        <v>181.792</v>
      </c>
      <c r="EL51" s="14">
        <f t="shared" si="45"/>
        <v>45.720642997712531</v>
      </c>
      <c r="EM51" s="22">
        <f t="shared" si="19"/>
        <v>396.25118655434932</v>
      </c>
      <c r="EN51" s="62">
        <f t="shared" si="20"/>
        <v>689.58451988768263</v>
      </c>
      <c r="EO51" s="62">
        <f ca="1">AVERAGE(OFFSET($EN$3,0,0,'Données projet'!$E$15+1,1))-AVERAGE(OFFSET($H$3,0,0,'Données projet'!$E$15+1,1))</f>
        <v>292.87204407272162</v>
      </c>
      <c r="EP51" s="62">
        <f t="shared" si="46"/>
        <v>326.06531673481805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19.3</v>
      </c>
      <c r="N52" s="14">
        <f>IF('Données projet'!$A$36&gt;35,N51+M52-V51,IF(A52&lt;'Données projet'!$A$36,$K$205^A52,IF(A52='Données projet'!$A$36,'Données projet'!$B$36,N51+M52-V51)))</f>
        <v>562.69999999999982</v>
      </c>
      <c r="O52" s="14">
        <f>N52*VLOOKUP('Données projet'!$B$9,Paramètres!$A$1:$I$89,3,0)*VLOOKUP('Données projet'!$B$9,Paramètres!$A$1:$I$89,5,0)</f>
        <v>412.57163999999983</v>
      </c>
      <c r="P52" s="14">
        <f t="shared" si="33"/>
        <v>94.320763909369305</v>
      </c>
      <c r="Q52" s="22">
        <f t="shared" si="53"/>
        <v>882.83760347548457</v>
      </c>
      <c r="R52" s="62">
        <f t="shared" si="0"/>
        <v>1176.1709368088179</v>
      </c>
      <c r="S52" s="62">
        <f ca="1">AVERAGE(OFFSET($R$3,0,0,'Données projet'!$E$9+1,1))-AVERAGE(OFFSET($H$3,0,0,'Données projet'!$E$9+1,1))</f>
        <v>451.25506262546861</v>
      </c>
      <c r="T52" s="62">
        <f t="shared" si="34"/>
        <v>534.19872447444368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10.375</v>
      </c>
      <c r="AI52" s="14">
        <f>IF('Données projet'!$A$62&gt;35,AI51+AH52-AQ51,IF(A52&lt;'Données projet'!$A$62,$AF$205^A52,IF(A52='Données projet'!$A$62,'Données projet'!$B$62,AI51+AH52-AQ51)))</f>
        <v>238.87499999999991</v>
      </c>
      <c r="AJ52" s="14">
        <f>AI52*VLOOKUP('Données projet'!$B$10,Paramètres!$A$1:$I$89,3,0)*VLOOKUP('Données projet'!$B$10,Paramètres!$A$1:$I$89,5,0)</f>
        <v>186.32249999999993</v>
      </c>
      <c r="AK52" s="14">
        <f t="shared" si="35"/>
        <v>46.725987276254116</v>
      </c>
      <c r="AL52" s="22">
        <f t="shared" si="4"/>
        <v>405.8927820061424</v>
      </c>
      <c r="AM52" s="62">
        <f t="shared" si="5"/>
        <v>699.22611533947565</v>
      </c>
      <c r="AN52" s="62">
        <f ca="1">AVERAGE(OFFSET($AM$3,0,0,'Données projet'!$E$10+1,1))-AVERAGE(OFFSET($H$3,0,0,'Données projet'!$E$10+1,1))</f>
        <v>252.84702735189455</v>
      </c>
      <c r="AO52" s="62">
        <f t="shared" si="36"/>
        <v>283.48738729114024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238.87499999999991</v>
      </c>
      <c r="BE52" s="14">
        <f>BD52*VLOOKUP('Données projet'!$B$11,Paramètres!$A$1:$I$89,3,0)*VLOOKUP('Données projet'!$B$11,Paramètres!$A$1:$I$89,5,0)</f>
        <v>160.23734999999994</v>
      </c>
      <c r="BF52" s="14">
        <f t="shared" si="37"/>
        <v>40.896045742271099</v>
      </c>
      <c r="BG52" s="22">
        <f t="shared" si="7"/>
        <v>350.3073309177887</v>
      </c>
      <c r="BH52" s="62">
        <f t="shared" si="8"/>
        <v>643.64066425112196</v>
      </c>
      <c r="BI52" s="62">
        <f ca="1">AVERAGE(OFFSET($BH$3,0,0,'Données projet'!$E$11+1,1))-AVERAGE(OFFSET($H$3,0,0,'Données projet'!$E$11+1,1))</f>
        <v>221.98516361836096</v>
      </c>
      <c r="BJ52" s="62">
        <f t="shared" si="38"/>
        <v>249.72262393661117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238.87499999999991</v>
      </c>
      <c r="BZ52" s="14">
        <f>BY52*VLOOKUP('Données projet'!$B$12,Paramètres!$A$1:$I$89,3,0)*VLOOKUP('Données projet'!$B$12,Paramètres!$A$1:$I$89,5,0)</f>
        <v>190.04894999999993</v>
      </c>
      <c r="CA52" s="14">
        <f t="shared" si="39"/>
        <v>47.550774838971947</v>
      </c>
      <c r="CB52" s="22">
        <f t="shared" si="10"/>
        <v>413.81952076120933</v>
      </c>
      <c r="CC52" s="62">
        <f t="shared" si="11"/>
        <v>707.15285409454259</v>
      </c>
      <c r="CD52" s="62">
        <f ca="1">AVERAGE(OFFSET($CC$3,0,0,'Données projet'!$E$12+1,1))-AVERAGE(OFFSET($H$3,0,0,'Données projet'!$E$12+1,1))</f>
        <v>257.24784840892409</v>
      </c>
      <c r="CE52" s="62">
        <f t="shared" si="40"/>
        <v>288.30197520356643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11.5</v>
      </c>
      <c r="CT52" s="13">
        <f>IF('Données projet'!$A$140&gt;35,CT51+CS52-DB51,IF(A52&lt;'Données projet'!$A$140,$CQ$205^A52,IF(A52='Données projet'!$A$140,'Données projet'!$B$140,CT51+CS52-DB51)))</f>
        <v>296.50000000000006</v>
      </c>
      <c r="CU52" s="18">
        <f>CT52*VLOOKUP('Données projet'!$B$13,Paramètres!$A$1:$I$89,3,0)*VLOOKUP('Données projet'!$B$13,Paramètres!$A$1:$I$89,5,0)</f>
        <v>138.76200000000003</v>
      </c>
      <c r="CV52" s="14">
        <f t="shared" si="41"/>
        <v>36.01325063671441</v>
      </c>
      <c r="CW52" s="22">
        <f t="shared" si="13"/>
        <v>304.40022819227767</v>
      </c>
      <c r="CX52" s="62">
        <f t="shared" si="14"/>
        <v>597.73356152561098</v>
      </c>
      <c r="CY52" s="62">
        <f ca="1">AVERAGE(OFFSET($CX$3,0,0,'Données projet'!$E$13+1,1))-AVERAGE(OFFSET($H$3,0,0,'Données projet'!$E$13+1,1))</f>
        <v>199.0086462069545</v>
      </c>
      <c r="CZ52" s="62">
        <f t="shared" si="42"/>
        <v>254.08208375594057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19.2</v>
      </c>
      <c r="DO52" s="13">
        <f>IF('Données projet'!$A$166&gt;35,DO51+DN52-DW51,IF(A52&lt;'Données projet'!$A$166,$DL$205^A52,IF(A52='Données projet'!$A$166,'Données projet'!$B$166,DO51+DN52-DW51)))</f>
        <v>671.80000000000007</v>
      </c>
      <c r="DP52" s="18">
        <f>DO52*VLOOKUP('Données projet'!$B$14,Paramètres!$A$1:$I$89,3,0)*VLOOKUP('Données projet'!$B$14,Paramètres!$A$1:$I$89,5,0)</f>
        <v>375.53620000000006</v>
      </c>
      <c r="DQ52" s="14">
        <f t="shared" si="43"/>
        <v>86.798936069371663</v>
      </c>
      <c r="DR52" s="22">
        <f t="shared" si="16"/>
        <v>805.23369532082245</v>
      </c>
      <c r="DS52" s="62">
        <f t="shared" si="17"/>
        <v>1098.5670286541558</v>
      </c>
      <c r="DT52" s="62">
        <f ca="1">AVERAGE(OFFSET($DS$3,0,0,'Données projet'!$E$14+1,1))-AVERAGE(OFFSET($H$3,0,0,'Données projet'!$E$14+1,1))</f>
        <v>534.78683721545372</v>
      </c>
      <c r="DU52" s="62">
        <f t="shared" si="44"/>
        <v>710.59298755711075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</v>
      </c>
      <c r="EJ52" s="13">
        <f>IF('Données projet'!$A$192&gt;35,EJ51+EI52-ER51,IF(A52&lt;'Données projet'!$A$192,$EG$205^A52,IF(A52='Données projet'!$A$192,'Données projet'!$B$192,EJ51+EI52-ER51)))</f>
        <v>310</v>
      </c>
      <c r="EK52" s="18">
        <f>EJ52*VLOOKUP('Données projet'!$B$15,Paramètres!$A$1:$I$89,3,0)*VLOOKUP('Données projet'!$B$15,Paramètres!$A$1:$I$89,5,0)</f>
        <v>185.38</v>
      </c>
      <c r="EL52" s="14">
        <f t="shared" si="45"/>
        <v>46.517077709312211</v>
      </c>
      <c r="EM52" s="22">
        <f t="shared" si="19"/>
        <v>403.88741034371878</v>
      </c>
      <c r="EN52" s="62">
        <f t="shared" si="20"/>
        <v>697.22074367705204</v>
      </c>
      <c r="EO52" s="62">
        <f ca="1">AVERAGE(OFFSET($EN$3,0,0,'Données projet'!$E$15+1,1))-AVERAGE(OFFSET($H$3,0,0,'Données projet'!$E$15+1,1))</f>
        <v>292.87204407272162</v>
      </c>
      <c r="EP52" s="62">
        <f t="shared" si="46"/>
        <v>326.06531673481805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582</v>
      </c>
      <c r="L53" s="13">
        <f>VLOOKUP(A53,'Données projet'!$A$35:$I$55,9,0)</f>
        <v>19.3</v>
      </c>
      <c r="M53" s="13">
        <f t="array" ref="M53">INDEX(L:L,MIN(IF(ISNUMBER(L53:L249),ROW(L53:L249),"")))</f>
        <v>19.3</v>
      </c>
      <c r="N53" s="14">
        <f>IF('Données projet'!$A$36&gt;35,N52+M53-V52,IF(A53&lt;'Données projet'!$A$36,$K$205^A53,IF(A53='Données projet'!$A$36,'Données projet'!$B$36,N52+M53-V52)))</f>
        <v>581.99999999999977</v>
      </c>
      <c r="O53" s="14">
        <f>N53*VLOOKUP('Données projet'!$B$9,Paramètres!$A$1:$I$89,3,0)*VLOOKUP('Données projet'!$B$9,Paramètres!$A$1:$I$89,5,0)</f>
        <v>426.72239999999977</v>
      </c>
      <c r="P53" s="14">
        <f t="shared" si="33"/>
        <v>97.173663568776419</v>
      </c>
      <c r="Q53" s="22">
        <f t="shared" si="53"/>
        <v>912.45231071561841</v>
      </c>
      <c r="R53" s="62">
        <f t="shared" si="0"/>
        <v>1205.7856440489518</v>
      </c>
      <c r="S53" s="62">
        <f ca="1">AVERAGE(OFFSET($R$3,0,0,'Données projet'!$E$9+1,1))-AVERAGE(OFFSET($H$3,0,0,'Données projet'!$E$9+1,1))</f>
        <v>451.25506262546861</v>
      </c>
      <c r="T53" s="62">
        <f t="shared" si="34"/>
        <v>534.19872447444368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164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10.375</v>
      </c>
      <c r="AI53" s="14">
        <f>IF('Données projet'!$A$62&gt;35,AI52+AH53-AQ52,IF(A53&lt;'Données projet'!$A$62,$AF$205^A53,IF(A53='Données projet'!$A$62,'Données projet'!$B$62,AI52+AH53-AQ52)))</f>
        <v>249.24999999999991</v>
      </c>
      <c r="AJ53" s="14">
        <f>AI53*VLOOKUP('Données projet'!$B$10,Paramètres!$A$1:$I$89,3,0)*VLOOKUP('Données projet'!$B$10,Paramètres!$A$1:$I$89,5,0)</f>
        <v>194.41499999999994</v>
      </c>
      <c r="AK53" s="14">
        <f t="shared" si="35"/>
        <v>48.514737888684927</v>
      </c>
      <c r="AL53" s="22">
        <f t="shared" si="4"/>
        <v>423.10262682279273</v>
      </c>
      <c r="AM53" s="62">
        <f t="shared" si="5"/>
        <v>716.43596015612604</v>
      </c>
      <c r="AN53" s="62">
        <f ca="1">AVERAGE(OFFSET($AM$3,0,0,'Données projet'!$E$10+1,1))-AVERAGE(OFFSET($H$3,0,0,'Données projet'!$E$10+1,1))</f>
        <v>252.84702735189455</v>
      </c>
      <c r="AO53" s="62">
        <f t="shared" si="36"/>
        <v>283.48738729114024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249.24999999999991</v>
      </c>
      <c r="BE53" s="14">
        <f>BD53*VLOOKUP('Données projet'!$B$11,Paramètres!$A$1:$I$89,3,0)*VLOOKUP('Données projet'!$B$11,Paramètres!$A$1:$I$89,5,0)</f>
        <v>167.19689999999994</v>
      </c>
      <c r="BF53" s="14">
        <f t="shared" si="37"/>
        <v>42.461616233804868</v>
      </c>
      <c r="BG53" s="22">
        <f t="shared" si="7"/>
        <v>365.15524910721001</v>
      </c>
      <c r="BH53" s="62">
        <f t="shared" si="8"/>
        <v>658.48858244054327</v>
      </c>
      <c r="BI53" s="62">
        <f ca="1">AVERAGE(OFFSET($BH$3,0,0,'Données projet'!$E$11+1,1))-AVERAGE(OFFSET($H$3,0,0,'Données projet'!$E$11+1,1))</f>
        <v>221.98516361836096</v>
      </c>
      <c r="BJ53" s="62">
        <f t="shared" si="38"/>
        <v>249.72262393661117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249.24999999999991</v>
      </c>
      <c r="BZ53" s="14">
        <f>BY53*VLOOKUP('Données projet'!$B$12,Paramètres!$A$1:$I$89,3,0)*VLOOKUP('Données projet'!$B$12,Paramètres!$A$1:$I$89,5,0)</f>
        <v>198.30329999999995</v>
      </c>
      <c r="CA53" s="14">
        <f t="shared" si="39"/>
        <v>49.371099728244005</v>
      </c>
      <c r="CB53" s="22">
        <f t="shared" si="10"/>
        <v>431.36624619335817</v>
      </c>
      <c r="CC53" s="62">
        <f t="shared" si="11"/>
        <v>724.69957952669142</v>
      </c>
      <c r="CD53" s="62">
        <f ca="1">AVERAGE(OFFSET($CC$3,0,0,'Données projet'!$E$12+1,1))-AVERAGE(OFFSET($H$3,0,0,'Données projet'!$E$12+1,1))</f>
        <v>257.24784840892409</v>
      </c>
      <c r="CE53" s="62">
        <f t="shared" si="40"/>
        <v>288.30197520356643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308</v>
      </c>
      <c r="CR53" s="13">
        <f>VLOOKUP(A53,'Données projet'!$A$139:$I$159,9,0)</f>
        <v>11.5</v>
      </c>
      <c r="CS53" s="13">
        <f t="array" ref="CS53">INDEX(CR:CR,MIN(IF(ISNUMBER(CR53:CR249),ROW(CR53:CR249),"")))</f>
        <v>11.5</v>
      </c>
      <c r="CT53" s="13">
        <f>IF('Données projet'!$A$140&gt;35,CT52+CS53-DB52,IF(A53&lt;'Données projet'!$A$140,$CQ$205^A53,IF(A53='Données projet'!$A$140,'Données projet'!$B$140,CT52+CS53-DB52)))</f>
        <v>308.00000000000006</v>
      </c>
      <c r="CU53" s="18">
        <f>CT53*VLOOKUP('Données projet'!$B$13,Paramètres!$A$1:$I$89,3,0)*VLOOKUP('Données projet'!$B$13,Paramètres!$A$1:$I$89,5,0)</f>
        <v>144.14400000000001</v>
      </c>
      <c r="CV53" s="14">
        <f t="shared" si="41"/>
        <v>37.244720006976252</v>
      </c>
      <c r="CW53" s="22">
        <f t="shared" si="13"/>
        <v>315.91868734548365</v>
      </c>
      <c r="CX53" s="62">
        <f t="shared" si="14"/>
        <v>609.25202067881696</v>
      </c>
      <c r="CY53" s="62">
        <f ca="1">AVERAGE(OFFSET($CX$3,0,0,'Données projet'!$E$13+1,1))-AVERAGE(OFFSET($H$3,0,0,'Données projet'!$E$13+1,1))</f>
        <v>199.0086462069545</v>
      </c>
      <c r="CZ53" s="62">
        <f t="shared" si="42"/>
        <v>254.08208375594057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77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691</v>
      </c>
      <c r="DM53" s="13">
        <f>VLOOKUP(A53,'Données projet'!$A$165:$I$185,9,0)</f>
        <v>19.2</v>
      </c>
      <c r="DN53" s="13">
        <f t="array" ref="DN53">INDEX(DM:DM,MIN(IF(ISNUMBER(DM53:DM249),ROW(DM53:DM249),"")))</f>
        <v>19.2</v>
      </c>
      <c r="DO53" s="13">
        <f>IF('Données projet'!$A$166&gt;35,DO52+DN53-DW52,IF(A53&lt;'Données projet'!$A$166,$DL$205^A53,IF(A53='Données projet'!$A$166,'Données projet'!$B$166,DO52+DN53-DW52)))</f>
        <v>691.00000000000011</v>
      </c>
      <c r="DP53" s="18">
        <f>DO53*VLOOKUP('Données projet'!$B$14,Paramètres!$A$1:$I$89,3,0)*VLOOKUP('Données projet'!$B$14,Paramètres!$A$1:$I$89,5,0)</f>
        <v>386.26900000000006</v>
      </c>
      <c r="DQ53" s="14">
        <f t="shared" si="43"/>
        <v>88.987281787109026</v>
      </c>
      <c r="DR53" s="22">
        <f t="shared" si="16"/>
        <v>827.73802411254826</v>
      </c>
      <c r="DS53" s="62">
        <f t="shared" si="17"/>
        <v>1121.0713574458816</v>
      </c>
      <c r="DT53" s="62">
        <f ca="1">AVERAGE(OFFSET($DS$3,0,0,'Données projet'!$E$14+1,1))-AVERAGE(OFFSET($H$3,0,0,'Données projet'!$E$14+1,1))</f>
        <v>534.78683721545372</v>
      </c>
      <c r="DU53" s="62">
        <f t="shared" si="44"/>
        <v>710.59298755711075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75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6</v>
      </c>
      <c r="EJ53" s="13">
        <f>IF('Données projet'!$A$192&gt;35,EJ52+EI53-ER52,IF(A53&lt;'Données projet'!$A$192,$EG$205^A53,IF(A53='Données projet'!$A$192,'Données projet'!$B$192,EJ52+EI53-ER52)))</f>
        <v>316</v>
      </c>
      <c r="EK53" s="18">
        <f>EJ53*VLOOKUP('Données projet'!$B$15,Paramètres!$A$1:$I$89,3,0)*VLOOKUP('Données projet'!$B$15,Paramètres!$A$1:$I$89,5,0)</f>
        <v>188.96800000000002</v>
      </c>
      <c r="EL53" s="14">
        <f t="shared" si="45"/>
        <v>47.311720031947068</v>
      </c>
      <c r="EM53" s="22">
        <f t="shared" si="19"/>
        <v>411.52051238897451</v>
      </c>
      <c r="EN53" s="62">
        <f t="shared" si="20"/>
        <v>704.85384572230782</v>
      </c>
      <c r="EO53" s="62">
        <f ca="1">AVERAGE(OFFSET($EN$3,0,0,'Données projet'!$E$15+1,1))-AVERAGE(OFFSET($H$3,0,0,'Données projet'!$E$15+1,1))</f>
        <v>292.87204407272162</v>
      </c>
      <c r="EP53" s="62">
        <f t="shared" si="46"/>
        <v>326.06531673481805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14</v>
      </c>
      <c r="N54" s="14">
        <f>IF('Données projet'!$A$36&gt;35,N53+M54-V53,IF(A54&lt;'Données projet'!$A$36,$K$205^A54,IF(A54='Données projet'!$A$36,'Données projet'!$B$36,N53+M54-V53)))</f>
        <v>431.99999999999977</v>
      </c>
      <c r="O54" s="14">
        <f>N54*VLOOKUP('Données projet'!$B$9,Paramètres!$A$1:$I$89,3,0)*VLOOKUP('Données projet'!$B$9,Paramètres!$A$1:$I$89,5,0)</f>
        <v>316.7423999999998</v>
      </c>
      <c r="P54" s="14">
        <f t="shared" si="33"/>
        <v>74.675143515695424</v>
      </c>
      <c r="Q54" s="22">
        <f t="shared" si="53"/>
        <v>681.71888828983572</v>
      </c>
      <c r="R54" s="62">
        <f t="shared" si="0"/>
        <v>975.05222162316909</v>
      </c>
      <c r="S54" s="62">
        <f ca="1">AVERAGE(OFFSET($R$3,0,0,'Données projet'!$E$9+1,1))-AVERAGE(OFFSET($H$3,0,0,'Données projet'!$E$9+1,1))</f>
        <v>451.25506262546861</v>
      </c>
      <c r="T54" s="62">
        <f t="shared" si="34"/>
        <v>534.19872447444368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10.375</v>
      </c>
      <c r="AI54" s="14">
        <f>IF('Données projet'!$A$62&gt;35,AI53+AH54-AQ53,IF(A54&lt;'Données projet'!$A$62,$AF$205^A54,IF(A54='Données projet'!$A$62,'Données projet'!$B$62,AI53+AH54-AQ53)))</f>
        <v>259.62499999999989</v>
      </c>
      <c r="AJ54" s="14">
        <f>AI54*VLOOKUP('Données projet'!$B$10,Paramètres!$A$1:$I$89,3,0)*VLOOKUP('Données projet'!$B$10,Paramètres!$A$1:$I$89,5,0)</f>
        <v>202.50749999999991</v>
      </c>
      <c r="AK54" s="14">
        <f t="shared" si="35"/>
        <v>50.294840086606349</v>
      </c>
      <c r="AL54" s="22">
        <f t="shared" si="4"/>
        <v>440.29740898417253</v>
      </c>
      <c r="AM54" s="62">
        <f t="shared" si="5"/>
        <v>733.63074231750579</v>
      </c>
      <c r="AN54" s="62">
        <f ca="1">AVERAGE(OFFSET($AM$3,0,0,'Données projet'!$E$10+1,1))-AVERAGE(OFFSET($H$3,0,0,'Données projet'!$E$10+1,1))</f>
        <v>252.84702735189455</v>
      </c>
      <c r="AO54" s="62">
        <f t="shared" si="36"/>
        <v>283.48738729114024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259.62499999999989</v>
      </c>
      <c r="BE54" s="14">
        <f>BD54*VLOOKUP('Données projet'!$B$11,Paramètres!$A$1:$I$89,3,0)*VLOOKUP('Données projet'!$B$11,Paramètres!$A$1:$I$89,5,0)</f>
        <v>174.15644999999992</v>
      </c>
      <c r="BF54" s="14">
        <f t="shared" si="37"/>
        <v>44.019617362421101</v>
      </c>
      <c r="BG54" s="22">
        <f t="shared" si="7"/>
        <v>379.9899839895499</v>
      </c>
      <c r="BH54" s="62">
        <f t="shared" si="8"/>
        <v>673.32331732288321</v>
      </c>
      <c r="BI54" s="62">
        <f ca="1">AVERAGE(OFFSET($BH$3,0,0,'Données projet'!$E$11+1,1))-AVERAGE(OFFSET($H$3,0,0,'Données projet'!$E$11+1,1))</f>
        <v>221.98516361836096</v>
      </c>
      <c r="BJ54" s="62">
        <f t="shared" si="38"/>
        <v>249.72262393661117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259.62499999999989</v>
      </c>
      <c r="BZ54" s="14">
        <f>BY54*VLOOKUP('Données projet'!$B$12,Paramètres!$A$1:$I$89,3,0)*VLOOKUP('Données projet'!$B$12,Paramètres!$A$1:$I$89,5,0)</f>
        <v>206.55764999999991</v>
      </c>
      <c r="CA54" s="14">
        <f t="shared" si="39"/>
        <v>51.182623544814803</v>
      </c>
      <c r="CB54" s="22">
        <f t="shared" si="10"/>
        <v>448.89764309055226</v>
      </c>
      <c r="CC54" s="62">
        <f t="shared" si="11"/>
        <v>742.23097642388552</v>
      </c>
      <c r="CD54" s="62">
        <f ca="1">AVERAGE(OFFSET($CC$3,0,0,'Données projet'!$E$12+1,1))-AVERAGE(OFFSET($H$3,0,0,'Données projet'!$E$12+1,1))</f>
        <v>257.24784840892409</v>
      </c>
      <c r="CE54" s="62">
        <f t="shared" si="40"/>
        <v>288.30197520356643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13.5</v>
      </c>
      <c r="CT54" s="13">
        <f>IF('Données projet'!$A$140&gt;35,CT53+CS54-DB53,IF(A54&lt;'Données projet'!$A$140,$CQ$205^A54,IF(A54='Données projet'!$A$140,'Données projet'!$B$140,CT53+CS54-DB53)))</f>
        <v>244.50000000000006</v>
      </c>
      <c r="CU54" s="18">
        <f>CT54*VLOOKUP('Données projet'!$B$13,Paramètres!$A$1:$I$89,3,0)*VLOOKUP('Données projet'!$B$13,Paramètres!$A$1:$I$89,5,0)</f>
        <v>114.42600000000002</v>
      </c>
      <c r="CV54" s="14">
        <f t="shared" si="41"/>
        <v>30.371378515374175</v>
      </c>
      <c r="CW54" s="22">
        <f t="shared" si="13"/>
        <v>252.18876758094336</v>
      </c>
      <c r="CX54" s="62">
        <f t="shared" si="14"/>
        <v>545.52210091427673</v>
      </c>
      <c r="CY54" s="62">
        <f ca="1">AVERAGE(OFFSET($CX$3,0,0,'Données projet'!$E$13+1,1))-AVERAGE(OFFSET($H$3,0,0,'Données projet'!$E$13+1,1))</f>
        <v>199.0086462069545</v>
      </c>
      <c r="CZ54" s="62">
        <f t="shared" si="42"/>
        <v>254.08208375594057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17.8</v>
      </c>
      <c r="DO54" s="13">
        <f>IF('Données projet'!$A$166&gt;35,DO53+DN54-DW53,IF(A54&lt;'Données projet'!$A$166,$DL$205^A54,IF(A54='Données projet'!$A$166,'Données projet'!$B$166,DO53+DN54-DW53)))</f>
        <v>633.80000000000007</v>
      </c>
      <c r="DP54" s="18">
        <f>DO54*VLOOKUP('Données projet'!$B$14,Paramètres!$A$1:$I$89,3,0)*VLOOKUP('Données projet'!$B$14,Paramètres!$A$1:$I$89,5,0)</f>
        <v>354.2942000000001</v>
      </c>
      <c r="DQ54" s="14">
        <f t="shared" si="43"/>
        <v>82.446103089690695</v>
      </c>
      <c r="DR54" s="22">
        <f t="shared" si="16"/>
        <v>760.65602788121134</v>
      </c>
      <c r="DS54" s="62">
        <f t="shared" si="17"/>
        <v>1053.9893612145447</v>
      </c>
      <c r="DT54" s="62">
        <f ca="1">AVERAGE(OFFSET($DS$3,0,0,'Données projet'!$E$14+1,1))-AVERAGE(OFFSET($H$3,0,0,'Données projet'!$E$14+1,1))</f>
        <v>534.78683721545372</v>
      </c>
      <c r="DU54" s="62">
        <f t="shared" si="44"/>
        <v>710.59298755711075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</v>
      </c>
      <c r="EJ54" s="13">
        <f>IF('Données projet'!$A$192&gt;35,EJ53+EI54-ER53,IF(A54&lt;'Données projet'!$A$192,$EG$205^A54,IF(A54='Données projet'!$A$192,'Données projet'!$B$192,EJ53+EI54-ER53)))</f>
        <v>322</v>
      </c>
      <c r="EK54" s="18">
        <f>EJ54*VLOOKUP('Données projet'!$B$15,Paramètres!$A$1:$I$89,3,0)*VLOOKUP('Données projet'!$B$15,Paramètres!$A$1:$I$89,5,0)</f>
        <v>192.55600000000001</v>
      </c>
      <c r="EL54" s="14">
        <f t="shared" si="45"/>
        <v>48.104607922371287</v>
      </c>
      <c r="EM54" s="22">
        <f t="shared" si="19"/>
        <v>419.15055879813002</v>
      </c>
      <c r="EN54" s="62">
        <f t="shared" si="20"/>
        <v>712.48389213146334</v>
      </c>
      <c r="EO54" s="62">
        <f ca="1">AVERAGE(OFFSET($EN$3,0,0,'Données projet'!$E$15+1,1))-AVERAGE(OFFSET($H$3,0,0,'Données projet'!$E$15+1,1))</f>
        <v>292.87204407272162</v>
      </c>
      <c r="EP54" s="62">
        <f t="shared" si="46"/>
        <v>326.06531673481805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14</v>
      </c>
      <c r="N55" s="14">
        <f>IF('Données projet'!$A$36&gt;35,N54+M55-V54,IF(A55&lt;'Données projet'!$A$36,$K$205^A55,IF(A55='Données projet'!$A$36,'Données projet'!$B$36,N54+M55-V54)))</f>
        <v>445.99999999999977</v>
      </c>
      <c r="O55" s="14">
        <f>N55*VLOOKUP('Données projet'!$B$9,Paramètres!$A$1:$I$89,3,0)*VLOOKUP('Données projet'!$B$9,Paramètres!$A$1:$I$89,5,0)</f>
        <v>327.00719999999984</v>
      </c>
      <c r="P55" s="14">
        <f t="shared" si="33"/>
        <v>76.809494760296843</v>
      </c>
      <c r="Q55" s="22">
        <f t="shared" si="53"/>
        <v>703.31407670751662</v>
      </c>
      <c r="R55" s="62">
        <f t="shared" si="0"/>
        <v>996.64741004084999</v>
      </c>
      <c r="S55" s="62">
        <f ca="1">AVERAGE(OFFSET($R$3,0,0,'Données projet'!$E$9+1,1))-AVERAGE(OFFSET($H$3,0,0,'Données projet'!$E$9+1,1))</f>
        <v>451.25506262546861</v>
      </c>
      <c r="T55" s="62">
        <f t="shared" si="34"/>
        <v>534.19872447444368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270</v>
      </c>
      <c r="AG55" s="13">
        <f>VLOOKUP(A55,'Données projet'!$A$61:$I$81,9,0)</f>
        <v>10.375</v>
      </c>
      <c r="AH55" s="13">
        <f t="array" ref="AH55">INDEX(AG:AG,MIN(IF(ISNUMBER(AG55:AG251),ROW(AG55:AG251),"")))</f>
        <v>10.375</v>
      </c>
      <c r="AI55" s="14">
        <f>IF('Données projet'!$A$62&gt;35,AI54+AH55-AQ54,IF(A55&lt;'Données projet'!$A$62,$AF$205^A55,IF(A55='Données projet'!$A$62,'Données projet'!$B$62,AI54+AH55-AQ54)))</f>
        <v>269.99999999999989</v>
      </c>
      <c r="AJ55" s="14">
        <f>AI55*VLOOKUP('Données projet'!$B$10,Paramètres!$A$1:$I$89,3,0)*VLOOKUP('Données projet'!$B$10,Paramètres!$A$1:$I$89,5,0)</f>
        <v>210.59999999999991</v>
      </c>
      <c r="AK55" s="14">
        <f t="shared" si="35"/>
        <v>52.066679014659961</v>
      </c>
      <c r="AL55" s="22">
        <f t="shared" si="4"/>
        <v>457.47779928386586</v>
      </c>
      <c r="AM55" s="62">
        <f t="shared" si="5"/>
        <v>750.81113261719918</v>
      </c>
      <c r="AN55" s="62">
        <f ca="1">AVERAGE(OFFSET($AM$3,0,0,'Données projet'!$E$10+1,1))-AVERAGE(OFFSET($H$3,0,0,'Données projet'!$E$10+1,1))</f>
        <v>252.84702735189455</v>
      </c>
      <c r="AO55" s="62">
        <f t="shared" si="36"/>
        <v>283.48738729114024</v>
      </c>
      <c r="AP55" s="16">
        <f>IF(ISNA(VLOOKUP(A55,'Données projet'!$A$61:$I$81,3,0)),0,VLOOKUP(A55,'Données projet'!$A$61:$I$81,3,0))</f>
        <v>7</v>
      </c>
      <c r="AQ55" s="16">
        <f>IF(ISNA(VLOOKUP(A55,'Données projet'!$A$61:$I$81,4,0)),0,VLOOKUP(A55,'Données projet'!$A$61:$I$81,4,0))</f>
        <v>48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270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269.99999999999989</v>
      </c>
      <c r="BE55" s="14">
        <f>BD55*VLOOKUP('Données projet'!$B$11,Paramètres!$A$1:$I$89,3,0)*VLOOKUP('Données projet'!$B$11,Paramètres!$A$1:$I$89,5,0)</f>
        <v>181.11599999999993</v>
      </c>
      <c r="BF55" s="14">
        <f t="shared" si="37"/>
        <v>45.570386218758216</v>
      </c>
      <c r="BG55" s="22">
        <f t="shared" si="7"/>
        <v>394.81212266433704</v>
      </c>
      <c r="BH55" s="62">
        <f t="shared" si="8"/>
        <v>688.1454559976703</v>
      </c>
      <c r="BI55" s="62">
        <f ca="1">AVERAGE(OFFSET($BH$3,0,0,'Données projet'!$E$11+1,1))-AVERAGE(OFFSET($H$3,0,0,'Données projet'!$E$11+1,1))</f>
        <v>221.98516361836096</v>
      </c>
      <c r="BJ55" s="62">
        <f t="shared" si="38"/>
        <v>249.72262393661117</v>
      </c>
      <c r="BK55" s="16">
        <f>IF(ISNA(VLOOKUP(A55,'Données projet'!$A$87:$I$107,3,0)),0,VLOOKUP(A55,'Données projet'!$A$87:$I$107,3,0))</f>
        <v>7</v>
      </c>
      <c r="BL55" s="16">
        <f>IF(ISNA(VLOOKUP(A55,'Données projet'!$A$87:$I$107,4,0)),0,VLOOKUP(A55,'Données projet'!$A$87:$I$107,4,0))</f>
        <v>48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269.99999999999989</v>
      </c>
      <c r="BZ55" s="14">
        <f>BY55*VLOOKUP('Données projet'!$B$12,Paramètres!$A$1:$I$89,3,0)*VLOOKUP('Données projet'!$B$12,Paramètres!$A$1:$I$89,5,0)</f>
        <v>214.8119999999999</v>
      </c>
      <c r="CA55" s="14">
        <f t="shared" si="39"/>
        <v>52.985738231738054</v>
      </c>
      <c r="CB55" s="22">
        <f t="shared" si="10"/>
        <v>466.41439408694367</v>
      </c>
      <c r="CC55" s="62">
        <f t="shared" si="11"/>
        <v>759.74772742027699</v>
      </c>
      <c r="CD55" s="62">
        <f ca="1">AVERAGE(OFFSET($CC$3,0,0,'Données projet'!$E$12+1,1))-AVERAGE(OFFSET($H$3,0,0,'Données projet'!$E$12+1,1))</f>
        <v>257.24784840892409</v>
      </c>
      <c r="CE55" s="62">
        <f t="shared" si="40"/>
        <v>288.30197520356643</v>
      </c>
      <c r="CF55" s="16">
        <f>IF(ISNA(VLOOKUP(A55,'Données projet'!$A$113:$I$133,3,0)),0,VLOOKUP(A55,'Données projet'!$A$113:$I$133,3,0))</f>
        <v>7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13.5</v>
      </c>
      <c r="CT55" s="13">
        <f>IF('Données projet'!$A$140&gt;35,CT54+CS55-DB54,IF(A55&lt;'Données projet'!$A$140,$CQ$205^A55,IF(A55='Données projet'!$A$140,'Données projet'!$B$140,CT54+CS55-DB54)))</f>
        <v>258.00000000000006</v>
      </c>
      <c r="CU55" s="18">
        <f>CT55*VLOOKUP('Données projet'!$B$13,Paramètres!$A$1:$I$89,3,0)*VLOOKUP('Données projet'!$B$13,Paramètres!$A$1:$I$89,5,0)</f>
        <v>120.74400000000003</v>
      </c>
      <c r="CV55" s="14">
        <f t="shared" si="41"/>
        <v>31.848462605207835</v>
      </c>
      <c r="CW55" s="22">
        <f t="shared" si="13"/>
        <v>265.76520570407035</v>
      </c>
      <c r="CX55" s="62">
        <f t="shared" si="14"/>
        <v>559.09853903740373</v>
      </c>
      <c r="CY55" s="62">
        <f ca="1">AVERAGE(OFFSET($CX$3,0,0,'Données projet'!$E$13+1,1))-AVERAGE(OFFSET($H$3,0,0,'Données projet'!$E$13+1,1))</f>
        <v>199.0086462069545</v>
      </c>
      <c r="CZ55" s="62">
        <f t="shared" si="42"/>
        <v>254.08208375594057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17.8</v>
      </c>
      <c r="DO55" s="13">
        <f>IF('Données projet'!$A$166&gt;35,DO54+DN55-DW54,IF(A55&lt;'Données projet'!$A$166,$DL$205^A55,IF(A55='Données projet'!$A$166,'Données projet'!$B$166,DO54+DN55-DW54)))</f>
        <v>651.6</v>
      </c>
      <c r="DP55" s="18">
        <f>DO55*VLOOKUP('Données projet'!$B$14,Paramètres!$A$1:$I$89,3,0)*VLOOKUP('Données projet'!$B$14,Paramètres!$A$1:$I$89,5,0)</f>
        <v>364.24439999999998</v>
      </c>
      <c r="DQ55" s="14">
        <f t="shared" si="43"/>
        <v>84.488736755792686</v>
      </c>
      <c r="DR55" s="22">
        <f t="shared" si="16"/>
        <v>781.54354651633878</v>
      </c>
      <c r="DS55" s="62">
        <f t="shared" si="17"/>
        <v>1074.8768798496722</v>
      </c>
      <c r="DT55" s="62">
        <f ca="1">AVERAGE(OFFSET($DS$3,0,0,'Données projet'!$E$14+1,1))-AVERAGE(OFFSET($H$3,0,0,'Données projet'!$E$14+1,1))</f>
        <v>534.78683721545372</v>
      </c>
      <c r="DU55" s="62">
        <f t="shared" si="44"/>
        <v>710.59298755711075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</v>
      </c>
      <c r="EJ55" s="13">
        <f>IF('Données projet'!$A$192&gt;35,EJ54+EI55-ER54,IF(A55&lt;'Données projet'!$A$192,$EG$205^A55,IF(A55='Données projet'!$A$192,'Données projet'!$B$192,EJ54+EI55-ER54)))</f>
        <v>328</v>
      </c>
      <c r="EK55" s="18">
        <f>EJ55*VLOOKUP('Données projet'!$B$15,Paramètres!$A$1:$I$89,3,0)*VLOOKUP('Données projet'!$B$15,Paramètres!$A$1:$I$89,5,0)</f>
        <v>196.14400000000001</v>
      </c>
      <c r="EL55" s="14">
        <f t="shared" si="45"/>
        <v>48.895777841838495</v>
      </c>
      <c r="EM55" s="22">
        <f t="shared" si="19"/>
        <v>426.77761307453534</v>
      </c>
      <c r="EN55" s="62">
        <f t="shared" si="20"/>
        <v>720.1109464078686</v>
      </c>
      <c r="EO55" s="62">
        <f ca="1">AVERAGE(OFFSET($EN$3,0,0,'Données projet'!$E$15+1,1))-AVERAGE(OFFSET($H$3,0,0,'Données projet'!$E$15+1,1))</f>
        <v>292.87204407272162</v>
      </c>
      <c r="EP55" s="62">
        <f t="shared" si="46"/>
        <v>326.06531673481805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14</v>
      </c>
      <c r="N56" s="14">
        <f>IF('Données projet'!$A$36&gt;35,N55+M56-V55,IF(A56&lt;'Données projet'!$A$36,$K$205^A56,IF(A56='Données projet'!$A$36,'Données projet'!$B$36,N55+M56-V55)))</f>
        <v>459.99999999999977</v>
      </c>
      <c r="O56" s="14">
        <f>N56*VLOOKUP('Données projet'!$B$9,Paramètres!$A$1:$I$89,3,0)*VLOOKUP('Données projet'!$B$9,Paramètres!$A$1:$I$89,5,0)</f>
        <v>337.27199999999982</v>
      </c>
      <c r="P56" s="14">
        <f t="shared" si="33"/>
        <v>78.936060366406466</v>
      </c>
      <c r="Q56" s="22">
        <f t="shared" si="53"/>
        <v>724.89570513815761</v>
      </c>
      <c r="R56" s="62">
        <f t="shared" si="0"/>
        <v>1018.2290384714909</v>
      </c>
      <c r="S56" s="62">
        <f ca="1">AVERAGE(OFFSET($R$3,0,0,'Données projet'!$E$9+1,1))-AVERAGE(OFFSET($H$3,0,0,'Données projet'!$E$9+1,1))</f>
        <v>451.25506262546861</v>
      </c>
      <c r="T56" s="62">
        <f t="shared" si="34"/>
        <v>534.19872447444368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9.375</v>
      </c>
      <c r="AI56" s="14">
        <f>IF('Données projet'!$A$62&gt;35,AI55+AH56-AQ55,IF(A56&lt;'Données projet'!$A$62,$AF$205^A56,IF(A56='Données projet'!$A$62,'Données projet'!$B$62,AI55+AH56-AQ55)))</f>
        <v>231.37499999999989</v>
      </c>
      <c r="AJ56" s="14">
        <f>AI56*VLOOKUP('Données projet'!$B$10,Paramètres!$A$1:$I$89,3,0)*VLOOKUP('Données projet'!$B$10,Paramètres!$A$1:$I$89,5,0)</f>
        <v>180.47249999999991</v>
      </c>
      <c r="AK56" s="14">
        <f t="shared" si="35"/>
        <v>45.427292666837829</v>
      </c>
      <c r="AL56" s="22">
        <f t="shared" si="4"/>
        <v>393.44213889474241</v>
      </c>
      <c r="AM56" s="62">
        <f t="shared" si="5"/>
        <v>686.77547222807573</v>
      </c>
      <c r="AN56" s="62">
        <f ca="1">AVERAGE(OFFSET($AM$3,0,0,'Données projet'!$E$10+1,1))-AVERAGE(OFFSET($H$3,0,0,'Données projet'!$E$10+1,1))</f>
        <v>252.84702735189455</v>
      </c>
      <c r="AO56" s="62">
        <f t="shared" si="36"/>
        <v>283.48738729114024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231.37499999999989</v>
      </c>
      <c r="BE56" s="14">
        <f>BD56*VLOOKUP('Données projet'!$B$11,Paramètres!$A$1:$I$89,3,0)*VLOOKUP('Données projet'!$B$11,Paramètres!$A$1:$I$89,5,0)</f>
        <v>155.20634999999993</v>
      </c>
      <c r="BF56" s="14">
        <f t="shared" si="37"/>
        <v>39.759387594463078</v>
      </c>
      <c r="BG56" s="22">
        <f t="shared" si="7"/>
        <v>339.5653263103564</v>
      </c>
      <c r="BH56" s="62">
        <f t="shared" si="8"/>
        <v>632.89865964368971</v>
      </c>
      <c r="BI56" s="62">
        <f ca="1">AVERAGE(OFFSET($BH$3,0,0,'Données projet'!$E$11+1,1))-AVERAGE(OFFSET($H$3,0,0,'Données projet'!$E$11+1,1))</f>
        <v>221.98516361836096</v>
      </c>
      <c r="BJ56" s="62">
        <f t="shared" si="38"/>
        <v>249.72262393661117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231.37499999999989</v>
      </c>
      <c r="BZ56" s="14">
        <f>BY56*VLOOKUP('Données projet'!$B$12,Paramètres!$A$1:$I$89,3,0)*VLOOKUP('Données projet'!$B$12,Paramètres!$A$1:$I$89,5,0)</f>
        <v>184.08194999999992</v>
      </c>
      <c r="CA56" s="14">
        <f t="shared" si="39"/>
        <v>46.229156216087937</v>
      </c>
      <c r="CB56" s="22">
        <f t="shared" si="10"/>
        <v>401.1251766596863</v>
      </c>
      <c r="CC56" s="62">
        <f t="shared" si="11"/>
        <v>694.45850999301956</v>
      </c>
      <c r="CD56" s="62">
        <f ca="1">AVERAGE(OFFSET($CC$3,0,0,'Données projet'!$E$12+1,1))-AVERAGE(OFFSET($H$3,0,0,'Données projet'!$E$12+1,1))</f>
        <v>257.24784840892409</v>
      </c>
      <c r="CE56" s="62">
        <f t="shared" si="40"/>
        <v>288.30197520356643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13.5</v>
      </c>
      <c r="CT56" s="13">
        <f>IF('Données projet'!$A$140&gt;35,CT55+CS56-DB55,IF(A56&lt;'Données projet'!$A$140,$CQ$205^A56,IF(A56='Données projet'!$A$140,'Données projet'!$B$140,CT55+CS56-DB55)))</f>
        <v>271.50000000000006</v>
      </c>
      <c r="CU56" s="18">
        <f>CT56*VLOOKUP('Données projet'!$B$13,Paramètres!$A$1:$I$89,3,0)*VLOOKUP('Données projet'!$B$13,Paramètres!$A$1:$I$89,5,0)</f>
        <v>127.06200000000004</v>
      </c>
      <c r="CV56" s="14">
        <f t="shared" si="41"/>
        <v>33.316573241426198</v>
      </c>
      <c r="CW56" s="22">
        <f t="shared" si="13"/>
        <v>279.3260150621507</v>
      </c>
      <c r="CX56" s="62">
        <f t="shared" si="14"/>
        <v>572.65934839548402</v>
      </c>
      <c r="CY56" s="62">
        <f ca="1">AVERAGE(OFFSET($CX$3,0,0,'Données projet'!$E$13+1,1))-AVERAGE(OFFSET($H$3,0,0,'Données projet'!$E$13+1,1))</f>
        <v>199.0086462069545</v>
      </c>
      <c r="CZ56" s="62">
        <f t="shared" si="42"/>
        <v>254.08208375594057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17.8</v>
      </c>
      <c r="DO56" s="13">
        <f>IF('Données projet'!$A$166&gt;35,DO55+DN56-DW55,IF(A56&lt;'Données projet'!$A$166,$DL$205^A56,IF(A56='Données projet'!$A$166,'Données projet'!$B$166,DO55+DN56-DW55)))</f>
        <v>669.4</v>
      </c>
      <c r="DP56" s="18">
        <f>DO56*VLOOKUP('Données projet'!$B$14,Paramètres!$A$1:$I$89,3,0)*VLOOKUP('Données projet'!$B$14,Paramètres!$A$1:$I$89,5,0)</f>
        <v>374.19459999999998</v>
      </c>
      <c r="DQ56" s="14">
        <f t="shared" si="43"/>
        <v>86.524884836459236</v>
      </c>
      <c r="DR56" s="22">
        <f t="shared" si="16"/>
        <v>802.41976942349982</v>
      </c>
      <c r="DS56" s="62">
        <f t="shared" si="17"/>
        <v>1095.7531027568332</v>
      </c>
      <c r="DT56" s="62">
        <f ca="1">AVERAGE(OFFSET($DS$3,0,0,'Données projet'!$E$14+1,1))-AVERAGE(OFFSET($H$3,0,0,'Données projet'!$E$14+1,1))</f>
        <v>534.78683721545372</v>
      </c>
      <c r="DU56" s="62">
        <f t="shared" si="44"/>
        <v>710.59298755711075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</v>
      </c>
      <c r="EJ56" s="13">
        <f>IF('Données projet'!$A$192&gt;35,EJ55+EI56-ER55,IF(A56&lt;'Données projet'!$A$192,$EG$205^A56,IF(A56='Données projet'!$A$192,'Données projet'!$B$192,EJ55+EI56-ER55)))</f>
        <v>334</v>
      </c>
      <c r="EK56" s="18">
        <f>EJ56*VLOOKUP('Données projet'!$B$15,Paramètres!$A$1:$I$89,3,0)*VLOOKUP('Données projet'!$B$15,Paramètres!$A$1:$I$89,5,0)</f>
        <v>199.73200000000003</v>
      </c>
      <c r="EL56" s="14">
        <f t="shared" si="45"/>
        <v>49.685264841284457</v>
      </c>
      <c r="EM56" s="22">
        <f t="shared" si="19"/>
        <v>434.4017362652371</v>
      </c>
      <c r="EN56" s="62">
        <f t="shared" si="20"/>
        <v>727.73506959857036</v>
      </c>
      <c r="EO56" s="62">
        <f ca="1">AVERAGE(OFFSET($EN$3,0,0,'Données projet'!$E$15+1,1))-AVERAGE(OFFSET($H$3,0,0,'Données projet'!$E$15+1,1))</f>
        <v>292.87204407272162</v>
      </c>
      <c r="EP56" s="62">
        <f t="shared" si="46"/>
        <v>326.06531673481805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14</v>
      </c>
      <c r="N57" s="14">
        <f>IF('Données projet'!$A$36&gt;35,N56+M57-V56,IF(A57&lt;'Données projet'!$A$36,$K$205^A57,IF(A57='Données projet'!$A$36,'Données projet'!$B$36,N56+M57-V56)))</f>
        <v>473.99999999999977</v>
      </c>
      <c r="O57" s="14">
        <f>N57*VLOOKUP('Données projet'!$B$9,Paramètres!$A$1:$I$89,3,0)*VLOOKUP('Données projet'!$B$9,Paramètres!$A$1:$I$89,5,0)</f>
        <v>347.53679999999986</v>
      </c>
      <c r="P57" s="14">
        <f t="shared" si="33"/>
        <v>81.055104484402264</v>
      </c>
      <c r="Q57" s="22">
        <f t="shared" si="53"/>
        <v>746.46423364366694</v>
      </c>
      <c r="R57" s="62">
        <f t="shared" si="0"/>
        <v>1039.7975669770003</v>
      </c>
      <c r="S57" s="62">
        <f ca="1">AVERAGE(OFFSET($R$3,0,0,'Données projet'!$E$9+1,1))-AVERAGE(OFFSET($H$3,0,0,'Données projet'!$E$9+1,1))</f>
        <v>451.25506262546861</v>
      </c>
      <c r="T57" s="62">
        <f t="shared" si="34"/>
        <v>534.19872447444368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9.375</v>
      </c>
      <c r="AI57" s="14">
        <f>IF('Données projet'!$A$62&gt;35,AI56+AH57-AQ56,IF(A57&lt;'Données projet'!$A$62,$AF$205^A57,IF(A57='Données projet'!$A$62,'Données projet'!$B$62,AI56+AH57-AQ56)))</f>
        <v>240.74999999999989</v>
      </c>
      <c r="AJ57" s="14">
        <f>AI57*VLOOKUP('Données projet'!$B$10,Paramètres!$A$1:$I$89,3,0)*VLOOKUP('Données projet'!$B$10,Paramètres!$A$1:$I$89,5,0)</f>
        <v>187.78499999999991</v>
      </c>
      <c r="AK57" s="14">
        <f t="shared" si="35"/>
        <v>47.049914090154054</v>
      </c>
      <c r="AL57" s="22">
        <f t="shared" si="4"/>
        <v>409.0041420403515</v>
      </c>
      <c r="AM57" s="62">
        <f t="shared" si="5"/>
        <v>702.33747537368481</v>
      </c>
      <c r="AN57" s="62">
        <f ca="1">AVERAGE(OFFSET($AM$3,0,0,'Données projet'!$E$10+1,1))-AVERAGE(OFFSET($H$3,0,0,'Données projet'!$E$10+1,1))</f>
        <v>252.84702735189455</v>
      </c>
      <c r="AO57" s="62">
        <f t="shared" si="36"/>
        <v>283.48738729114024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240.74999999999989</v>
      </c>
      <c r="BE57" s="14">
        <f>BD57*VLOOKUP('Données projet'!$B$11,Paramètres!$A$1:$I$89,3,0)*VLOOKUP('Données projet'!$B$11,Paramètres!$A$1:$I$89,5,0)</f>
        <v>161.49509999999992</v>
      </c>
      <c r="BF57" s="14">
        <f t="shared" si="37"/>
        <v>41.179556622845517</v>
      </c>
      <c r="BG57" s="22">
        <f t="shared" si="7"/>
        <v>352.9916936181225</v>
      </c>
      <c r="BH57" s="62">
        <f t="shared" si="8"/>
        <v>646.32502695145581</v>
      </c>
      <c r="BI57" s="62">
        <f ca="1">AVERAGE(OFFSET($BH$3,0,0,'Données projet'!$E$11+1,1))-AVERAGE(OFFSET($H$3,0,0,'Données projet'!$E$11+1,1))</f>
        <v>221.98516361836096</v>
      </c>
      <c r="BJ57" s="62">
        <f t="shared" si="38"/>
        <v>249.72262393661117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240.74999999999989</v>
      </c>
      <c r="BZ57" s="14">
        <f>BY57*VLOOKUP('Données projet'!$B$12,Paramètres!$A$1:$I$89,3,0)*VLOOKUP('Données projet'!$B$12,Paramètres!$A$1:$I$89,5,0)</f>
        <v>191.54069999999993</v>
      </c>
      <c r="CA57" s="14">
        <f t="shared" si="39"/>
        <v>47.880419473359183</v>
      </c>
      <c r="CB57" s="22">
        <f t="shared" si="10"/>
        <v>416.99178308276709</v>
      </c>
      <c r="CC57" s="62">
        <f t="shared" si="11"/>
        <v>710.3251164161004</v>
      </c>
      <c r="CD57" s="62">
        <f ca="1">AVERAGE(OFFSET($CC$3,0,0,'Données projet'!$E$12+1,1))-AVERAGE(OFFSET($H$3,0,0,'Données projet'!$E$12+1,1))</f>
        <v>257.24784840892409</v>
      </c>
      <c r="CE57" s="62">
        <f t="shared" si="40"/>
        <v>288.30197520356643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13.5</v>
      </c>
      <c r="CT57" s="13">
        <f>IF('Données projet'!$A$140&gt;35,CT56+CS57-DB56,IF(A57&lt;'Données projet'!$A$140,$CQ$205^A57,IF(A57='Données projet'!$A$140,'Données projet'!$B$140,CT56+CS57-DB56)))</f>
        <v>285.00000000000006</v>
      </c>
      <c r="CU57" s="18">
        <f>CT57*VLOOKUP('Données projet'!$B$13,Paramètres!$A$1:$I$89,3,0)*VLOOKUP('Données projet'!$B$13,Paramètres!$A$1:$I$89,5,0)</f>
        <v>133.38000000000002</v>
      </c>
      <c r="CV57" s="14">
        <f t="shared" si="41"/>
        <v>34.776207535548991</v>
      </c>
      <c r="CW57" s="22">
        <f t="shared" si="13"/>
        <v>292.87206145774786</v>
      </c>
      <c r="CX57" s="62">
        <f t="shared" si="14"/>
        <v>586.20539479108118</v>
      </c>
      <c r="CY57" s="62">
        <f ca="1">AVERAGE(OFFSET($CX$3,0,0,'Données projet'!$E$13+1,1))-AVERAGE(OFFSET($H$3,0,0,'Données projet'!$E$13+1,1))</f>
        <v>199.0086462069545</v>
      </c>
      <c r="CZ57" s="62">
        <f t="shared" si="42"/>
        <v>254.08208375594057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17.8</v>
      </c>
      <c r="DO57" s="13">
        <f>IF('Données projet'!$A$166&gt;35,DO56+DN57-DW56,IF(A57&lt;'Données projet'!$A$166,$DL$205^A57,IF(A57='Données projet'!$A$166,'Données projet'!$B$166,DO56+DN57-DW56)))</f>
        <v>687.19999999999993</v>
      </c>
      <c r="DP57" s="18">
        <f>DO57*VLOOKUP('Données projet'!$B$14,Paramètres!$A$1:$I$89,3,0)*VLOOKUP('Données projet'!$B$14,Paramètres!$A$1:$I$89,5,0)</f>
        <v>384.14479999999998</v>
      </c>
      <c r="DQ57" s="14">
        <f t="shared" si="43"/>
        <v>88.554739612081832</v>
      </c>
      <c r="DR57" s="22">
        <f t="shared" si="16"/>
        <v>823.28503149104245</v>
      </c>
      <c r="DS57" s="62">
        <f t="shared" si="17"/>
        <v>1116.6183648243757</v>
      </c>
      <c r="DT57" s="62">
        <f ca="1">AVERAGE(OFFSET($DS$3,0,0,'Données projet'!$E$14+1,1))-AVERAGE(OFFSET($H$3,0,0,'Données projet'!$E$14+1,1))</f>
        <v>534.78683721545372</v>
      </c>
      <c r="DU57" s="62">
        <f t="shared" si="44"/>
        <v>710.59298755711075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>
        <f>VLOOKUP(A57,'Données projet'!$A$191:$I$211,2,0)</f>
        <v>340</v>
      </c>
      <c r="EH57" s="13">
        <f>VLOOKUP(A57,'Données projet'!$A$191:$I$211,9,0)</f>
        <v>6</v>
      </c>
      <c r="EI57" s="13">
        <f t="array" ref="EI57">INDEX(EH:EH,MIN(IF(ISNUMBER(EH57:EH253),ROW(EH57:EH253),"")))</f>
        <v>6</v>
      </c>
      <c r="EJ57" s="13">
        <f>IF('Données projet'!$A$192&gt;35,EJ56+EI57-ER56,IF(A57&lt;'Données projet'!$A$192,$EG$205^A57,IF(A57='Données projet'!$A$192,'Données projet'!$B$192,EJ56+EI57-ER56)))</f>
        <v>340</v>
      </c>
      <c r="EK57" s="18">
        <f>EJ57*VLOOKUP('Données projet'!$B$15,Paramètres!$A$1:$I$89,3,0)*VLOOKUP('Données projet'!$B$15,Paramètres!$A$1:$I$89,5,0)</f>
        <v>203.32000000000002</v>
      </c>
      <c r="EL57" s="14">
        <f t="shared" si="45"/>
        <v>50.473102640215579</v>
      </c>
      <c r="EM57" s="22">
        <f t="shared" si="19"/>
        <v>442.02298709837549</v>
      </c>
      <c r="EN57" s="62">
        <f t="shared" si="20"/>
        <v>735.35632043170881</v>
      </c>
      <c r="EO57" s="62">
        <f ca="1">AVERAGE(OFFSET($EN$3,0,0,'Données projet'!$E$15+1,1))-AVERAGE(OFFSET($H$3,0,0,'Données projet'!$E$15+1,1))</f>
        <v>292.87204407272162</v>
      </c>
      <c r="EP57" s="62">
        <f t="shared" si="46"/>
        <v>326.06531673481805</v>
      </c>
      <c r="EQ57" s="16">
        <f>IF(ISNA(VLOOKUP(A57,'Données projet'!$A$191:$I$211,3,0)),0,VLOOKUP(A57,'Données projet'!$A$191:$I$211,3,0))</f>
        <v>9</v>
      </c>
      <c r="ER57" s="16">
        <f>IF(ISNA(VLOOKUP(A57,'Données projet'!$A$191:$I$211,4,0)),0,VLOOKUP(A57,'Données projet'!$A$191:$I$211,4,0))</f>
        <v>17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14</v>
      </c>
      <c r="N58" s="14">
        <f>IF('Données projet'!$A$36&gt;35,N57+M58-V57,IF(A58&lt;'Données projet'!$A$36,$K$205^A58,IF(A58='Données projet'!$A$36,'Données projet'!$B$36,N57+M58-V57)))</f>
        <v>487.99999999999977</v>
      </c>
      <c r="O58" s="14">
        <f>N58*VLOOKUP('Données projet'!$B$9,Paramètres!$A$1:$I$89,3,0)*VLOOKUP('Données projet'!$B$9,Paramètres!$A$1:$I$89,5,0)</f>
        <v>357.80159999999984</v>
      </c>
      <c r="P58" s="14">
        <f t="shared" si="33"/>
        <v>83.16687477378926</v>
      </c>
      <c r="Q58" s="22">
        <f t="shared" si="53"/>
        <v>768.02009356434939</v>
      </c>
      <c r="R58" s="62">
        <f t="shared" si="0"/>
        <v>1061.3534268976828</v>
      </c>
      <c r="S58" s="62">
        <f ca="1">AVERAGE(OFFSET($R$3,0,0,'Données projet'!$E$9+1,1))-AVERAGE(OFFSET($H$3,0,0,'Données projet'!$E$9+1,1))</f>
        <v>451.25506262546861</v>
      </c>
      <c r="T58" s="62">
        <f t="shared" si="34"/>
        <v>534.19872447444368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9.375</v>
      </c>
      <c r="AI58" s="14">
        <f>IF('Données projet'!$A$62&gt;35,AI57+AH58-AQ57,IF(A58&lt;'Données projet'!$A$62,$AF$205^A58,IF(A58='Données projet'!$A$62,'Données projet'!$B$62,AI57+AH58-AQ57)))</f>
        <v>250.12499999999989</v>
      </c>
      <c r="AJ58" s="14">
        <f>AI58*VLOOKUP('Données projet'!$B$10,Paramètres!$A$1:$I$89,3,0)*VLOOKUP('Données projet'!$B$10,Paramètres!$A$1:$I$89,5,0)</f>
        <v>195.09749999999991</v>
      </c>
      <c r="AK58" s="14">
        <f t="shared" si="35"/>
        <v>48.66519532492579</v>
      </c>
      <c r="AL58" s="22">
        <f t="shared" si="4"/>
        <v>424.55336102424553</v>
      </c>
      <c r="AM58" s="62">
        <f t="shared" si="5"/>
        <v>717.88669435757879</v>
      </c>
      <c r="AN58" s="62">
        <f ca="1">AVERAGE(OFFSET($AM$3,0,0,'Données projet'!$E$10+1,1))-AVERAGE(OFFSET($H$3,0,0,'Données projet'!$E$10+1,1))</f>
        <v>252.84702735189455</v>
      </c>
      <c r="AO58" s="62">
        <f t="shared" si="36"/>
        <v>283.48738729114024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250.12499999999989</v>
      </c>
      <c r="BE58" s="14">
        <f>BD58*VLOOKUP('Données projet'!$B$11,Paramètres!$A$1:$I$89,3,0)*VLOOKUP('Données projet'!$B$11,Paramètres!$A$1:$I$89,5,0)</f>
        <v>167.78384999999992</v>
      </c>
      <c r="BF58" s="14">
        <f t="shared" si="37"/>
        <v>42.593301288598774</v>
      </c>
      <c r="BG58" s="22">
        <f t="shared" si="7"/>
        <v>366.40687182764276</v>
      </c>
      <c r="BH58" s="62">
        <f t="shared" si="8"/>
        <v>659.74020516097607</v>
      </c>
      <c r="BI58" s="62">
        <f ca="1">AVERAGE(OFFSET($BH$3,0,0,'Données projet'!$E$11+1,1))-AVERAGE(OFFSET($H$3,0,0,'Données projet'!$E$11+1,1))</f>
        <v>221.98516361836096</v>
      </c>
      <c r="BJ58" s="62">
        <f t="shared" si="38"/>
        <v>249.72262393661117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250.12499999999989</v>
      </c>
      <c r="BZ58" s="14">
        <f>BY58*VLOOKUP('Données projet'!$B$12,Paramètres!$A$1:$I$89,3,0)*VLOOKUP('Données projet'!$B$12,Paramètres!$A$1:$I$89,5,0)</f>
        <v>198.99944999999991</v>
      </c>
      <c r="CA58" s="14">
        <f t="shared" si="39"/>
        <v>49.524212976151169</v>
      </c>
      <c r="CB58" s="22">
        <f t="shared" si="10"/>
        <v>432.84537968346314</v>
      </c>
      <c r="CC58" s="62">
        <f t="shared" si="11"/>
        <v>726.17871301679645</v>
      </c>
      <c r="CD58" s="62">
        <f ca="1">AVERAGE(OFFSET($CC$3,0,0,'Données projet'!$E$12+1,1))-AVERAGE(OFFSET($H$3,0,0,'Données projet'!$E$12+1,1))</f>
        <v>257.24784840892409</v>
      </c>
      <c r="CE58" s="62">
        <f t="shared" si="40"/>
        <v>288.30197520356643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13.5</v>
      </c>
      <c r="CT58" s="13">
        <f>IF('Données projet'!$A$140&gt;35,CT57+CS58-DB57,IF(A58&lt;'Données projet'!$A$140,$CQ$205^A58,IF(A58='Données projet'!$A$140,'Données projet'!$B$140,CT57+CS58-DB57)))</f>
        <v>298.50000000000006</v>
      </c>
      <c r="CU58" s="18">
        <f>CT58*VLOOKUP('Données projet'!$B$13,Paramètres!$A$1:$I$89,3,0)*VLOOKUP('Données projet'!$B$13,Paramètres!$A$1:$I$89,5,0)</f>
        <v>139.69800000000004</v>
      </c>
      <c r="CV58" s="14">
        <f t="shared" si="41"/>
        <v>36.227812843101411</v>
      </c>
      <c r="CW58" s="22">
        <f t="shared" si="13"/>
        <v>306.40412403506838</v>
      </c>
      <c r="CX58" s="62">
        <f t="shared" si="14"/>
        <v>599.73745736840169</v>
      </c>
      <c r="CY58" s="62">
        <f ca="1">AVERAGE(OFFSET($CX$3,0,0,'Données projet'!$E$13+1,1))-AVERAGE(OFFSET($H$3,0,0,'Données projet'!$E$13+1,1))</f>
        <v>199.0086462069545</v>
      </c>
      <c r="CZ58" s="62">
        <f t="shared" si="42"/>
        <v>254.08208375594057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705</v>
      </c>
      <c r="DM58" s="13">
        <f>VLOOKUP(A58,'Données projet'!$A$165:$I$185,9,0)</f>
        <v>17.8</v>
      </c>
      <c r="DN58" s="13">
        <f t="array" ref="DN58">INDEX(DM:DM,MIN(IF(ISNUMBER(DM58:DM254),ROW(DM58:DM254),"")))</f>
        <v>17.8</v>
      </c>
      <c r="DO58" s="13">
        <f>IF('Données projet'!$A$166&gt;35,DO57+DN58-DW57,IF(A58&lt;'Données projet'!$A$166,$DL$205^A58,IF(A58='Données projet'!$A$166,'Données projet'!$B$166,DO57+DN58-DW57)))</f>
        <v>704.99999999999989</v>
      </c>
      <c r="DP58" s="18">
        <f>DO58*VLOOKUP('Données projet'!$B$14,Paramètres!$A$1:$I$89,3,0)*VLOOKUP('Données projet'!$B$14,Paramètres!$A$1:$I$89,5,0)</f>
        <v>394.09499999999991</v>
      </c>
      <c r="DQ58" s="14">
        <f t="shared" si="43"/>
        <v>90.578482834670083</v>
      </c>
      <c r="DR58" s="22">
        <f t="shared" si="16"/>
        <v>844.13964927038353</v>
      </c>
      <c r="DS58" s="62">
        <f t="shared" si="17"/>
        <v>1137.4729826037169</v>
      </c>
      <c r="DT58" s="62">
        <f ca="1">AVERAGE(OFFSET($DS$3,0,0,'Données projet'!$E$14+1,1))-AVERAGE(OFFSET($H$3,0,0,'Données projet'!$E$14+1,1))</f>
        <v>534.78683721545372</v>
      </c>
      <c r="DU58" s="62">
        <f t="shared" si="44"/>
        <v>710.59298755711075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66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1.625</v>
      </c>
      <c r="EJ58" s="13">
        <f>IF('Données projet'!$A$192&gt;35,EJ57+EI58-ER57,IF(A58&lt;'Données projet'!$A$192,$EG$205^A58,IF(A58='Données projet'!$A$192,'Données projet'!$B$192,EJ57+EI58-ER57)))</f>
        <v>324.625</v>
      </c>
      <c r="EK58" s="18">
        <f>EJ58*VLOOKUP('Données projet'!$B$15,Paramètres!$A$1:$I$89,3,0)*VLOOKUP('Données projet'!$B$15,Paramètres!$A$1:$I$89,5,0)</f>
        <v>194.12575000000004</v>
      </c>
      <c r="EL58" s="14">
        <f t="shared" si="45"/>
        <v>48.450954054927188</v>
      </c>
      <c r="EM58" s="22">
        <f t="shared" si="19"/>
        <v>422.48775956233158</v>
      </c>
      <c r="EN58" s="62">
        <f t="shared" si="20"/>
        <v>715.82109289566483</v>
      </c>
      <c r="EO58" s="62">
        <f ca="1">AVERAGE(OFFSET($EN$3,0,0,'Données projet'!$E$15+1,1))-AVERAGE(OFFSET($H$3,0,0,'Données projet'!$E$15+1,1))</f>
        <v>292.87204407272162</v>
      </c>
      <c r="EP58" s="62">
        <f t="shared" si="46"/>
        <v>326.06531673481805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14</v>
      </c>
      <c r="N59" s="14">
        <f>IF('Données projet'!$A$36&gt;35,N58+M59-V58,IF(A59&lt;'Données projet'!$A$36,$K$205^A59,IF(A59='Données projet'!$A$36,'Données projet'!$B$36,N58+M59-V58)))</f>
        <v>501.99999999999977</v>
      </c>
      <c r="O59" s="14">
        <f>N59*VLOOKUP('Données projet'!$B$9,Paramètres!$A$1:$I$89,3,0)*VLOOKUP('Données projet'!$B$9,Paramètres!$A$1:$I$89,5,0)</f>
        <v>368.06639999999982</v>
      </c>
      <c r="P59" s="14">
        <f t="shared" si="33"/>
        <v>85.271603875925678</v>
      </c>
      <c r="Q59" s="22">
        <f t="shared" si="53"/>
        <v>789.56369008390345</v>
      </c>
      <c r="R59" s="62">
        <f t="shared" si="0"/>
        <v>1082.8970234172368</v>
      </c>
      <c r="S59" s="62">
        <f ca="1">AVERAGE(OFFSET($R$3,0,0,'Données projet'!$E$9+1,1))-AVERAGE(OFFSET($H$3,0,0,'Données projet'!$E$9+1,1))</f>
        <v>451.25506262546861</v>
      </c>
      <c r="T59" s="62">
        <f t="shared" si="34"/>
        <v>534.19872447444368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9.375</v>
      </c>
      <c r="AI59" s="14">
        <f>IF('Données projet'!$A$62&gt;35,AI58+AH59-AQ58,IF(A59&lt;'Données projet'!$A$62,$AF$205^A59,IF(A59='Données projet'!$A$62,'Données projet'!$B$62,AI58+AH59-AQ58)))</f>
        <v>259.49999999999989</v>
      </c>
      <c r="AJ59" s="14">
        <f>AI59*VLOOKUP('Données projet'!$B$10,Paramètres!$A$1:$I$89,3,0)*VLOOKUP('Données projet'!$B$10,Paramètres!$A$1:$I$89,5,0)</f>
        <v>202.40999999999991</v>
      </c>
      <c r="AK59" s="14">
        <f t="shared" si="35"/>
        <v>50.273442991661817</v>
      </c>
      <c r="AL59" s="22">
        <f t="shared" si="4"/>
        <v>440.09032987714414</v>
      </c>
      <c r="AM59" s="62">
        <f t="shared" si="5"/>
        <v>733.42366321047746</v>
      </c>
      <c r="AN59" s="62">
        <f ca="1">AVERAGE(OFFSET($AM$3,0,0,'Données projet'!$E$10+1,1))-AVERAGE(OFFSET($H$3,0,0,'Données projet'!$E$10+1,1))</f>
        <v>252.84702735189455</v>
      </c>
      <c r="AO59" s="62">
        <f t="shared" si="36"/>
        <v>283.48738729114024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259.49999999999989</v>
      </c>
      <c r="BE59" s="14">
        <f>BD59*VLOOKUP('Données projet'!$B$11,Paramètres!$A$1:$I$89,3,0)*VLOOKUP('Données projet'!$B$11,Paramètres!$A$1:$I$89,5,0)</f>
        <v>174.07259999999994</v>
      </c>
      <c r="BF59" s="14">
        <f t="shared" si="37"/>
        <v>44.000889955583666</v>
      </c>
      <c r="BG59" s="22">
        <f t="shared" si="7"/>
        <v>379.81132833930809</v>
      </c>
      <c r="BH59" s="62">
        <f t="shared" si="8"/>
        <v>673.1446616726414</v>
      </c>
      <c r="BI59" s="62">
        <f ca="1">AVERAGE(OFFSET($BH$3,0,0,'Données projet'!$E$11+1,1))-AVERAGE(OFFSET($H$3,0,0,'Données projet'!$E$11+1,1))</f>
        <v>221.98516361836096</v>
      </c>
      <c r="BJ59" s="62">
        <f t="shared" si="38"/>
        <v>249.72262393661117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259.49999999999989</v>
      </c>
      <c r="BZ59" s="14">
        <f>BY59*VLOOKUP('Données projet'!$B$12,Paramètres!$A$1:$I$89,3,0)*VLOOKUP('Données projet'!$B$12,Paramètres!$A$1:$I$89,5,0)</f>
        <v>206.45819999999992</v>
      </c>
      <c r="CA59" s="14">
        <f t="shared" si="39"/>
        <v>51.160848757309516</v>
      </c>
      <c r="CB59" s="22">
        <f t="shared" si="10"/>
        <v>448.68650991898056</v>
      </c>
      <c r="CC59" s="62">
        <f t="shared" si="11"/>
        <v>742.01984325231388</v>
      </c>
      <c r="CD59" s="62">
        <f ca="1">AVERAGE(OFFSET($CC$3,0,0,'Données projet'!$E$12+1,1))-AVERAGE(OFFSET($H$3,0,0,'Données projet'!$E$12+1,1))</f>
        <v>257.24784840892409</v>
      </c>
      <c r="CE59" s="62">
        <f t="shared" si="40"/>
        <v>288.30197520356643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13.5</v>
      </c>
      <c r="CT59" s="13">
        <f>IF('Données projet'!$A$140&gt;35,CT58+CS59-DB58,IF(A59&lt;'Données projet'!$A$140,$CQ$205^A59,IF(A59='Données projet'!$A$140,'Données projet'!$B$140,CT58+CS59-DB58)))</f>
        <v>312.00000000000006</v>
      </c>
      <c r="CU59" s="18">
        <f>CT59*VLOOKUP('Données projet'!$B$13,Paramètres!$A$1:$I$89,3,0)*VLOOKUP('Données projet'!$B$13,Paramètres!$A$1:$I$89,5,0)</f>
        <v>146.01600000000002</v>
      </c>
      <c r="CV59" s="14">
        <f t="shared" si="41"/>
        <v>37.671793767891103</v>
      </c>
      <c r="CW59" s="22">
        <f t="shared" si="13"/>
        <v>319.92290747907703</v>
      </c>
      <c r="CX59" s="62">
        <f t="shared" si="14"/>
        <v>613.2562408124104</v>
      </c>
      <c r="CY59" s="62">
        <f ca="1">AVERAGE(OFFSET($CX$3,0,0,'Données projet'!$E$13+1,1))-AVERAGE(OFFSET($H$3,0,0,'Données projet'!$E$13+1,1))</f>
        <v>199.0086462069545</v>
      </c>
      <c r="CZ59" s="62">
        <f t="shared" si="42"/>
        <v>254.08208375594057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16.8</v>
      </c>
      <c r="DO59" s="13">
        <f>IF('Données projet'!$A$166&gt;35,DO58+DN59-DW58,IF(A59&lt;'Données projet'!$A$166,$DL$205^A59,IF(A59='Données projet'!$A$166,'Données projet'!$B$166,DO58+DN59-DW58)))</f>
        <v>655.79999999999984</v>
      </c>
      <c r="DP59" s="18">
        <f>DO59*VLOOKUP('Données projet'!$B$14,Paramètres!$A$1:$I$89,3,0)*VLOOKUP('Données projet'!$B$14,Paramètres!$A$1:$I$89,5,0)</f>
        <v>366.59219999999988</v>
      </c>
      <c r="DQ59" s="14">
        <f t="shared" si="43"/>
        <v>84.969753481055022</v>
      </c>
      <c r="DR59" s="22">
        <f t="shared" si="16"/>
        <v>786.47040231283734</v>
      </c>
      <c r="DS59" s="62">
        <f t="shared" si="17"/>
        <v>1079.8037356461707</v>
      </c>
      <c r="DT59" s="62">
        <f ca="1">AVERAGE(OFFSET($DS$3,0,0,'Données projet'!$E$14+1,1))-AVERAGE(OFFSET($H$3,0,0,'Données projet'!$E$14+1,1))</f>
        <v>534.78683721545372</v>
      </c>
      <c r="DU59" s="62">
        <f t="shared" si="44"/>
        <v>710.59298755711075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1.625</v>
      </c>
      <c r="EJ59" s="13">
        <f>IF('Données projet'!$A$192&gt;35,EJ58+EI59-ER58,IF(A59&lt;'Données projet'!$A$192,$EG$205^A59,IF(A59='Données projet'!$A$192,'Données projet'!$B$192,EJ58+EI59-ER58)))</f>
        <v>326.25</v>
      </c>
      <c r="EK59" s="18">
        <f>EJ59*VLOOKUP('Données projet'!$B$15,Paramètres!$A$1:$I$89,3,0)*VLOOKUP('Données projet'!$B$15,Paramètres!$A$1:$I$89,5,0)</f>
        <v>195.09750000000003</v>
      </c>
      <c r="EL59" s="14">
        <f t="shared" si="45"/>
        <v>48.66519532492584</v>
      </c>
      <c r="EM59" s="22">
        <f t="shared" si="19"/>
        <v>424.55336102424582</v>
      </c>
      <c r="EN59" s="62">
        <f t="shared" si="20"/>
        <v>717.88669435757913</v>
      </c>
      <c r="EO59" s="62">
        <f ca="1">AVERAGE(OFFSET($EN$3,0,0,'Données projet'!$E$15+1,1))-AVERAGE(OFFSET($H$3,0,0,'Données projet'!$E$15+1,1))</f>
        <v>292.87204407272162</v>
      </c>
      <c r="EP59" s="62">
        <f t="shared" si="46"/>
        <v>326.06531673481805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</v>
      </c>
      <c r="N60" s="14">
        <f>IF('Données projet'!$A$36&gt;35,N59+M60-V59,IF(A60&lt;'Données projet'!$A$36,$K$205^A60,IF(A60='Données projet'!$A$36,'Données projet'!$B$36,N59+M60-V59)))</f>
        <v>515.99999999999977</v>
      </c>
      <c r="O60" s="14">
        <f>N60*VLOOKUP('Données projet'!$B$9,Paramètres!$A$1:$I$89,3,0)*VLOOKUP('Données projet'!$B$9,Paramètres!$A$1:$I$89,5,0)</f>
        <v>378.3311999999998</v>
      </c>
      <c r="P60" s="14">
        <f t="shared" si="33"/>
        <v>87.369510717841436</v>
      </c>
      <c r="Q60" s="22">
        <f t="shared" si="53"/>
        <v>811.09540450024008</v>
      </c>
      <c r="R60" s="62">
        <f t="shared" si="0"/>
        <v>1104.4287378335735</v>
      </c>
      <c r="S60" s="62">
        <f ca="1">AVERAGE(OFFSET($R$3,0,0,'Données projet'!$E$9+1,1))-AVERAGE(OFFSET($H$3,0,0,'Données projet'!$E$9+1,1))</f>
        <v>451.25506262546861</v>
      </c>
      <c r="T60" s="62">
        <f t="shared" si="34"/>
        <v>534.19872447444368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9.375</v>
      </c>
      <c r="AI60" s="14">
        <f>IF('Données projet'!$A$62&gt;35,AI59+AH60-AQ59,IF(A60&lt;'Données projet'!$A$62,$AF$205^A60,IF(A60='Données projet'!$A$62,'Données projet'!$B$62,AI59+AH60-AQ59)))</f>
        <v>268.87499999999989</v>
      </c>
      <c r="AJ60" s="14">
        <f>AI60*VLOOKUP('Données projet'!$B$10,Paramètres!$A$1:$I$89,3,0)*VLOOKUP('Données projet'!$B$10,Paramètres!$A$1:$I$89,5,0)</f>
        <v>209.72249999999991</v>
      </c>
      <c r="AK60" s="14">
        <f t="shared" si="35"/>
        <v>51.874940300502246</v>
      </c>
      <c r="AL60" s="22">
        <f t="shared" si="4"/>
        <v>455.61554185670792</v>
      </c>
      <c r="AM60" s="62">
        <f t="shared" si="5"/>
        <v>748.94887519004124</v>
      </c>
      <c r="AN60" s="62">
        <f ca="1">AVERAGE(OFFSET($AM$3,0,0,'Données projet'!$E$10+1,1))-AVERAGE(OFFSET($H$3,0,0,'Données projet'!$E$10+1,1))</f>
        <v>252.84702735189455</v>
      </c>
      <c r="AO60" s="62">
        <f t="shared" si="36"/>
        <v>283.48738729114024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268.87499999999989</v>
      </c>
      <c r="BE60" s="14">
        <f>BD60*VLOOKUP('Données projet'!$B$11,Paramètres!$A$1:$I$89,3,0)*VLOOKUP('Données projet'!$B$11,Paramètres!$A$1:$I$89,5,0)</f>
        <v>180.36134999999993</v>
      </c>
      <c r="BF60" s="14">
        <f t="shared" si="37"/>
        <v>45.402570498174285</v>
      </c>
      <c r="BG60" s="22">
        <f t="shared" si="7"/>
        <v>393.20549486765344</v>
      </c>
      <c r="BH60" s="62">
        <f t="shared" si="8"/>
        <v>686.5388282009867</v>
      </c>
      <c r="BI60" s="62">
        <f ca="1">AVERAGE(OFFSET($BH$3,0,0,'Données projet'!$E$11+1,1))-AVERAGE(OFFSET($H$3,0,0,'Données projet'!$E$11+1,1))</f>
        <v>221.98516361836096</v>
      </c>
      <c r="BJ60" s="62">
        <f t="shared" si="38"/>
        <v>249.72262393661117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268.87499999999989</v>
      </c>
      <c r="BZ60" s="14">
        <f>BY60*VLOOKUP('Données projet'!$B$12,Paramètres!$A$1:$I$89,3,0)*VLOOKUP('Données projet'!$B$12,Paramètres!$A$1:$I$89,5,0)</f>
        <v>213.91694999999993</v>
      </c>
      <c r="CA60" s="14">
        <f t="shared" si="39"/>
        <v>52.790615026081127</v>
      </c>
      <c r="CB60" s="22">
        <f t="shared" si="10"/>
        <v>464.51567575375776</v>
      </c>
      <c r="CC60" s="62">
        <f t="shared" si="11"/>
        <v>757.84900908709108</v>
      </c>
      <c r="CD60" s="62">
        <f ca="1">AVERAGE(OFFSET($CC$3,0,0,'Données projet'!$E$12+1,1))-AVERAGE(OFFSET($H$3,0,0,'Données projet'!$E$12+1,1))</f>
        <v>257.24784840892409</v>
      </c>
      <c r="CE60" s="62">
        <f t="shared" si="40"/>
        <v>288.30197520356643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13.5</v>
      </c>
      <c r="CT60" s="13">
        <f>IF('Données projet'!$A$140&gt;35,CT59+CS60-DB59,IF(A60&lt;'Données projet'!$A$140,$CQ$205^A60,IF(A60='Données projet'!$A$140,'Données projet'!$B$140,CT59+CS60-DB59)))</f>
        <v>325.50000000000006</v>
      </c>
      <c r="CU60" s="18">
        <f>CT60*VLOOKUP('Données projet'!$B$13,Paramètres!$A$1:$I$89,3,0)*VLOOKUP('Données projet'!$B$13,Paramètres!$A$1:$I$89,5,0)</f>
        <v>152.33400000000003</v>
      </c>
      <c r="CV60" s="14">
        <f t="shared" si="41"/>
        <v>39.108517919805784</v>
      </c>
      <c r="CW60" s="22">
        <f t="shared" si="13"/>
        <v>333.42905204366178</v>
      </c>
      <c r="CX60" s="62">
        <f t="shared" si="14"/>
        <v>626.7623853769951</v>
      </c>
      <c r="CY60" s="62">
        <f ca="1">AVERAGE(OFFSET($CX$3,0,0,'Données projet'!$E$13+1,1))-AVERAGE(OFFSET($H$3,0,0,'Données projet'!$E$13+1,1))</f>
        <v>199.0086462069545</v>
      </c>
      <c r="CZ60" s="62">
        <f t="shared" si="42"/>
        <v>254.08208375594057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16.8</v>
      </c>
      <c r="DO60" s="13">
        <f>IF('Données projet'!$A$166&gt;35,DO59+DN60-DW59,IF(A60&lt;'Données projet'!$A$166,$DL$205^A60,IF(A60='Données projet'!$A$166,'Données projet'!$B$166,DO59+DN60-DW59)))</f>
        <v>672.5999999999998</v>
      </c>
      <c r="DP60" s="18">
        <f>DO60*VLOOKUP('Données projet'!$B$14,Paramètres!$A$1:$I$89,3,0)*VLOOKUP('Données projet'!$B$14,Paramètres!$A$1:$I$89,5,0)</f>
        <v>375.9833999999999</v>
      </c>
      <c r="DQ60" s="14">
        <f t="shared" si="43"/>
        <v>86.890261138472837</v>
      </c>
      <c r="DR60" s="22">
        <f t="shared" si="16"/>
        <v>806.17162648284011</v>
      </c>
      <c r="DS60" s="62">
        <f t="shared" si="17"/>
        <v>1099.5049598161734</v>
      </c>
      <c r="DT60" s="62">
        <f ca="1">AVERAGE(OFFSET($DS$3,0,0,'Données projet'!$E$14+1,1))-AVERAGE(OFFSET($H$3,0,0,'Données projet'!$E$14+1,1))</f>
        <v>534.78683721545372</v>
      </c>
      <c r="DU60" s="62">
        <f t="shared" si="44"/>
        <v>710.59298755711075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1.625</v>
      </c>
      <c r="EJ60" s="13">
        <f>IF('Données projet'!$A$192&gt;35,EJ59+EI60-ER59,IF(A60&lt;'Données projet'!$A$192,$EG$205^A60,IF(A60='Données projet'!$A$192,'Données projet'!$B$192,EJ59+EI60-ER59)))</f>
        <v>327.875</v>
      </c>
      <c r="EK60" s="18">
        <f>EJ60*VLOOKUP('Données projet'!$B$15,Paramètres!$A$1:$I$89,3,0)*VLOOKUP('Données projet'!$B$15,Paramètres!$A$1:$I$89,5,0)</f>
        <v>196.06925000000004</v>
      </c>
      <c r="EL60" s="14">
        <f t="shared" si="45"/>
        <v>48.879312419695481</v>
      </c>
      <c r="EM60" s="22">
        <f t="shared" si="19"/>
        <v>426.61874621430303</v>
      </c>
      <c r="EN60" s="62">
        <f t="shared" si="20"/>
        <v>719.95207954763634</v>
      </c>
      <c r="EO60" s="62">
        <f ca="1">AVERAGE(OFFSET($EN$3,0,0,'Données projet'!$E$15+1,1))-AVERAGE(OFFSET($H$3,0,0,'Données projet'!$E$15+1,1))</f>
        <v>292.87204407272162</v>
      </c>
      <c r="EP60" s="62">
        <f t="shared" si="46"/>
        <v>326.06531673481805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</v>
      </c>
      <c r="N61" s="14">
        <f>IF('Données projet'!$A$36&gt;35,N60+M61-V60,IF(A61&lt;'Données projet'!$A$36,$K$205^A61,IF(A61='Données projet'!$A$36,'Données projet'!$B$36,N60+M61-V60)))</f>
        <v>529.99999999999977</v>
      </c>
      <c r="O61" s="14">
        <f>N61*VLOOKUP('Données projet'!$B$9,Paramètres!$A$1:$I$89,3,0)*VLOOKUP('Données projet'!$B$9,Paramètres!$A$1:$I$89,5,0)</f>
        <v>388.59599999999983</v>
      </c>
      <c r="P61" s="14">
        <f t="shared" si="33"/>
        <v>89.460801670578945</v>
      </c>
      <c r="Q61" s="22">
        <f t="shared" si="53"/>
        <v>832.61559624292465</v>
      </c>
      <c r="R61" s="62">
        <f t="shared" si="0"/>
        <v>1125.948929576258</v>
      </c>
      <c r="S61" s="62">
        <f ca="1">AVERAGE(OFFSET($R$3,0,0,'Données projet'!$E$9+1,1))-AVERAGE(OFFSET($H$3,0,0,'Données projet'!$E$9+1,1))</f>
        <v>451.25506262546861</v>
      </c>
      <c r="T61" s="62">
        <f t="shared" si="34"/>
        <v>534.19872447444368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9.375</v>
      </c>
      <c r="AI61" s="14">
        <f>IF('Données projet'!$A$62&gt;35,AI60+AH61-AQ60,IF(A61&lt;'Données projet'!$A$62,$AF$205^A61,IF(A61='Données projet'!$A$62,'Données projet'!$B$62,AI60+AH61-AQ60)))</f>
        <v>278.24999999999989</v>
      </c>
      <c r="AJ61" s="14">
        <f>AI61*VLOOKUP('Données projet'!$B$10,Paramètres!$A$1:$I$89,3,0)*VLOOKUP('Données projet'!$B$10,Paramètres!$A$1:$I$89,5,0)</f>
        <v>217.03499999999991</v>
      </c>
      <c r="AK61" s="14">
        <f t="shared" si="35"/>
        <v>53.469949591969474</v>
      </c>
      <c r="AL61" s="22">
        <f t="shared" si="4"/>
        <v>471.12945387267996</v>
      </c>
      <c r="AM61" s="62">
        <f t="shared" si="5"/>
        <v>764.46278720601322</v>
      </c>
      <c r="AN61" s="62">
        <f ca="1">AVERAGE(OFFSET($AM$3,0,0,'Données projet'!$E$10+1,1))-AVERAGE(OFFSET($H$3,0,0,'Données projet'!$E$10+1,1))</f>
        <v>252.84702735189455</v>
      </c>
      <c r="AO61" s="62">
        <f t="shared" si="36"/>
        <v>283.48738729114024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278.24999999999989</v>
      </c>
      <c r="BE61" s="14">
        <f>BD61*VLOOKUP('Données projet'!$B$11,Paramètres!$A$1:$I$89,3,0)*VLOOKUP('Données projet'!$B$11,Paramètres!$A$1:$I$89,5,0)</f>
        <v>186.65009999999992</v>
      </c>
      <c r="BF61" s="14">
        <f t="shared" si="37"/>
        <v>46.798572525002349</v>
      </c>
      <c r="BG61" s="22">
        <f t="shared" si="7"/>
        <v>406.58977131437899</v>
      </c>
      <c r="BH61" s="62">
        <f t="shared" si="8"/>
        <v>699.92310464771231</v>
      </c>
      <c r="BI61" s="62">
        <f ca="1">AVERAGE(OFFSET($BH$3,0,0,'Données projet'!$E$11+1,1))-AVERAGE(OFFSET($H$3,0,0,'Données projet'!$E$11+1,1))</f>
        <v>221.98516361836096</v>
      </c>
      <c r="BJ61" s="62">
        <f t="shared" si="38"/>
        <v>249.72262393661117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278.24999999999989</v>
      </c>
      <c r="BZ61" s="14">
        <f>BY61*VLOOKUP('Données projet'!$B$12,Paramètres!$A$1:$I$89,3,0)*VLOOKUP('Données projet'!$B$12,Paramètres!$A$1:$I$89,5,0)</f>
        <v>221.37569999999991</v>
      </c>
      <c r="CA61" s="14">
        <f t="shared" si="39"/>
        <v>54.41377875371348</v>
      </c>
      <c r="CB61" s="22">
        <f t="shared" si="10"/>
        <v>480.33334216271754</v>
      </c>
      <c r="CC61" s="62">
        <f t="shared" si="11"/>
        <v>773.66667549605086</v>
      </c>
      <c r="CD61" s="62">
        <f ca="1">AVERAGE(OFFSET($CC$3,0,0,'Données projet'!$E$12+1,1))-AVERAGE(OFFSET($H$3,0,0,'Données projet'!$E$12+1,1))</f>
        <v>257.24784840892409</v>
      </c>
      <c r="CE61" s="62">
        <f t="shared" si="40"/>
        <v>288.30197520356643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13.5</v>
      </c>
      <c r="CT61" s="13">
        <f>IF('Données projet'!$A$140&gt;35,CT60+CS61-DB60,IF(A61&lt;'Données projet'!$A$140,$CQ$205^A61,IF(A61='Données projet'!$A$140,'Données projet'!$B$140,CT60+CS61-DB60)))</f>
        <v>339.00000000000006</v>
      </c>
      <c r="CU61" s="18">
        <f>CT61*VLOOKUP('Données projet'!$B$13,Paramètres!$A$1:$I$89,3,0)*VLOOKUP('Données projet'!$B$13,Paramètres!$A$1:$I$89,5,0)</f>
        <v>158.65200000000004</v>
      </c>
      <c r="CV61" s="14">
        <f t="shared" si="41"/>
        <v>40.538320690487296</v>
      </c>
      <c r="CW61" s="22">
        <f t="shared" si="13"/>
        <v>346.92314186926546</v>
      </c>
      <c r="CX61" s="62">
        <f t="shared" si="14"/>
        <v>640.25647520259872</v>
      </c>
      <c r="CY61" s="62">
        <f ca="1">AVERAGE(OFFSET($CX$3,0,0,'Données projet'!$E$13+1,1))-AVERAGE(OFFSET($H$3,0,0,'Données projet'!$E$13+1,1))</f>
        <v>199.0086462069545</v>
      </c>
      <c r="CZ61" s="62">
        <f t="shared" si="42"/>
        <v>254.08208375594057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16.8</v>
      </c>
      <c r="DO61" s="13">
        <f>IF('Données projet'!$A$166&gt;35,DO60+DN61-DW60,IF(A61&lt;'Données projet'!$A$166,$DL$205^A61,IF(A61='Données projet'!$A$166,'Données projet'!$B$166,DO60+DN61-DW60)))</f>
        <v>689.39999999999975</v>
      </c>
      <c r="DP61" s="18">
        <f>DO61*VLOOKUP('Données projet'!$B$14,Paramètres!$A$1:$I$89,3,0)*VLOOKUP('Données projet'!$B$14,Paramètres!$A$1:$I$89,5,0)</f>
        <v>385.37459999999987</v>
      </c>
      <c r="DQ61" s="14">
        <f t="shared" si="43"/>
        <v>88.805192600445807</v>
      </c>
      <c r="DR61" s="22">
        <f t="shared" si="16"/>
        <v>825.86313877910959</v>
      </c>
      <c r="DS61" s="62">
        <f t="shared" si="17"/>
        <v>1119.196472112443</v>
      </c>
      <c r="DT61" s="62">
        <f ca="1">AVERAGE(OFFSET($DS$3,0,0,'Données projet'!$E$14+1,1))-AVERAGE(OFFSET($H$3,0,0,'Données projet'!$E$14+1,1))</f>
        <v>534.78683721545372</v>
      </c>
      <c r="DU61" s="62">
        <f t="shared" si="44"/>
        <v>710.59298755711075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1.625</v>
      </c>
      <c r="EJ61" s="13">
        <f>IF('Données projet'!$A$192&gt;35,EJ60+EI61-ER60,IF(A61&lt;'Données projet'!$A$192,$EG$205^A61,IF(A61='Données projet'!$A$192,'Données projet'!$B$192,EJ60+EI61-ER60)))</f>
        <v>329.5</v>
      </c>
      <c r="EK61" s="18">
        <f>EJ61*VLOOKUP('Données projet'!$B$15,Paramètres!$A$1:$I$89,3,0)*VLOOKUP('Données projet'!$B$15,Paramètres!$A$1:$I$89,5,0)</f>
        <v>197.041</v>
      </c>
      <c r="EL61" s="14">
        <f t="shared" si="45"/>
        <v>49.093306026111783</v>
      </c>
      <c r="EM61" s="22">
        <f t="shared" si="19"/>
        <v>428.68391632881134</v>
      </c>
      <c r="EN61" s="62">
        <f t="shared" si="20"/>
        <v>722.01724966214465</v>
      </c>
      <c r="EO61" s="62">
        <f ca="1">AVERAGE(OFFSET($EN$3,0,0,'Données projet'!$E$15+1,1))-AVERAGE(OFFSET($H$3,0,0,'Données projet'!$E$15+1,1))</f>
        <v>292.87204407272162</v>
      </c>
      <c r="EP61" s="62">
        <f t="shared" si="46"/>
        <v>326.06531673481805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</v>
      </c>
      <c r="N62" s="14">
        <f>IF('Données projet'!$A$36&gt;35,N61+M62-V61,IF(A62&lt;'Données projet'!$A$36,$K$205^A62,IF(A62='Données projet'!$A$36,'Données projet'!$B$36,N61+M62-V61)))</f>
        <v>543.99999999999977</v>
      </c>
      <c r="O62" s="14">
        <f>N62*VLOOKUP('Données projet'!$B$9,Paramètres!$A$1:$I$89,3,0)*VLOOKUP('Données projet'!$B$9,Paramètres!$A$1:$I$89,5,0)</f>
        <v>398.86079999999981</v>
      </c>
      <c r="P62" s="14">
        <f t="shared" si="33"/>
        <v>91.545671581699452</v>
      </c>
      <c r="Q62" s="22">
        <f t="shared" si="53"/>
        <v>854.12460467145956</v>
      </c>
      <c r="R62" s="62">
        <f t="shared" si="0"/>
        <v>1147.4579380047928</v>
      </c>
      <c r="S62" s="62">
        <f ca="1">AVERAGE(OFFSET($R$3,0,0,'Données projet'!$E$9+1,1))-AVERAGE(OFFSET($H$3,0,0,'Données projet'!$E$9+1,1))</f>
        <v>451.25506262546861</v>
      </c>
      <c r="T62" s="62">
        <f t="shared" si="34"/>
        <v>534.19872447444368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9.375</v>
      </c>
      <c r="AI62" s="14">
        <f>IF('Données projet'!$A$62&gt;35,AI61+AH62-AQ61,IF(A62&lt;'Données projet'!$A$62,$AF$205^A62,IF(A62='Données projet'!$A$62,'Données projet'!$B$62,AI61+AH62-AQ61)))</f>
        <v>287.62499999999989</v>
      </c>
      <c r="AJ62" s="14">
        <f>AI62*VLOOKUP('Données projet'!$B$10,Paramètres!$A$1:$I$89,3,0)*VLOOKUP('Données projet'!$B$10,Paramètres!$A$1:$I$89,5,0)</f>
        <v>224.34749999999991</v>
      </c>
      <c r="AK62" s="14">
        <f t="shared" si="35"/>
        <v>55.058714525680429</v>
      </c>
      <c r="AL62" s="22">
        <f t="shared" si="4"/>
        <v>486.63249029889329</v>
      </c>
      <c r="AM62" s="62">
        <f t="shared" si="5"/>
        <v>779.9658236322266</v>
      </c>
      <c r="AN62" s="62">
        <f ca="1">AVERAGE(OFFSET($AM$3,0,0,'Données projet'!$E$10+1,1))-AVERAGE(OFFSET($H$3,0,0,'Données projet'!$E$10+1,1))</f>
        <v>252.84702735189455</v>
      </c>
      <c r="AO62" s="62">
        <f t="shared" si="36"/>
        <v>283.48738729114024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287.62499999999989</v>
      </c>
      <c r="BE62" s="14">
        <f>BD62*VLOOKUP('Données projet'!$B$11,Paramètres!$A$1:$I$89,3,0)*VLOOKUP('Données projet'!$B$11,Paramètres!$A$1:$I$89,5,0)</f>
        <v>192.93884999999992</v>
      </c>
      <c r="BF62" s="14">
        <f t="shared" si="37"/>
        <v>48.18910929458665</v>
      </c>
      <c r="BG62" s="22">
        <f t="shared" si="7"/>
        <v>419.96452910473823</v>
      </c>
      <c r="BH62" s="62">
        <f t="shared" si="8"/>
        <v>713.29786243807155</v>
      </c>
      <c r="BI62" s="62">
        <f ca="1">AVERAGE(OFFSET($BH$3,0,0,'Données projet'!$E$11+1,1))-AVERAGE(OFFSET($H$3,0,0,'Données projet'!$E$11+1,1))</f>
        <v>221.98516361836096</v>
      </c>
      <c r="BJ62" s="62">
        <f t="shared" si="38"/>
        <v>249.72262393661117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287.62499999999989</v>
      </c>
      <c r="BZ62" s="14">
        <f>BY62*VLOOKUP('Données projet'!$B$12,Paramètres!$A$1:$I$89,3,0)*VLOOKUP('Données projet'!$B$12,Paramètres!$A$1:$I$89,5,0)</f>
        <v>228.83444999999992</v>
      </c>
      <c r="CA62" s="14">
        <f t="shared" si="39"/>
        <v>56.030587900801024</v>
      </c>
      <c r="CB62" s="22">
        <f t="shared" si="10"/>
        <v>496.13994101056164</v>
      </c>
      <c r="CC62" s="62">
        <f t="shared" si="11"/>
        <v>789.4732743438949</v>
      </c>
      <c r="CD62" s="62">
        <f ca="1">AVERAGE(OFFSET($CC$3,0,0,'Données projet'!$E$12+1,1))-AVERAGE(OFFSET($H$3,0,0,'Données projet'!$E$12+1,1))</f>
        <v>257.24784840892409</v>
      </c>
      <c r="CE62" s="62">
        <f t="shared" si="40"/>
        <v>288.30197520356643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13.5</v>
      </c>
      <c r="CT62" s="13">
        <f>IF('Données projet'!$A$140&gt;35,CT61+CS62-DB61,IF(A62&lt;'Données projet'!$A$140,$CQ$205^A62,IF(A62='Données projet'!$A$140,'Données projet'!$B$140,CT61+CS62-DB61)))</f>
        <v>352.50000000000006</v>
      </c>
      <c r="CU62" s="18">
        <f>CT62*VLOOKUP('Données projet'!$B$13,Paramètres!$A$1:$I$89,3,0)*VLOOKUP('Données projet'!$B$13,Paramètres!$A$1:$I$89,5,0)</f>
        <v>164.97000000000003</v>
      </c>
      <c r="CV62" s="14">
        <f t="shared" si="41"/>
        <v>41.961509246867301</v>
      </c>
      <c r="CW62" s="22">
        <f t="shared" si="13"/>
        <v>360.40571193829396</v>
      </c>
      <c r="CX62" s="62">
        <f t="shared" si="14"/>
        <v>653.73904527162722</v>
      </c>
      <c r="CY62" s="62">
        <f ca="1">AVERAGE(OFFSET($CX$3,0,0,'Données projet'!$E$13+1,1))-AVERAGE(OFFSET($H$3,0,0,'Données projet'!$E$13+1,1))</f>
        <v>199.0086462069545</v>
      </c>
      <c r="CZ62" s="62">
        <f t="shared" si="42"/>
        <v>254.08208375594057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16.8</v>
      </c>
      <c r="DO62" s="13">
        <f>IF('Données projet'!$A$166&gt;35,DO61+DN62-DW61,IF(A62&lt;'Données projet'!$A$166,$DL$205^A62,IF(A62='Données projet'!$A$166,'Données projet'!$B$166,DO61+DN62-DW61)))</f>
        <v>706.1999999999997</v>
      </c>
      <c r="DP62" s="18">
        <f>DO62*VLOOKUP('Données projet'!$B$14,Paramètres!$A$1:$I$89,3,0)*VLOOKUP('Données projet'!$B$14,Paramètres!$A$1:$I$89,5,0)</f>
        <v>394.76579999999984</v>
      </c>
      <c r="DQ62" s="14">
        <f t="shared" si="43"/>
        <v>90.714699385924675</v>
      </c>
      <c r="DR62" s="22">
        <f t="shared" si="16"/>
        <v>845.5452030971519</v>
      </c>
      <c r="DS62" s="62">
        <f t="shared" si="17"/>
        <v>1138.8785364304852</v>
      </c>
      <c r="DT62" s="62">
        <f ca="1">AVERAGE(OFFSET($DS$3,0,0,'Données projet'!$E$14+1,1))-AVERAGE(OFFSET($H$3,0,0,'Données projet'!$E$14+1,1))</f>
        <v>534.78683721545372</v>
      </c>
      <c r="DU62" s="62">
        <f t="shared" si="44"/>
        <v>710.59298755711075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1.625</v>
      </c>
      <c r="EJ62" s="13">
        <f>IF('Données projet'!$A$192&gt;35,EJ61+EI62-ER61,IF(A62&lt;'Données projet'!$A$192,$EG$205^A62,IF(A62='Données projet'!$A$192,'Données projet'!$B$192,EJ61+EI62-ER61)))</f>
        <v>331.125</v>
      </c>
      <c r="EK62" s="18">
        <f>EJ62*VLOOKUP('Données projet'!$B$15,Paramètres!$A$1:$I$89,3,0)*VLOOKUP('Données projet'!$B$15,Paramètres!$A$1:$I$89,5,0)</f>
        <v>198.01275000000001</v>
      </c>
      <c r="EL62" s="14">
        <f t="shared" si="45"/>
        <v>49.307176823883175</v>
      </c>
      <c r="EM62" s="22">
        <f t="shared" si="19"/>
        <v>430.74887255159655</v>
      </c>
      <c r="EN62" s="62">
        <f t="shared" si="20"/>
        <v>724.08220588492986</v>
      </c>
      <c r="EO62" s="62">
        <f ca="1">AVERAGE(OFFSET($EN$3,0,0,'Données projet'!$E$15+1,1))-AVERAGE(OFFSET($H$3,0,0,'Données projet'!$E$15+1,1))</f>
        <v>292.87204407272162</v>
      </c>
      <c r="EP62" s="62">
        <f t="shared" si="46"/>
        <v>326.06531673481805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558</v>
      </c>
      <c r="L63" s="13">
        <f>VLOOKUP(A63,'Données projet'!$A$35:$I$55,9,0)</f>
        <v>14</v>
      </c>
      <c r="M63" s="13">
        <f t="array" ref="M63">INDEX(L:L,MIN(IF(ISNUMBER(L63:L259),ROW(L63:L259),"")))</f>
        <v>14</v>
      </c>
      <c r="N63" s="14">
        <f>IF('Données projet'!$A$36&gt;35,N62+M63-V62,IF(A63&lt;'Données projet'!$A$36,$K$205^A63,IF(A63='Données projet'!$A$36,'Données projet'!$B$36,N62+M63-V62)))</f>
        <v>557.99999999999977</v>
      </c>
      <c r="O63" s="14">
        <f>N63*VLOOKUP('Données projet'!$B$9,Paramètres!$A$1:$I$89,3,0)*VLOOKUP('Données projet'!$B$9,Paramètres!$A$1:$I$89,5,0)</f>
        <v>409.12559999999985</v>
      </c>
      <c r="P63" s="14">
        <f t="shared" si="33"/>
        <v>93.624304698512276</v>
      </c>
      <c r="Q63" s="22">
        <f t="shared" si="53"/>
        <v>875.62275068324197</v>
      </c>
      <c r="R63" s="62">
        <f t="shared" si="0"/>
        <v>1168.9560840165752</v>
      </c>
      <c r="S63" s="62">
        <f ca="1">AVERAGE(OFFSET($R$3,0,0,'Données projet'!$E$9+1,1))-AVERAGE(OFFSET($H$3,0,0,'Données projet'!$E$9+1,1))</f>
        <v>451.25506262546861</v>
      </c>
      <c r="T63" s="62">
        <f t="shared" si="34"/>
        <v>534.19872447444368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558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297</v>
      </c>
      <c r="AG63" s="13">
        <f>VLOOKUP(A63,'Données projet'!$A$61:$I$81,9,0)</f>
        <v>9.375</v>
      </c>
      <c r="AH63" s="13">
        <f t="array" ref="AH63">INDEX(AG:AG,MIN(IF(ISNUMBER(AG63:AG259),ROW(AG63:AG259),"")))</f>
        <v>9.375</v>
      </c>
      <c r="AI63" s="14">
        <f>IF('Données projet'!$A$62&gt;35,AI62+AH63-AQ62,IF(A63&lt;'Données projet'!$A$62,$AF$205^A63,IF(A63='Données projet'!$A$62,'Données projet'!$B$62,AI62+AH63-AQ62)))</f>
        <v>296.99999999999989</v>
      </c>
      <c r="AJ63" s="14">
        <f>AI63*VLOOKUP('Données projet'!$B$10,Paramètres!$A$1:$I$89,3,0)*VLOOKUP('Données projet'!$B$10,Paramètres!$A$1:$I$89,5,0)</f>
        <v>231.65999999999991</v>
      </c>
      <c r="AK63" s="14">
        <f t="shared" si="35"/>
        <v>56.641461975682766</v>
      </c>
      <c r="AL63" s="22">
        <f t="shared" si="4"/>
        <v>502.125046274314</v>
      </c>
      <c r="AM63" s="62">
        <f t="shared" si="5"/>
        <v>795.45837960764732</v>
      </c>
      <c r="AN63" s="62">
        <f ca="1">AVERAGE(OFFSET($AM$3,0,0,'Données projet'!$E$10+1,1))-AVERAGE(OFFSET($H$3,0,0,'Données projet'!$E$10+1,1))</f>
        <v>252.84702735189455</v>
      </c>
      <c r="AO63" s="62">
        <f t="shared" si="36"/>
        <v>283.48738729114024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297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296.99999999999989</v>
      </c>
      <c r="BE63" s="14">
        <f>BD63*VLOOKUP('Données projet'!$B$11,Paramètres!$A$1:$I$89,3,0)*VLOOKUP('Données projet'!$B$11,Paramètres!$A$1:$I$89,5,0)</f>
        <v>199.22759999999994</v>
      </c>
      <c r="BF63" s="14">
        <f t="shared" si="37"/>
        <v>49.574379374190791</v>
      </c>
      <c r="BG63" s="22">
        <f t="shared" si="7"/>
        <v>433.33011407671552</v>
      </c>
      <c r="BH63" s="62">
        <f t="shared" si="8"/>
        <v>726.66344741004878</v>
      </c>
      <c r="BI63" s="62">
        <f ca="1">AVERAGE(OFFSET($BH$3,0,0,'Données projet'!$E$11+1,1))-AVERAGE(OFFSET($H$3,0,0,'Données projet'!$E$11+1,1))</f>
        <v>221.98516361836096</v>
      </c>
      <c r="BJ63" s="62">
        <f t="shared" si="38"/>
        <v>249.72262393661117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297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296.99999999999989</v>
      </c>
      <c r="BZ63" s="14">
        <f>BY63*VLOOKUP('Données projet'!$B$12,Paramètres!$A$1:$I$89,3,0)*VLOOKUP('Données projet'!$B$12,Paramètres!$A$1:$I$89,5,0)</f>
        <v>236.29319999999993</v>
      </c>
      <c r="CA63" s="14">
        <f t="shared" si="39"/>
        <v>57.641273346077114</v>
      </c>
      <c r="CB63" s="22">
        <f t="shared" si="10"/>
        <v>511.93587441108417</v>
      </c>
      <c r="CC63" s="62">
        <f t="shared" si="11"/>
        <v>805.26920774441749</v>
      </c>
      <c r="CD63" s="62">
        <f ca="1">AVERAGE(OFFSET($CC$3,0,0,'Données projet'!$E$12+1,1))-AVERAGE(OFFSET($H$3,0,0,'Données projet'!$E$12+1,1))</f>
        <v>257.24784840892409</v>
      </c>
      <c r="CE63" s="62">
        <f t="shared" si="40"/>
        <v>288.30197520356643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297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366</v>
      </c>
      <c r="CR63" s="13">
        <f>VLOOKUP(A63,'Données projet'!$A$139:$I$159,9,0)</f>
        <v>13.5</v>
      </c>
      <c r="CS63" s="13">
        <f t="array" ref="CS63">INDEX(CR:CR,MIN(IF(ISNUMBER(CR63:CR259),ROW(CR63:CR259),"")))</f>
        <v>13.5</v>
      </c>
      <c r="CT63" s="13">
        <f>IF('Données projet'!$A$140&gt;35,CT62+CS63-DB62,IF(A63&lt;'Données projet'!$A$140,$CQ$205^A63,IF(A63='Données projet'!$A$140,'Données projet'!$B$140,CT62+CS63-DB62)))</f>
        <v>366.00000000000006</v>
      </c>
      <c r="CU63" s="18">
        <f>CT63*VLOOKUP('Données projet'!$B$13,Paramètres!$A$1:$I$89,3,0)*VLOOKUP('Données projet'!$B$13,Paramètres!$A$1:$I$89,5,0)</f>
        <v>171.28800000000004</v>
      </c>
      <c r="CV63" s="14">
        <f t="shared" si="41"/>
        <v>43.37836589572138</v>
      </c>
      <c r="CW63" s="22">
        <f t="shared" si="13"/>
        <v>373.87725393504815</v>
      </c>
      <c r="CX63" s="62">
        <f t="shared" si="14"/>
        <v>667.21058726838146</v>
      </c>
      <c r="CY63" s="62">
        <f ca="1">AVERAGE(OFFSET($CX$3,0,0,'Données projet'!$E$13+1,1))-AVERAGE(OFFSET($H$3,0,0,'Données projet'!$E$13+1,1))</f>
        <v>199.0086462069545</v>
      </c>
      <c r="CZ63" s="62">
        <f t="shared" si="42"/>
        <v>254.08208375594057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366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723</v>
      </c>
      <c r="DM63" s="13">
        <f>VLOOKUP(A63,'Données projet'!$A$165:$I$185,9,0)</f>
        <v>16.8</v>
      </c>
      <c r="DN63" s="13">
        <f t="array" ref="DN63">INDEX(DM:DM,MIN(IF(ISNUMBER(DM63:DM259),ROW(DM63:DM259),"")))</f>
        <v>16.8</v>
      </c>
      <c r="DO63" s="13">
        <f>IF('Données projet'!$A$166&gt;35,DO62+DN63-DW62,IF(A63&lt;'Données projet'!$A$166,$DL$205^A63,IF(A63='Données projet'!$A$166,'Données projet'!$B$166,DO62+DN63-DW62)))</f>
        <v>722.99999999999966</v>
      </c>
      <c r="DP63" s="18">
        <f>DO63*VLOOKUP('Données projet'!$B$14,Paramètres!$A$1:$I$89,3,0)*VLOOKUP('Données projet'!$B$14,Paramètres!$A$1:$I$89,5,0)</f>
        <v>404.15699999999987</v>
      </c>
      <c r="DQ63" s="14">
        <f t="shared" si="43"/>
        <v>92.618925393623158</v>
      </c>
      <c r="DR63" s="22">
        <f t="shared" si="16"/>
        <v>865.21807006056008</v>
      </c>
      <c r="DS63" s="62">
        <f t="shared" si="17"/>
        <v>1158.5514033938935</v>
      </c>
      <c r="DT63" s="62">
        <f ca="1">AVERAGE(OFFSET($DS$3,0,0,'Données projet'!$E$14+1,1))-AVERAGE(OFFSET($H$3,0,0,'Données projet'!$E$14+1,1))</f>
        <v>534.78683721545372</v>
      </c>
      <c r="DU63" s="62">
        <f t="shared" si="44"/>
        <v>710.59298755711075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723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1.625</v>
      </c>
      <c r="EJ63" s="13">
        <f>IF('Données projet'!$A$192&gt;35,EJ62+EI63-ER62,IF(A63&lt;'Données projet'!$A$192,$EG$205^A63,IF(A63='Données projet'!$A$192,'Données projet'!$B$192,EJ62+EI63-ER62)))</f>
        <v>332.75</v>
      </c>
      <c r="EK63" s="18">
        <f>EJ63*VLOOKUP('Données projet'!$B$15,Paramètres!$A$1:$I$89,3,0)*VLOOKUP('Données projet'!$B$15,Paramètres!$A$1:$I$89,5,0)</f>
        <v>198.9845</v>
      </c>
      <c r="EL63" s="14">
        <f t="shared" si="45"/>
        <v>49.520925485660449</v>
      </c>
      <c r="EM63" s="22">
        <f t="shared" si="19"/>
        <v>432.81361605419193</v>
      </c>
      <c r="EN63" s="62">
        <f t="shared" si="20"/>
        <v>726.14694938752518</v>
      </c>
      <c r="EO63" s="62">
        <f ca="1">AVERAGE(OFFSET($EN$3,0,0,'Données projet'!$E$15+1,1))-AVERAGE(OFFSET($H$3,0,0,'Données projet'!$E$15+1,1))</f>
        <v>292.87204407272162</v>
      </c>
      <c r="EP63" s="62">
        <f t="shared" si="46"/>
        <v>326.06531673481805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-1.6671037883497774E-13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451.25506262546861</v>
      </c>
      <c r="T64" s="62">
        <f t="shared" si="34"/>
        <v>534.19872447444368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-1.1368683772161603E-13</v>
      </c>
      <c r="AJ64" s="14">
        <f>AI64*VLOOKUP('Données projet'!$B$10,Paramètres!$A$1:$I$89,3,0)*VLOOKUP('Données projet'!$B$10,Paramètres!$A$1:$I$89,5,0)</f>
        <v>-8.8675733422860506E-14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252.84702735189455</v>
      </c>
      <c r="AO64" s="62">
        <f t="shared" si="36"/>
        <v>283.48738729114024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-1.1368683772161603E-13</v>
      </c>
      <c r="BE64" s="14">
        <f>BD64*VLOOKUP('Données projet'!$B$11,Paramètres!$A$1:$I$89,3,0)*VLOOKUP('Données projet'!$B$11,Paramètres!$A$1:$I$89,5,0)</f>
        <v>-7.626113074366004E-14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221.98516361836096</v>
      </c>
      <c r="BJ64" s="62">
        <f t="shared" si="38"/>
        <v>249.72262393661117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-1.1368683772161603E-13</v>
      </c>
      <c r="BZ64" s="14">
        <f>BY64*VLOOKUP('Données projet'!$B$12,Paramètres!$A$1:$I$89,3,0)*VLOOKUP('Données projet'!$B$12,Paramètres!$A$1:$I$89,5,0)</f>
        <v>-9.0449248091317723E-14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257.24784840892409</v>
      </c>
      <c r="CE64" s="62">
        <f t="shared" si="40"/>
        <v>288.30197520356643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5.6843418860808015E-14</v>
      </c>
      <c r="CU64" s="18">
        <f>CT64*VLOOKUP('Données projet'!$B$13,Paramètres!$A$1:$I$89,3,0)*VLOOKUP('Données projet'!$B$13,Paramètres!$A$1:$I$89,5,0)</f>
        <v>2.6602720026858149E-14</v>
      </c>
      <c r="CV64" s="14">
        <f t="shared" si="41"/>
        <v>4.6624771586320878E-13</v>
      </c>
      <c r="CW64" s="22">
        <f t="shared" si="13"/>
        <v>8.583811758418665E-13</v>
      </c>
      <c r="CX64" s="62">
        <f t="shared" si="14"/>
        <v>293.33333333333417</v>
      </c>
      <c r="CY64" s="62">
        <f ca="1">AVERAGE(OFFSET($CX$3,0,0,'Données projet'!$E$13+1,1))-AVERAGE(OFFSET($H$3,0,0,'Données projet'!$E$13+1,1))</f>
        <v>199.0086462069545</v>
      </c>
      <c r="CZ64" s="62">
        <f t="shared" si="42"/>
        <v>254.08208375594057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-3.4106051316484809E-13</v>
      </c>
      <c r="DP64" s="18">
        <f>DO64*VLOOKUP('Données projet'!$B$14,Paramètres!$A$1:$I$89,3,0)*VLOOKUP('Données projet'!$B$14,Paramètres!$A$1:$I$89,5,0)</f>
        <v>-1.9065282685915009E-13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534.78683721545372</v>
      </c>
      <c r="DU64" s="62">
        <f t="shared" si="44"/>
        <v>710.59298755711075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1.625</v>
      </c>
      <c r="EJ64" s="13">
        <f>IF('Données projet'!$A$192&gt;35,EJ63+EI64-ER63,IF(A64&lt;'Données projet'!$A$192,$EG$205^A64,IF(A64='Données projet'!$A$192,'Données projet'!$B$192,EJ63+EI64-ER63)))</f>
        <v>334.375</v>
      </c>
      <c r="EK64" s="18">
        <f>EJ64*VLOOKUP('Données projet'!$B$15,Paramètres!$A$1:$I$89,3,0)*VLOOKUP('Données projet'!$B$15,Paramètres!$A$1:$I$89,5,0)</f>
        <v>199.95625000000001</v>
      </c>
      <c r="EL64" s="14">
        <f t="shared" si="45"/>
        <v>49.734552677144002</v>
      </c>
      <c r="EM64" s="22">
        <f t="shared" si="19"/>
        <v>434.87814799602575</v>
      </c>
      <c r="EN64" s="62">
        <f t="shared" si="20"/>
        <v>728.211481329359</v>
      </c>
      <c r="EO64" s="62">
        <f ca="1">AVERAGE(OFFSET($EN$3,0,0,'Données projet'!$E$15+1,1))-AVERAGE(OFFSET($H$3,0,0,'Données projet'!$E$15+1,1))</f>
        <v>292.87204407272162</v>
      </c>
      <c r="EP64" s="62">
        <f t="shared" si="46"/>
        <v>326.06531673481805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-1.6671037883497774E-13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451.25506262546861</v>
      </c>
      <c r="T65" s="62">
        <f t="shared" si="34"/>
        <v>534.19872447444368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-1.1368683772161603E-13</v>
      </c>
      <c r="AJ65" s="14">
        <f>AI65*VLOOKUP('Données projet'!$B$10,Paramètres!$A$1:$I$89,3,0)*VLOOKUP('Données projet'!$B$10,Paramètres!$A$1:$I$89,5,0)</f>
        <v>-8.8675733422860506E-14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252.84702735189455</v>
      </c>
      <c r="AO65" s="62">
        <f t="shared" si="36"/>
        <v>283.48738729114024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-1.1368683772161603E-13</v>
      </c>
      <c r="BE65" s="14">
        <f>BD65*VLOOKUP('Données projet'!$B$11,Paramètres!$A$1:$I$89,3,0)*VLOOKUP('Données projet'!$B$11,Paramètres!$A$1:$I$89,5,0)</f>
        <v>-7.626113074366004E-14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221.98516361836096</v>
      </c>
      <c r="BJ65" s="62">
        <f t="shared" si="38"/>
        <v>249.72262393661117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-1.1368683772161603E-13</v>
      </c>
      <c r="BZ65" s="14">
        <f>BY65*VLOOKUP('Données projet'!$B$12,Paramètres!$A$1:$I$89,3,0)*VLOOKUP('Données projet'!$B$12,Paramètres!$A$1:$I$89,5,0)</f>
        <v>-9.0449248091317723E-14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257.24784840892409</v>
      </c>
      <c r="CE65" s="62">
        <f t="shared" si="40"/>
        <v>288.30197520356643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5.6843418860808015E-14</v>
      </c>
      <c r="CU65" s="18">
        <f>CT65*VLOOKUP('Données projet'!$B$13,Paramètres!$A$1:$I$89,3,0)*VLOOKUP('Données projet'!$B$13,Paramètres!$A$1:$I$89,5,0)</f>
        <v>2.6602720026858149E-14</v>
      </c>
      <c r="CV65" s="14">
        <f t="shared" si="41"/>
        <v>4.6624771586320878E-13</v>
      </c>
      <c r="CW65" s="22">
        <f t="shared" si="13"/>
        <v>8.583811758418665E-13</v>
      </c>
      <c r="CX65" s="62">
        <f t="shared" si="14"/>
        <v>293.33333333333417</v>
      </c>
      <c r="CY65" s="62">
        <f ca="1">AVERAGE(OFFSET($CX$3,0,0,'Données projet'!$E$13+1,1))-AVERAGE(OFFSET($H$3,0,0,'Données projet'!$E$13+1,1))</f>
        <v>199.0086462069545</v>
      </c>
      <c r="CZ65" s="62">
        <f t="shared" si="42"/>
        <v>254.08208375594057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-3.4106051316484809E-13</v>
      </c>
      <c r="DP65" s="18">
        <f>DO65*VLOOKUP('Données projet'!$B$14,Paramètres!$A$1:$I$89,3,0)*VLOOKUP('Données projet'!$B$14,Paramètres!$A$1:$I$89,5,0)</f>
        <v>-1.9065282685915009E-13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534.78683721545372</v>
      </c>
      <c r="DU65" s="62">
        <f t="shared" si="44"/>
        <v>710.59298755711075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>
        <f>VLOOKUP(A65,'Données projet'!$A$191:$I$211,2,0)</f>
        <v>336</v>
      </c>
      <c r="EH65" s="13">
        <f>VLOOKUP(A65,'Données projet'!$A$191:$I$211,9,0)</f>
        <v>1.625</v>
      </c>
      <c r="EI65" s="13">
        <f t="array" ref="EI65">INDEX(EH:EH,MIN(IF(ISNUMBER(EH65:EH261),ROW(EH65:EH261),"")))</f>
        <v>1.625</v>
      </c>
      <c r="EJ65" s="13">
        <f>IF('Données projet'!$A$192&gt;35,EJ64+EI65-ER64,IF(A65&lt;'Données projet'!$A$192,$EG$205^A65,IF(A65='Données projet'!$A$192,'Données projet'!$B$192,EJ64+EI65-ER64)))</f>
        <v>336</v>
      </c>
      <c r="EK65" s="18">
        <f>EJ65*VLOOKUP('Données projet'!$B$15,Paramètres!$A$1:$I$89,3,0)*VLOOKUP('Données projet'!$B$15,Paramètres!$A$1:$I$89,5,0)</f>
        <v>200.928</v>
      </c>
      <c r="EL65" s="14">
        <f t="shared" si="45"/>
        <v>49.948059057189042</v>
      </c>
      <c r="EM65" s="22">
        <f t="shared" si="19"/>
        <v>436.94246952460418</v>
      </c>
      <c r="EN65" s="62">
        <f t="shared" si="20"/>
        <v>730.27580285793749</v>
      </c>
      <c r="EO65" s="62">
        <f ca="1">AVERAGE(OFFSET($EN$3,0,0,'Données projet'!$E$15+1,1))-AVERAGE(OFFSET($H$3,0,0,'Données projet'!$E$15+1,1))</f>
        <v>292.87204407272162</v>
      </c>
      <c r="EP65" s="62">
        <f t="shared" si="46"/>
        <v>326.06531673481805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336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-1.6671037883497774E-13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451.25506262546861</v>
      </c>
      <c r="T66" s="62">
        <f t="shared" si="34"/>
        <v>534.19872447444368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-1.1368683772161603E-13</v>
      </c>
      <c r="AJ66" s="14">
        <f>AI66*VLOOKUP('Données projet'!$B$10,Paramètres!$A$1:$I$89,3,0)*VLOOKUP('Données projet'!$B$10,Paramètres!$A$1:$I$89,5,0)</f>
        <v>-8.8675733422860506E-14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252.84702735189455</v>
      </c>
      <c r="AO66" s="62">
        <f t="shared" si="36"/>
        <v>283.48738729114024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-1.1368683772161603E-13</v>
      </c>
      <c r="BE66" s="14">
        <f>BD66*VLOOKUP('Données projet'!$B$11,Paramètres!$A$1:$I$89,3,0)*VLOOKUP('Données projet'!$B$11,Paramètres!$A$1:$I$89,5,0)</f>
        <v>-7.626113074366004E-14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221.98516361836096</v>
      </c>
      <c r="BJ66" s="62">
        <f t="shared" si="38"/>
        <v>249.72262393661117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-1.1368683772161603E-13</v>
      </c>
      <c r="BZ66" s="14">
        <f>BY66*VLOOKUP('Données projet'!$B$12,Paramètres!$A$1:$I$89,3,0)*VLOOKUP('Données projet'!$B$12,Paramètres!$A$1:$I$89,5,0)</f>
        <v>-9.0449248091317723E-14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257.24784840892409</v>
      </c>
      <c r="CE66" s="62">
        <f t="shared" si="40"/>
        <v>288.30197520356643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5.6843418860808015E-14</v>
      </c>
      <c r="CU66" s="18">
        <f>CT66*VLOOKUP('Données projet'!$B$13,Paramètres!$A$1:$I$89,3,0)*VLOOKUP('Données projet'!$B$13,Paramètres!$A$1:$I$89,5,0)</f>
        <v>2.6602720026858149E-14</v>
      </c>
      <c r="CV66" s="14">
        <f t="shared" si="41"/>
        <v>4.6624771586320878E-13</v>
      </c>
      <c r="CW66" s="22">
        <f t="shared" si="13"/>
        <v>8.583811758418665E-13</v>
      </c>
      <c r="CX66" s="62">
        <f t="shared" si="14"/>
        <v>293.33333333333417</v>
      </c>
      <c r="CY66" s="62">
        <f ca="1">AVERAGE(OFFSET($CX$3,0,0,'Données projet'!$E$13+1,1))-AVERAGE(OFFSET($H$3,0,0,'Données projet'!$E$13+1,1))</f>
        <v>199.0086462069545</v>
      </c>
      <c r="CZ66" s="62">
        <f t="shared" si="42"/>
        <v>254.08208375594057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-3.4106051316484809E-13</v>
      </c>
      <c r="DP66" s="18">
        <f>DO66*VLOOKUP('Données projet'!$B$14,Paramètres!$A$1:$I$89,3,0)*VLOOKUP('Données projet'!$B$14,Paramètres!$A$1:$I$89,5,0)</f>
        <v>-1.9065282685915009E-13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534.78683721545372</v>
      </c>
      <c r="DU66" s="62">
        <f t="shared" si="44"/>
        <v>710.59298755711075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>
        <f>EJ66*VLOOKUP('Données projet'!$B$15,Paramètres!$A$1:$I$89,3,0)*VLOOKUP('Données projet'!$B$15,Paramètres!$A$1:$I$89,5,0)</f>
        <v>0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292.87204407272162</v>
      </c>
      <c r="EP66" s="62">
        <f t="shared" si="46"/>
        <v>326.06531673481805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-1.6671037883497774E-13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451.25506262546861</v>
      </c>
      <c r="T67" s="62">
        <f t="shared" si="34"/>
        <v>534.19872447444368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-1.1368683772161603E-13</v>
      </c>
      <c r="AJ67" s="14">
        <f>AI67*VLOOKUP('Données projet'!$B$10,Paramètres!$A$1:$I$89,3,0)*VLOOKUP('Données projet'!$B$10,Paramètres!$A$1:$I$89,5,0)</f>
        <v>-8.8675733422860506E-14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252.84702735189455</v>
      </c>
      <c r="AO67" s="62">
        <f t="shared" si="36"/>
        <v>283.48738729114024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-1.1368683772161603E-13</v>
      </c>
      <c r="BE67" s="14">
        <f>BD67*VLOOKUP('Données projet'!$B$11,Paramètres!$A$1:$I$89,3,0)*VLOOKUP('Données projet'!$B$11,Paramètres!$A$1:$I$89,5,0)</f>
        <v>-7.626113074366004E-14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221.98516361836096</v>
      </c>
      <c r="BJ67" s="62">
        <f t="shared" si="38"/>
        <v>249.72262393661117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-1.1368683772161603E-13</v>
      </c>
      <c r="BZ67" s="14">
        <f>BY67*VLOOKUP('Données projet'!$B$12,Paramètres!$A$1:$I$89,3,0)*VLOOKUP('Données projet'!$B$12,Paramètres!$A$1:$I$89,5,0)</f>
        <v>-9.0449248091317723E-14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257.24784840892409</v>
      </c>
      <c r="CE67" s="62">
        <f t="shared" si="40"/>
        <v>288.30197520356643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5.6843418860808015E-14</v>
      </c>
      <c r="CU67" s="18">
        <f>CT67*VLOOKUP('Données projet'!$B$13,Paramètres!$A$1:$I$89,3,0)*VLOOKUP('Données projet'!$B$13,Paramètres!$A$1:$I$89,5,0)</f>
        <v>2.6602720026858149E-14</v>
      </c>
      <c r="CV67" s="14">
        <f t="shared" si="41"/>
        <v>4.6624771586320878E-13</v>
      </c>
      <c r="CW67" s="22">
        <f t="shared" si="13"/>
        <v>8.583811758418665E-13</v>
      </c>
      <c r="CX67" s="62">
        <f t="shared" si="14"/>
        <v>293.33333333333417</v>
      </c>
      <c r="CY67" s="62">
        <f ca="1">AVERAGE(OFFSET($CX$3,0,0,'Données projet'!$E$13+1,1))-AVERAGE(OFFSET($H$3,0,0,'Données projet'!$E$13+1,1))</f>
        <v>199.0086462069545</v>
      </c>
      <c r="CZ67" s="62">
        <f t="shared" si="42"/>
        <v>254.08208375594057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-3.4106051316484809E-13</v>
      </c>
      <c r="DP67" s="18">
        <f>DO67*VLOOKUP('Données projet'!$B$14,Paramètres!$A$1:$I$89,3,0)*VLOOKUP('Données projet'!$B$14,Paramètres!$A$1:$I$89,5,0)</f>
        <v>-1.9065282685915009E-13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534.78683721545372</v>
      </c>
      <c r="DU67" s="62">
        <f t="shared" si="44"/>
        <v>710.59298755711075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>
        <f>EJ67*VLOOKUP('Données projet'!$B$15,Paramètres!$A$1:$I$89,3,0)*VLOOKUP('Données projet'!$B$15,Paramètres!$A$1:$I$89,5,0)</f>
        <v>0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292.87204407272162</v>
      </c>
      <c r="EP67" s="62">
        <f t="shared" si="46"/>
        <v>326.06531673481805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-1.6671037883497774E-13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451.25506262546861</v>
      </c>
      <c r="T68" s="62">
        <f t="shared" si="34"/>
        <v>534.19872447444368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-1.1368683772161603E-13</v>
      </c>
      <c r="AJ68" s="14">
        <f>AI68*VLOOKUP('Données projet'!$B$10,Paramètres!$A$1:$I$89,3,0)*VLOOKUP('Données projet'!$B$10,Paramètres!$A$1:$I$89,5,0)</f>
        <v>-8.8675733422860506E-14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252.84702735189455</v>
      </c>
      <c r="AO68" s="62">
        <f t="shared" si="36"/>
        <v>283.48738729114024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-1.1368683772161603E-13</v>
      </c>
      <c r="BE68" s="14">
        <f>BD68*VLOOKUP('Données projet'!$B$11,Paramètres!$A$1:$I$89,3,0)*VLOOKUP('Données projet'!$B$11,Paramètres!$A$1:$I$89,5,0)</f>
        <v>-7.626113074366004E-14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221.98516361836096</v>
      </c>
      <c r="BJ68" s="62">
        <f t="shared" si="38"/>
        <v>249.72262393661117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-1.1368683772161603E-13</v>
      </c>
      <c r="BZ68" s="14">
        <f>BY68*VLOOKUP('Données projet'!$B$12,Paramètres!$A$1:$I$89,3,0)*VLOOKUP('Données projet'!$B$12,Paramètres!$A$1:$I$89,5,0)</f>
        <v>-9.0449248091317723E-14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257.24784840892409</v>
      </c>
      <c r="CE68" s="62">
        <f t="shared" si="40"/>
        <v>288.30197520356643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5.6843418860808015E-14</v>
      </c>
      <c r="CU68" s="18">
        <f>CT68*VLOOKUP('Données projet'!$B$13,Paramètres!$A$1:$I$89,3,0)*VLOOKUP('Données projet'!$B$13,Paramètres!$A$1:$I$89,5,0)</f>
        <v>2.6602720026858149E-14</v>
      </c>
      <c r="CV68" s="14">
        <f t="shared" si="41"/>
        <v>4.6624771586320878E-13</v>
      </c>
      <c r="CW68" s="22">
        <f t="shared" ref="CW68:CW131" si="67">(CU68+CV68)*0.475*44/12</f>
        <v>8.583811758418665E-13</v>
      </c>
      <c r="CX68" s="62">
        <f t="shared" ref="CX68:CX131" si="68">CW68+(CO68+CP68)*44/12</f>
        <v>293.33333333333417</v>
      </c>
      <c r="CY68" s="62">
        <f ca="1">AVERAGE(OFFSET($CX$3,0,0,'Données projet'!$E$13+1,1))-AVERAGE(OFFSET($H$3,0,0,'Données projet'!$E$13+1,1))</f>
        <v>199.0086462069545</v>
      </c>
      <c r="CZ68" s="62">
        <f t="shared" si="42"/>
        <v>254.08208375594057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-3.4106051316484809E-13</v>
      </c>
      <c r="DP68" s="18">
        <f>DO68*VLOOKUP('Données projet'!$B$14,Paramètres!$A$1:$I$89,3,0)*VLOOKUP('Données projet'!$B$14,Paramètres!$A$1:$I$89,5,0)</f>
        <v>-1.9065282685915009E-13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534.78683721545372</v>
      </c>
      <c r="DU68" s="62">
        <f t="shared" si="44"/>
        <v>710.59298755711075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>
        <f>EJ68*VLOOKUP('Données projet'!$B$15,Paramètres!$A$1:$I$89,3,0)*VLOOKUP('Données projet'!$B$15,Paramètres!$A$1:$I$89,5,0)</f>
        <v>0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292.87204407272162</v>
      </c>
      <c r="EP68" s="62">
        <f t="shared" si="46"/>
        <v>326.06531673481805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-1.6671037883497774E-13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451.25506262546861</v>
      </c>
      <c r="T69" s="62">
        <f t="shared" ref="T69:T132" si="88">$T$3</f>
        <v>534.19872447444368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-1.1368683772161603E-13</v>
      </c>
      <c r="AJ69" s="14">
        <f>AI69*VLOOKUP('Données projet'!$B$10,Paramètres!$A$1:$I$89,3,0)*VLOOKUP('Données projet'!$B$10,Paramètres!$A$1:$I$89,5,0)</f>
        <v>-8.8675733422860506E-14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252.84702735189455</v>
      </c>
      <c r="AO69" s="62">
        <f t="shared" ref="AO69:AO132" si="90">$AO$3</f>
        <v>283.48738729114024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-1.1368683772161603E-13</v>
      </c>
      <c r="BE69" s="14">
        <f>BD69*VLOOKUP('Données projet'!$B$11,Paramètres!$A$1:$I$89,3,0)*VLOOKUP('Données projet'!$B$11,Paramètres!$A$1:$I$89,5,0)</f>
        <v>-7.626113074366004E-14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221.98516361836096</v>
      </c>
      <c r="BJ69" s="62">
        <f t="shared" ref="BJ69:BJ132" si="92">$BJ$3</f>
        <v>249.72262393661117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-9.0449248091317723E-14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257.24784840892409</v>
      </c>
      <c r="CE69" s="62">
        <f t="shared" ref="CE69:CE132" si="94">$CE$3</f>
        <v>288.30197520356643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5.6843418860808015E-14</v>
      </c>
      <c r="CU69" s="18">
        <f>CT69*VLOOKUP('Données projet'!$B$13,Paramètres!$A$1:$I$89,3,0)*VLOOKUP('Données projet'!$B$13,Paramètres!$A$1:$I$89,5,0)</f>
        <v>2.6602720026858149E-14</v>
      </c>
      <c r="CV69" s="14">
        <f t="shared" ref="CV69:CV132" si="95">EXP(-1.0587+0.8836*LN(CU69)+0.284)</f>
        <v>4.6624771586320878E-13</v>
      </c>
      <c r="CW69" s="22">
        <f t="shared" si="67"/>
        <v>8.583811758418665E-13</v>
      </c>
      <c r="CX69" s="62">
        <f t="shared" si="68"/>
        <v>293.33333333333417</v>
      </c>
      <c r="CY69" s="62">
        <f ca="1">AVERAGE(OFFSET($CX$3,0,0,'Données projet'!$E$13+1,1))-AVERAGE(OFFSET($H$3,0,0,'Données projet'!$E$13+1,1))</f>
        <v>199.0086462069545</v>
      </c>
      <c r="CZ69" s="62">
        <f t="shared" ref="CZ69:CZ132" si="96">$CZ$3</f>
        <v>254.08208375594057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-3.4106051316484809E-13</v>
      </c>
      <c r="DP69" s="18">
        <f>DO69*VLOOKUP('Données projet'!$B$14,Paramètres!$A$1:$I$89,3,0)*VLOOKUP('Données projet'!$B$14,Paramètres!$A$1:$I$89,5,0)</f>
        <v>-1.9065282685915009E-13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534.78683721545372</v>
      </c>
      <c r="DU69" s="62">
        <f t="shared" ref="DU69:DU132" si="98">$DU$3</f>
        <v>710.59298755711075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>
        <f>EJ69*VLOOKUP('Données projet'!$B$15,Paramètres!$A$1:$I$89,3,0)*VLOOKUP('Données projet'!$B$15,Paramètres!$A$1:$I$89,5,0)</f>
        <v>0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292.87204407272162</v>
      </c>
      <c r="EP69" s="62">
        <f t="shared" ref="EP69:EP132" si="100">$EP$3</f>
        <v>326.06531673481805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-1.6671037883497774E-13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451.25506262546861</v>
      </c>
      <c r="T70" s="62">
        <f t="shared" si="88"/>
        <v>534.19872447444368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-1.1368683772161603E-13</v>
      </c>
      <c r="AJ70" s="14">
        <f>AI70*VLOOKUP('Données projet'!$B$10,Paramètres!$A$1:$I$89,3,0)*VLOOKUP('Données projet'!$B$10,Paramètres!$A$1:$I$89,5,0)</f>
        <v>-8.8675733422860506E-14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252.84702735189455</v>
      </c>
      <c r="AO70" s="62">
        <f t="shared" si="90"/>
        <v>283.48738729114024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-1.1368683772161603E-13</v>
      </c>
      <c r="BE70" s="14">
        <f>BD70*VLOOKUP('Données projet'!$B$11,Paramètres!$A$1:$I$89,3,0)*VLOOKUP('Données projet'!$B$11,Paramètres!$A$1:$I$89,5,0)</f>
        <v>-7.626113074366004E-14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221.98516361836096</v>
      </c>
      <c r="BJ70" s="62">
        <f t="shared" si="92"/>
        <v>249.72262393661117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-9.0449248091317723E-14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257.24784840892409</v>
      </c>
      <c r="CE70" s="62">
        <f t="shared" si="94"/>
        <v>288.30197520356643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5.6843418860808015E-14</v>
      </c>
      <c r="CU70" s="18">
        <f>CT70*VLOOKUP('Données projet'!$B$13,Paramètres!$A$1:$I$89,3,0)*VLOOKUP('Données projet'!$B$13,Paramètres!$A$1:$I$89,5,0)</f>
        <v>2.6602720026858149E-14</v>
      </c>
      <c r="CV70" s="14">
        <f t="shared" si="95"/>
        <v>4.6624771586320878E-13</v>
      </c>
      <c r="CW70" s="22">
        <f t="shared" si="67"/>
        <v>8.583811758418665E-13</v>
      </c>
      <c r="CX70" s="62">
        <f t="shared" si="68"/>
        <v>293.33333333333417</v>
      </c>
      <c r="CY70" s="62">
        <f ca="1">AVERAGE(OFFSET($CX$3,0,0,'Données projet'!$E$13+1,1))-AVERAGE(OFFSET($H$3,0,0,'Données projet'!$E$13+1,1))</f>
        <v>199.0086462069545</v>
      </c>
      <c r="CZ70" s="62">
        <f t="shared" si="96"/>
        <v>254.08208375594057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-3.4106051316484809E-13</v>
      </c>
      <c r="DP70" s="18">
        <f>DO70*VLOOKUP('Données projet'!$B$14,Paramètres!$A$1:$I$89,3,0)*VLOOKUP('Données projet'!$B$14,Paramètres!$A$1:$I$89,5,0)</f>
        <v>-1.9065282685915009E-13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534.78683721545372</v>
      </c>
      <c r="DU70" s="62">
        <f t="shared" si="98"/>
        <v>710.59298755711075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>
        <f>EJ70*VLOOKUP('Données projet'!$B$15,Paramètres!$A$1:$I$89,3,0)*VLOOKUP('Données projet'!$B$15,Paramètres!$A$1:$I$89,5,0)</f>
        <v>0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292.87204407272162</v>
      </c>
      <c r="EP70" s="62">
        <f t="shared" si="100"/>
        <v>326.06531673481805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-1.6671037883497774E-13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451.25506262546861</v>
      </c>
      <c r="T71" s="62">
        <f t="shared" si="88"/>
        <v>534.19872447444368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-1.1368683772161603E-13</v>
      </c>
      <c r="AJ71" s="14">
        <f>AI71*VLOOKUP('Données projet'!$B$10,Paramètres!$A$1:$I$89,3,0)*VLOOKUP('Données projet'!$B$10,Paramètres!$A$1:$I$89,5,0)</f>
        <v>-8.8675733422860506E-14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252.84702735189455</v>
      </c>
      <c r="AO71" s="62">
        <f t="shared" si="90"/>
        <v>283.48738729114024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-1.1368683772161603E-13</v>
      </c>
      <c r="BE71" s="14">
        <f>BD71*VLOOKUP('Données projet'!$B$11,Paramètres!$A$1:$I$89,3,0)*VLOOKUP('Données projet'!$B$11,Paramètres!$A$1:$I$89,5,0)</f>
        <v>-7.626113074366004E-14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221.98516361836096</v>
      </c>
      <c r="BJ71" s="62">
        <f t="shared" si="92"/>
        <v>249.72262393661117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-9.0449248091317723E-14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257.24784840892409</v>
      </c>
      <c r="CE71" s="62">
        <f t="shared" si="94"/>
        <v>288.30197520356643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5.6843418860808015E-14</v>
      </c>
      <c r="CU71" s="18">
        <f>CT71*VLOOKUP('Données projet'!$B$13,Paramètres!$A$1:$I$89,3,0)*VLOOKUP('Données projet'!$B$13,Paramètres!$A$1:$I$89,5,0)</f>
        <v>2.6602720026858149E-14</v>
      </c>
      <c r="CV71" s="14">
        <f t="shared" si="95"/>
        <v>4.6624771586320878E-13</v>
      </c>
      <c r="CW71" s="22">
        <f t="shared" si="67"/>
        <v>8.583811758418665E-13</v>
      </c>
      <c r="CX71" s="62">
        <f t="shared" si="68"/>
        <v>293.33333333333417</v>
      </c>
      <c r="CY71" s="62">
        <f ca="1">AVERAGE(OFFSET($CX$3,0,0,'Données projet'!$E$13+1,1))-AVERAGE(OFFSET($H$3,0,0,'Données projet'!$E$13+1,1))</f>
        <v>199.0086462069545</v>
      </c>
      <c r="CZ71" s="62">
        <f t="shared" si="96"/>
        <v>254.08208375594057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-3.4106051316484809E-13</v>
      </c>
      <c r="DP71" s="18">
        <f>DO71*VLOOKUP('Données projet'!$B$14,Paramètres!$A$1:$I$89,3,0)*VLOOKUP('Données projet'!$B$14,Paramètres!$A$1:$I$89,5,0)</f>
        <v>-1.9065282685915009E-13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534.78683721545372</v>
      </c>
      <c r="DU71" s="62">
        <f t="shared" si="98"/>
        <v>710.59298755711075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>
        <f>EJ71*VLOOKUP('Données projet'!$B$15,Paramètres!$A$1:$I$89,3,0)*VLOOKUP('Données projet'!$B$15,Paramètres!$A$1:$I$89,5,0)</f>
        <v>0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292.87204407272162</v>
      </c>
      <c r="EP71" s="62">
        <f t="shared" si="100"/>
        <v>326.06531673481805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-1.6671037883497774E-13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451.25506262546861</v>
      </c>
      <c r="T72" s="62">
        <f t="shared" si="88"/>
        <v>534.19872447444368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-1.1368683772161603E-13</v>
      </c>
      <c r="AJ72" s="14">
        <f>AI72*VLOOKUP('Données projet'!$B$10,Paramètres!$A$1:$I$89,3,0)*VLOOKUP('Données projet'!$B$10,Paramètres!$A$1:$I$89,5,0)</f>
        <v>-8.8675733422860506E-14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252.84702735189455</v>
      </c>
      <c r="AO72" s="62">
        <f t="shared" si="90"/>
        <v>283.48738729114024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-1.1368683772161603E-13</v>
      </c>
      <c r="BE72" s="14">
        <f>BD72*VLOOKUP('Données projet'!$B$11,Paramètres!$A$1:$I$89,3,0)*VLOOKUP('Données projet'!$B$11,Paramètres!$A$1:$I$89,5,0)</f>
        <v>-7.626113074366004E-14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221.98516361836096</v>
      </c>
      <c r="BJ72" s="62">
        <f t="shared" si="92"/>
        <v>249.72262393661117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-9.0449248091317723E-14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257.24784840892409</v>
      </c>
      <c r="CE72" s="62">
        <f t="shared" si="94"/>
        <v>288.30197520356643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5.6843418860808015E-14</v>
      </c>
      <c r="CU72" s="18">
        <f>CT72*VLOOKUP('Données projet'!$B$13,Paramètres!$A$1:$I$89,3,0)*VLOOKUP('Données projet'!$B$13,Paramètres!$A$1:$I$89,5,0)</f>
        <v>2.6602720026858149E-14</v>
      </c>
      <c r="CV72" s="14">
        <f t="shared" si="95"/>
        <v>4.6624771586320878E-13</v>
      </c>
      <c r="CW72" s="22">
        <f t="shared" si="67"/>
        <v>8.583811758418665E-13</v>
      </c>
      <c r="CX72" s="62">
        <f t="shared" si="68"/>
        <v>293.33333333333417</v>
      </c>
      <c r="CY72" s="62">
        <f ca="1">AVERAGE(OFFSET($CX$3,0,0,'Données projet'!$E$13+1,1))-AVERAGE(OFFSET($H$3,0,0,'Données projet'!$E$13+1,1))</f>
        <v>199.0086462069545</v>
      </c>
      <c r="CZ72" s="62">
        <f t="shared" si="96"/>
        <v>254.08208375594057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-3.4106051316484809E-13</v>
      </c>
      <c r="DP72" s="18">
        <f>DO72*VLOOKUP('Données projet'!$B$14,Paramètres!$A$1:$I$89,3,0)*VLOOKUP('Données projet'!$B$14,Paramètres!$A$1:$I$89,5,0)</f>
        <v>-1.9065282685915009E-13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534.78683721545372</v>
      </c>
      <c r="DU72" s="62">
        <f t="shared" si="98"/>
        <v>710.59298755711075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>
        <f>EJ72*VLOOKUP('Données projet'!$B$15,Paramètres!$A$1:$I$89,3,0)*VLOOKUP('Données projet'!$B$15,Paramètres!$A$1:$I$89,5,0)</f>
        <v>0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292.87204407272162</v>
      </c>
      <c r="EP72" s="62">
        <f t="shared" si="100"/>
        <v>326.06531673481805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-1.6671037883497774E-13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451.25506262546861</v>
      </c>
      <c r="T73" s="62">
        <f t="shared" si="88"/>
        <v>534.19872447444368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-1.1368683772161603E-13</v>
      </c>
      <c r="AJ73" s="14">
        <f>AI73*VLOOKUP('Données projet'!$B$10,Paramètres!$A$1:$I$89,3,0)*VLOOKUP('Données projet'!$B$10,Paramètres!$A$1:$I$89,5,0)</f>
        <v>-8.8675733422860506E-14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252.84702735189455</v>
      </c>
      <c r="AO73" s="62">
        <f t="shared" si="90"/>
        <v>283.48738729114024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-1.1368683772161603E-13</v>
      </c>
      <c r="BE73" s="14">
        <f>BD73*VLOOKUP('Données projet'!$B$11,Paramètres!$A$1:$I$89,3,0)*VLOOKUP('Données projet'!$B$11,Paramètres!$A$1:$I$89,5,0)</f>
        <v>-7.626113074366004E-14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221.98516361836096</v>
      </c>
      <c r="BJ73" s="62">
        <f t="shared" si="92"/>
        <v>249.72262393661117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-9.0449248091317723E-14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257.24784840892409</v>
      </c>
      <c r="CE73" s="62">
        <f t="shared" si="94"/>
        <v>288.30197520356643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2.6602720026858149E-14</v>
      </c>
      <c r="CV73" s="14">
        <f t="shared" si="95"/>
        <v>4.6624771586320878E-13</v>
      </c>
      <c r="CW73" s="22">
        <f t="shared" si="67"/>
        <v>8.583811758418665E-13</v>
      </c>
      <c r="CX73" s="62">
        <f t="shared" si="68"/>
        <v>293.33333333333417</v>
      </c>
      <c r="CY73" s="62">
        <f ca="1">AVERAGE(OFFSET($CX$3,0,0,'Données projet'!$E$13+1,1))-AVERAGE(OFFSET($H$3,0,0,'Données projet'!$E$13+1,1))</f>
        <v>199.0086462069545</v>
      </c>
      <c r="CZ73" s="62">
        <f t="shared" si="96"/>
        <v>254.08208375594057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-3.4106051316484809E-13</v>
      </c>
      <c r="DP73" s="18">
        <f>DO73*VLOOKUP('Données projet'!$B$14,Paramètres!$A$1:$I$89,3,0)*VLOOKUP('Données projet'!$B$14,Paramètres!$A$1:$I$89,5,0)</f>
        <v>-1.9065282685915009E-13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534.78683721545372</v>
      </c>
      <c r="DU73" s="62">
        <f t="shared" si="98"/>
        <v>710.59298755711075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>
        <f>EJ73*VLOOKUP('Données projet'!$B$15,Paramètres!$A$1:$I$89,3,0)*VLOOKUP('Données projet'!$B$15,Paramètres!$A$1:$I$89,5,0)</f>
        <v>0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292.87204407272162</v>
      </c>
      <c r="EP73" s="62">
        <f t="shared" si="100"/>
        <v>326.06531673481805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-1.6671037883497774E-13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451.25506262546861</v>
      </c>
      <c r="T74" s="62">
        <f t="shared" si="88"/>
        <v>534.19872447444368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-1.1368683772161603E-13</v>
      </c>
      <c r="AJ74" s="14">
        <f>AI74*VLOOKUP('Données projet'!$B$10,Paramètres!$A$1:$I$89,3,0)*VLOOKUP('Données projet'!$B$10,Paramètres!$A$1:$I$89,5,0)</f>
        <v>-8.8675733422860506E-14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252.84702735189455</v>
      </c>
      <c r="AO74" s="62">
        <f t="shared" si="90"/>
        <v>283.48738729114024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-1.1368683772161603E-13</v>
      </c>
      <c r="BE74" s="14">
        <f>BD74*VLOOKUP('Données projet'!$B$11,Paramètres!$A$1:$I$89,3,0)*VLOOKUP('Données projet'!$B$11,Paramètres!$A$1:$I$89,5,0)</f>
        <v>-7.626113074366004E-14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221.98516361836096</v>
      </c>
      <c r="BJ74" s="62">
        <f t="shared" si="92"/>
        <v>249.72262393661117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-9.0449248091317723E-14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257.24784840892409</v>
      </c>
      <c r="CE74" s="62">
        <f t="shared" si="94"/>
        <v>288.30197520356643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2.6602720026858149E-14</v>
      </c>
      <c r="CV74" s="14">
        <f t="shared" si="95"/>
        <v>4.6624771586320878E-13</v>
      </c>
      <c r="CW74" s="22">
        <f t="shared" si="67"/>
        <v>8.583811758418665E-13</v>
      </c>
      <c r="CX74" s="62">
        <f t="shared" si="68"/>
        <v>293.33333333333417</v>
      </c>
      <c r="CY74" s="62">
        <f ca="1">AVERAGE(OFFSET($CX$3,0,0,'Données projet'!$E$13+1,1))-AVERAGE(OFFSET($H$3,0,0,'Données projet'!$E$13+1,1))</f>
        <v>199.0086462069545</v>
      </c>
      <c r="CZ74" s="62">
        <f t="shared" si="96"/>
        <v>254.08208375594057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-3.4106051316484809E-13</v>
      </c>
      <c r="DP74" s="18">
        <f>DO74*VLOOKUP('Données projet'!$B$14,Paramètres!$A$1:$I$89,3,0)*VLOOKUP('Données projet'!$B$14,Paramètres!$A$1:$I$89,5,0)</f>
        <v>-1.9065282685915009E-13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534.78683721545372</v>
      </c>
      <c r="DU74" s="62">
        <f t="shared" si="98"/>
        <v>710.59298755711075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>
        <f>EJ74*VLOOKUP('Données projet'!$B$15,Paramètres!$A$1:$I$89,3,0)*VLOOKUP('Données projet'!$B$15,Paramètres!$A$1:$I$89,5,0)</f>
        <v>0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292.87204407272162</v>
      </c>
      <c r="EP74" s="62">
        <f t="shared" si="100"/>
        <v>326.06531673481805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-1.6671037883497774E-13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451.25506262546861</v>
      </c>
      <c r="T75" s="62">
        <f t="shared" si="88"/>
        <v>534.19872447444368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-1.1368683772161603E-13</v>
      </c>
      <c r="AJ75" s="14">
        <f>AI75*VLOOKUP('Données projet'!$B$10,Paramètres!$A$1:$I$89,3,0)*VLOOKUP('Données projet'!$B$10,Paramètres!$A$1:$I$89,5,0)</f>
        <v>-8.8675733422860506E-14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252.84702735189455</v>
      </c>
      <c r="AO75" s="62">
        <f t="shared" si="90"/>
        <v>283.48738729114024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-1.1368683772161603E-13</v>
      </c>
      <c r="BE75" s="14">
        <f>BD75*VLOOKUP('Données projet'!$B$11,Paramètres!$A$1:$I$89,3,0)*VLOOKUP('Données projet'!$B$11,Paramètres!$A$1:$I$89,5,0)</f>
        <v>-7.626113074366004E-14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221.98516361836096</v>
      </c>
      <c r="BJ75" s="62">
        <f t="shared" si="92"/>
        <v>249.72262393661117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-9.0449248091317723E-14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257.24784840892409</v>
      </c>
      <c r="CE75" s="62">
        <f t="shared" si="94"/>
        <v>288.30197520356643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2.6602720026858149E-14</v>
      </c>
      <c r="CV75" s="14">
        <f t="shared" si="95"/>
        <v>4.6624771586320878E-13</v>
      </c>
      <c r="CW75" s="22">
        <f t="shared" si="67"/>
        <v>8.583811758418665E-13</v>
      </c>
      <c r="CX75" s="62">
        <f t="shared" si="68"/>
        <v>293.33333333333417</v>
      </c>
      <c r="CY75" s="62">
        <f ca="1">AVERAGE(OFFSET($CX$3,0,0,'Données projet'!$E$13+1,1))-AVERAGE(OFFSET($H$3,0,0,'Données projet'!$E$13+1,1))</f>
        <v>199.0086462069545</v>
      </c>
      <c r="CZ75" s="62">
        <f t="shared" si="96"/>
        <v>254.08208375594057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-3.4106051316484809E-13</v>
      </c>
      <c r="DP75" s="18">
        <f>DO75*VLOOKUP('Données projet'!$B$14,Paramètres!$A$1:$I$89,3,0)*VLOOKUP('Données projet'!$B$14,Paramètres!$A$1:$I$89,5,0)</f>
        <v>-1.9065282685915009E-13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534.78683721545372</v>
      </c>
      <c r="DU75" s="62">
        <f t="shared" si="98"/>
        <v>710.59298755711075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>
        <f>EJ75*VLOOKUP('Données projet'!$B$15,Paramètres!$A$1:$I$89,3,0)*VLOOKUP('Données projet'!$B$15,Paramètres!$A$1:$I$89,5,0)</f>
        <v>0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292.87204407272162</v>
      </c>
      <c r="EP75" s="62">
        <f t="shared" si="100"/>
        <v>326.06531673481805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-1.6671037883497774E-13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451.25506262546861</v>
      </c>
      <c r="T76" s="62">
        <f t="shared" si="88"/>
        <v>534.19872447444368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-1.1368683772161603E-13</v>
      </c>
      <c r="AJ76" s="14">
        <f>AI76*VLOOKUP('Données projet'!$B$10,Paramètres!$A$1:$I$89,3,0)*VLOOKUP('Données projet'!$B$10,Paramètres!$A$1:$I$89,5,0)</f>
        <v>-8.8675733422860506E-14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252.84702735189455</v>
      </c>
      <c r="AO76" s="62">
        <f t="shared" si="90"/>
        <v>283.48738729114024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-1.1368683772161603E-13</v>
      </c>
      <c r="BE76" s="14">
        <f>BD76*VLOOKUP('Données projet'!$B$11,Paramètres!$A$1:$I$89,3,0)*VLOOKUP('Données projet'!$B$11,Paramètres!$A$1:$I$89,5,0)</f>
        <v>-7.626113074366004E-14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221.98516361836096</v>
      </c>
      <c r="BJ76" s="62">
        <f t="shared" si="92"/>
        <v>249.72262393661117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-9.0449248091317723E-14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257.24784840892409</v>
      </c>
      <c r="CE76" s="62">
        <f t="shared" si="94"/>
        <v>288.30197520356643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2.6602720026858149E-14</v>
      </c>
      <c r="CV76" s="14">
        <f t="shared" si="95"/>
        <v>4.6624771586320878E-13</v>
      </c>
      <c r="CW76" s="22">
        <f t="shared" si="67"/>
        <v>8.583811758418665E-13</v>
      </c>
      <c r="CX76" s="62">
        <f t="shared" si="68"/>
        <v>293.33333333333417</v>
      </c>
      <c r="CY76" s="62">
        <f ca="1">AVERAGE(OFFSET($CX$3,0,0,'Données projet'!$E$13+1,1))-AVERAGE(OFFSET($H$3,0,0,'Données projet'!$E$13+1,1))</f>
        <v>199.0086462069545</v>
      </c>
      <c r="CZ76" s="62">
        <f t="shared" si="96"/>
        <v>254.08208375594057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-3.4106051316484809E-13</v>
      </c>
      <c r="DP76" s="18">
        <f>DO76*VLOOKUP('Données projet'!$B$14,Paramètres!$A$1:$I$89,3,0)*VLOOKUP('Données projet'!$B$14,Paramètres!$A$1:$I$89,5,0)</f>
        <v>-1.9065282685915009E-13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534.78683721545372</v>
      </c>
      <c r="DU76" s="62">
        <f t="shared" si="98"/>
        <v>710.59298755711075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>
        <f>EJ76*VLOOKUP('Données projet'!$B$15,Paramètres!$A$1:$I$89,3,0)*VLOOKUP('Données projet'!$B$15,Paramètres!$A$1:$I$89,5,0)</f>
        <v>0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292.87204407272162</v>
      </c>
      <c r="EP76" s="62">
        <f t="shared" si="100"/>
        <v>326.06531673481805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-1.6671037883497774E-13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451.25506262546861</v>
      </c>
      <c r="T77" s="62">
        <f t="shared" si="88"/>
        <v>534.19872447444368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-1.1368683772161603E-13</v>
      </c>
      <c r="AJ77" s="14">
        <f>AI77*VLOOKUP('Données projet'!$B$10,Paramètres!$A$1:$I$89,3,0)*VLOOKUP('Données projet'!$B$10,Paramètres!$A$1:$I$89,5,0)</f>
        <v>-8.8675733422860506E-14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252.84702735189455</v>
      </c>
      <c r="AO77" s="62">
        <f t="shared" si="90"/>
        <v>283.48738729114024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-1.1368683772161603E-13</v>
      </c>
      <c r="BE77" s="14">
        <f>BD77*VLOOKUP('Données projet'!$B$11,Paramètres!$A$1:$I$89,3,0)*VLOOKUP('Données projet'!$B$11,Paramètres!$A$1:$I$89,5,0)</f>
        <v>-7.626113074366004E-14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221.98516361836096</v>
      </c>
      <c r="BJ77" s="62">
        <f t="shared" si="92"/>
        <v>249.72262393661117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-9.0449248091317723E-14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257.24784840892409</v>
      </c>
      <c r="CE77" s="62">
        <f t="shared" si="94"/>
        <v>288.30197520356643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2.6602720026858149E-14</v>
      </c>
      <c r="CV77" s="14">
        <f t="shared" si="95"/>
        <v>4.6624771586320878E-13</v>
      </c>
      <c r="CW77" s="22">
        <f t="shared" si="67"/>
        <v>8.583811758418665E-13</v>
      </c>
      <c r="CX77" s="62">
        <f t="shared" si="68"/>
        <v>293.33333333333417</v>
      </c>
      <c r="CY77" s="62">
        <f ca="1">AVERAGE(OFFSET($CX$3,0,0,'Données projet'!$E$13+1,1))-AVERAGE(OFFSET($H$3,0,0,'Données projet'!$E$13+1,1))</f>
        <v>199.0086462069545</v>
      </c>
      <c r="CZ77" s="62">
        <f t="shared" si="96"/>
        <v>254.08208375594057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-3.4106051316484809E-13</v>
      </c>
      <c r="DP77" s="18">
        <f>DO77*VLOOKUP('Données projet'!$B$14,Paramètres!$A$1:$I$89,3,0)*VLOOKUP('Données projet'!$B$14,Paramètres!$A$1:$I$89,5,0)</f>
        <v>-1.9065282685915009E-13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534.78683721545372</v>
      </c>
      <c r="DU77" s="62">
        <f t="shared" si="98"/>
        <v>710.59298755711075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>
        <f>EJ77*VLOOKUP('Données projet'!$B$15,Paramètres!$A$1:$I$89,3,0)*VLOOKUP('Données projet'!$B$15,Paramètres!$A$1:$I$89,5,0)</f>
        <v>0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292.87204407272162</v>
      </c>
      <c r="EP77" s="62">
        <f t="shared" si="100"/>
        <v>326.06531673481805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-1.6671037883497774E-13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451.25506262546861</v>
      </c>
      <c r="T78" s="62">
        <f t="shared" si="88"/>
        <v>534.19872447444368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-1.1368683772161603E-13</v>
      </c>
      <c r="AJ78" s="14">
        <f>AI78*VLOOKUP('Données projet'!$B$10,Paramètres!$A$1:$I$89,3,0)*VLOOKUP('Données projet'!$B$10,Paramètres!$A$1:$I$89,5,0)</f>
        <v>-8.8675733422860506E-14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252.84702735189455</v>
      </c>
      <c r="AO78" s="62">
        <f t="shared" si="90"/>
        <v>283.48738729114024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-1.1368683772161603E-13</v>
      </c>
      <c r="BE78" s="14">
        <f>BD78*VLOOKUP('Données projet'!$B$11,Paramètres!$A$1:$I$89,3,0)*VLOOKUP('Données projet'!$B$11,Paramètres!$A$1:$I$89,5,0)</f>
        <v>-7.626113074366004E-14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221.98516361836096</v>
      </c>
      <c r="BJ78" s="62">
        <f t="shared" si="92"/>
        <v>249.72262393661117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-9.0449248091317723E-14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257.24784840892409</v>
      </c>
      <c r="CE78" s="62">
        <f t="shared" si="94"/>
        <v>288.30197520356643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2.6602720026858149E-14</v>
      </c>
      <c r="CV78" s="14">
        <f t="shared" si="95"/>
        <v>4.6624771586320878E-13</v>
      </c>
      <c r="CW78" s="22">
        <f t="shared" si="67"/>
        <v>8.583811758418665E-13</v>
      </c>
      <c r="CX78" s="62">
        <f t="shared" si="68"/>
        <v>293.33333333333417</v>
      </c>
      <c r="CY78" s="62">
        <f ca="1">AVERAGE(OFFSET($CX$3,0,0,'Données projet'!$E$13+1,1))-AVERAGE(OFFSET($H$3,0,0,'Données projet'!$E$13+1,1))</f>
        <v>199.0086462069545</v>
      </c>
      <c r="CZ78" s="62">
        <f t="shared" si="96"/>
        <v>254.08208375594057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-3.4106051316484809E-13</v>
      </c>
      <c r="DP78" s="18">
        <f>DO78*VLOOKUP('Données projet'!$B$14,Paramètres!$A$1:$I$89,3,0)*VLOOKUP('Données projet'!$B$14,Paramètres!$A$1:$I$89,5,0)</f>
        <v>-1.9065282685915009E-13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534.78683721545372</v>
      </c>
      <c r="DU78" s="62">
        <f t="shared" si="98"/>
        <v>710.59298755711075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>
        <f>EJ78*VLOOKUP('Données projet'!$B$15,Paramètres!$A$1:$I$89,3,0)*VLOOKUP('Données projet'!$B$15,Paramètres!$A$1:$I$89,5,0)</f>
        <v>0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292.87204407272162</v>
      </c>
      <c r="EP78" s="62">
        <f t="shared" si="100"/>
        <v>326.06531673481805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-1.6671037883497774E-13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451.25506262546861</v>
      </c>
      <c r="T79" s="62">
        <f t="shared" si="88"/>
        <v>534.19872447444368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-1.1368683772161603E-13</v>
      </c>
      <c r="AJ79" s="14">
        <f>AI79*VLOOKUP('Données projet'!$B$10,Paramètres!$A$1:$I$89,3,0)*VLOOKUP('Données projet'!$B$10,Paramètres!$A$1:$I$89,5,0)</f>
        <v>-8.8675733422860506E-14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252.84702735189455</v>
      </c>
      <c r="AO79" s="62">
        <f t="shared" si="90"/>
        <v>283.48738729114024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-1.1368683772161603E-13</v>
      </c>
      <c r="BE79" s="14">
        <f>BD79*VLOOKUP('Données projet'!$B$11,Paramètres!$A$1:$I$89,3,0)*VLOOKUP('Données projet'!$B$11,Paramètres!$A$1:$I$89,5,0)</f>
        <v>-7.626113074366004E-14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221.98516361836096</v>
      </c>
      <c r="BJ79" s="62">
        <f t="shared" si="92"/>
        <v>249.72262393661117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-9.0449248091317723E-14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257.24784840892409</v>
      </c>
      <c r="CE79" s="62">
        <f t="shared" si="94"/>
        <v>288.30197520356643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2.6602720026858149E-14</v>
      </c>
      <c r="CV79" s="14">
        <f t="shared" si="95"/>
        <v>4.6624771586320878E-13</v>
      </c>
      <c r="CW79" s="22">
        <f t="shared" si="67"/>
        <v>8.583811758418665E-13</v>
      </c>
      <c r="CX79" s="62">
        <f t="shared" si="68"/>
        <v>293.33333333333417</v>
      </c>
      <c r="CY79" s="62">
        <f ca="1">AVERAGE(OFFSET($CX$3,0,0,'Données projet'!$E$13+1,1))-AVERAGE(OFFSET($H$3,0,0,'Données projet'!$E$13+1,1))</f>
        <v>199.0086462069545</v>
      </c>
      <c r="CZ79" s="62">
        <f t="shared" si="96"/>
        <v>254.08208375594057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-3.4106051316484809E-13</v>
      </c>
      <c r="DP79" s="18">
        <f>DO79*VLOOKUP('Données projet'!$B$14,Paramètres!$A$1:$I$89,3,0)*VLOOKUP('Données projet'!$B$14,Paramètres!$A$1:$I$89,5,0)</f>
        <v>-1.9065282685915009E-13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534.78683721545372</v>
      </c>
      <c r="DU79" s="62">
        <f t="shared" si="98"/>
        <v>710.59298755711075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>
        <f>EJ79*VLOOKUP('Données projet'!$B$15,Paramètres!$A$1:$I$89,3,0)*VLOOKUP('Données projet'!$B$15,Paramètres!$A$1:$I$89,5,0)</f>
        <v>0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292.87204407272162</v>
      </c>
      <c r="EP79" s="62">
        <f t="shared" si="100"/>
        <v>326.06531673481805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-1.6671037883497774E-13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451.25506262546861</v>
      </c>
      <c r="T80" s="62">
        <f t="shared" si="88"/>
        <v>534.19872447444368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-1.1368683772161603E-13</v>
      </c>
      <c r="AJ80" s="14">
        <f>AI80*VLOOKUP('Données projet'!$B$10,Paramètres!$A$1:$I$89,3,0)*VLOOKUP('Données projet'!$B$10,Paramètres!$A$1:$I$89,5,0)</f>
        <v>-8.8675733422860506E-14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252.84702735189455</v>
      </c>
      <c r="AO80" s="62">
        <f t="shared" si="90"/>
        <v>283.48738729114024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-1.1368683772161603E-13</v>
      </c>
      <c r="BE80" s="14">
        <f>BD80*VLOOKUP('Données projet'!$B$11,Paramètres!$A$1:$I$89,3,0)*VLOOKUP('Données projet'!$B$11,Paramètres!$A$1:$I$89,5,0)</f>
        <v>-7.626113074366004E-14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221.98516361836096</v>
      </c>
      <c r="BJ80" s="62">
        <f t="shared" si="92"/>
        <v>249.72262393661117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-9.0449248091317723E-14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257.24784840892409</v>
      </c>
      <c r="CE80" s="62">
        <f t="shared" si="94"/>
        <v>288.30197520356643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2.6602720026858149E-14</v>
      </c>
      <c r="CV80" s="14">
        <f t="shared" si="95"/>
        <v>4.6624771586320878E-13</v>
      </c>
      <c r="CW80" s="22">
        <f t="shared" si="67"/>
        <v>8.583811758418665E-13</v>
      </c>
      <c r="CX80" s="62">
        <f t="shared" si="68"/>
        <v>293.33333333333417</v>
      </c>
      <c r="CY80" s="62">
        <f ca="1">AVERAGE(OFFSET($CX$3,0,0,'Données projet'!$E$13+1,1))-AVERAGE(OFFSET($H$3,0,0,'Données projet'!$E$13+1,1))</f>
        <v>199.0086462069545</v>
      </c>
      <c r="CZ80" s="62">
        <f t="shared" si="96"/>
        <v>254.08208375594057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-3.4106051316484809E-13</v>
      </c>
      <c r="DP80" s="18">
        <f>DO80*VLOOKUP('Données projet'!$B$14,Paramètres!$A$1:$I$89,3,0)*VLOOKUP('Données projet'!$B$14,Paramètres!$A$1:$I$89,5,0)</f>
        <v>-1.9065282685915009E-13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534.78683721545372</v>
      </c>
      <c r="DU80" s="62">
        <f t="shared" si="98"/>
        <v>710.59298755711075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>
        <f>EJ80*VLOOKUP('Données projet'!$B$15,Paramètres!$A$1:$I$89,3,0)*VLOOKUP('Données projet'!$B$15,Paramètres!$A$1:$I$89,5,0)</f>
        <v>0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292.87204407272162</v>
      </c>
      <c r="EP80" s="62">
        <f t="shared" si="100"/>
        <v>326.06531673481805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-1.6671037883497774E-13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451.25506262546861</v>
      </c>
      <c r="T81" s="62">
        <f t="shared" si="88"/>
        <v>534.19872447444368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-1.1368683772161603E-13</v>
      </c>
      <c r="AJ81" s="14">
        <f>AI81*VLOOKUP('Données projet'!$B$10,Paramètres!$A$1:$I$89,3,0)*VLOOKUP('Données projet'!$B$10,Paramètres!$A$1:$I$89,5,0)</f>
        <v>-8.8675733422860506E-14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252.84702735189455</v>
      </c>
      <c r="AO81" s="62">
        <f t="shared" si="90"/>
        <v>283.48738729114024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-1.1368683772161603E-13</v>
      </c>
      <c r="BE81" s="14">
        <f>BD81*VLOOKUP('Données projet'!$B$11,Paramètres!$A$1:$I$89,3,0)*VLOOKUP('Données projet'!$B$11,Paramètres!$A$1:$I$89,5,0)</f>
        <v>-7.626113074366004E-14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221.98516361836096</v>
      </c>
      <c r="BJ81" s="62">
        <f t="shared" si="92"/>
        <v>249.72262393661117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-9.0449248091317723E-14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257.24784840892409</v>
      </c>
      <c r="CE81" s="62">
        <f t="shared" si="94"/>
        <v>288.30197520356643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2.6602720026858149E-14</v>
      </c>
      <c r="CV81" s="14">
        <f t="shared" si="95"/>
        <v>4.6624771586320878E-13</v>
      </c>
      <c r="CW81" s="22">
        <f t="shared" si="67"/>
        <v>8.583811758418665E-13</v>
      </c>
      <c r="CX81" s="62">
        <f t="shared" si="68"/>
        <v>293.33333333333417</v>
      </c>
      <c r="CY81" s="62">
        <f ca="1">AVERAGE(OFFSET($CX$3,0,0,'Données projet'!$E$13+1,1))-AVERAGE(OFFSET($H$3,0,0,'Données projet'!$E$13+1,1))</f>
        <v>199.0086462069545</v>
      </c>
      <c r="CZ81" s="62">
        <f t="shared" si="96"/>
        <v>254.08208375594057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-3.4106051316484809E-13</v>
      </c>
      <c r="DP81" s="18">
        <f>DO81*VLOOKUP('Données projet'!$B$14,Paramètres!$A$1:$I$89,3,0)*VLOOKUP('Données projet'!$B$14,Paramètres!$A$1:$I$89,5,0)</f>
        <v>-1.9065282685915009E-13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534.78683721545372</v>
      </c>
      <c r="DU81" s="62">
        <f t="shared" si="98"/>
        <v>710.59298755711075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>
        <f>EJ81*VLOOKUP('Données projet'!$B$15,Paramètres!$A$1:$I$89,3,0)*VLOOKUP('Données projet'!$B$15,Paramètres!$A$1:$I$89,5,0)</f>
        <v>0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292.87204407272162</v>
      </c>
      <c r="EP81" s="62">
        <f t="shared" si="100"/>
        <v>326.06531673481805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-1.6671037883497774E-13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451.25506262546861</v>
      </c>
      <c r="T82" s="62">
        <f t="shared" si="88"/>
        <v>534.19872447444368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-1.1368683772161603E-13</v>
      </c>
      <c r="AJ82" s="14">
        <f>AI82*VLOOKUP('Données projet'!$B$10,Paramètres!$A$1:$I$89,3,0)*VLOOKUP('Données projet'!$B$10,Paramètres!$A$1:$I$89,5,0)</f>
        <v>-8.8675733422860506E-14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252.84702735189455</v>
      </c>
      <c r="AO82" s="62">
        <f t="shared" si="90"/>
        <v>283.48738729114024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-1.1368683772161603E-13</v>
      </c>
      <c r="BE82" s="14">
        <f>BD82*VLOOKUP('Données projet'!$B$11,Paramètres!$A$1:$I$89,3,0)*VLOOKUP('Données projet'!$B$11,Paramètres!$A$1:$I$89,5,0)</f>
        <v>-7.626113074366004E-14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221.98516361836096</v>
      </c>
      <c r="BJ82" s="62">
        <f t="shared" si="92"/>
        <v>249.72262393661117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-9.0449248091317723E-14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257.24784840892409</v>
      </c>
      <c r="CE82" s="62">
        <f t="shared" si="94"/>
        <v>288.30197520356643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2.6602720026858149E-14</v>
      </c>
      <c r="CV82" s="14">
        <f t="shared" si="95"/>
        <v>4.6624771586320878E-13</v>
      </c>
      <c r="CW82" s="22">
        <f t="shared" si="67"/>
        <v>8.583811758418665E-13</v>
      </c>
      <c r="CX82" s="62">
        <f t="shared" si="68"/>
        <v>293.33333333333417</v>
      </c>
      <c r="CY82" s="62">
        <f ca="1">AVERAGE(OFFSET($CX$3,0,0,'Données projet'!$E$13+1,1))-AVERAGE(OFFSET($H$3,0,0,'Données projet'!$E$13+1,1))</f>
        <v>199.0086462069545</v>
      </c>
      <c r="CZ82" s="62">
        <f t="shared" si="96"/>
        <v>254.08208375594057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-3.4106051316484809E-13</v>
      </c>
      <c r="DP82" s="18">
        <f>DO82*VLOOKUP('Données projet'!$B$14,Paramètres!$A$1:$I$89,3,0)*VLOOKUP('Données projet'!$B$14,Paramètres!$A$1:$I$89,5,0)</f>
        <v>-1.9065282685915009E-13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534.78683721545372</v>
      </c>
      <c r="DU82" s="62">
        <f t="shared" si="98"/>
        <v>710.59298755711075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>
        <f>EJ82*VLOOKUP('Données projet'!$B$15,Paramètres!$A$1:$I$89,3,0)*VLOOKUP('Données projet'!$B$15,Paramètres!$A$1:$I$89,5,0)</f>
        <v>0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292.87204407272162</v>
      </c>
      <c r="EP82" s="62">
        <f t="shared" si="100"/>
        <v>326.06531673481805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-1.6671037883497774E-13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451.25506262546861</v>
      </c>
      <c r="T83" s="62">
        <f t="shared" si="88"/>
        <v>534.19872447444368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-1.1368683772161603E-13</v>
      </c>
      <c r="AJ83" s="14">
        <f>AI83*VLOOKUP('Données projet'!$B$10,Paramètres!$A$1:$I$89,3,0)*VLOOKUP('Données projet'!$B$10,Paramètres!$A$1:$I$89,5,0)</f>
        <v>-8.8675733422860506E-14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252.84702735189455</v>
      </c>
      <c r="AO83" s="62">
        <f t="shared" si="90"/>
        <v>283.48738729114024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-1.1368683772161603E-13</v>
      </c>
      <c r="BE83" s="14">
        <f>BD83*VLOOKUP('Données projet'!$B$11,Paramètres!$A$1:$I$89,3,0)*VLOOKUP('Données projet'!$B$11,Paramètres!$A$1:$I$89,5,0)</f>
        <v>-7.626113074366004E-14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221.98516361836096</v>
      </c>
      <c r="BJ83" s="62">
        <f t="shared" si="92"/>
        <v>249.72262393661117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-9.0449248091317723E-14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257.24784840892409</v>
      </c>
      <c r="CE83" s="62">
        <f t="shared" si="94"/>
        <v>288.30197520356643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2.6602720026858149E-14</v>
      </c>
      <c r="CV83" s="14">
        <f t="shared" si="95"/>
        <v>4.6624771586320878E-13</v>
      </c>
      <c r="CW83" s="22">
        <f t="shared" si="67"/>
        <v>8.583811758418665E-13</v>
      </c>
      <c r="CX83" s="62">
        <f t="shared" si="68"/>
        <v>293.33333333333417</v>
      </c>
      <c r="CY83" s="62">
        <f ca="1">AVERAGE(OFFSET($CX$3,0,0,'Données projet'!$E$13+1,1))-AVERAGE(OFFSET($H$3,0,0,'Données projet'!$E$13+1,1))</f>
        <v>199.0086462069545</v>
      </c>
      <c r="CZ83" s="62">
        <f t="shared" si="96"/>
        <v>254.08208375594057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-3.4106051316484809E-13</v>
      </c>
      <c r="DP83" s="18">
        <f>DO83*VLOOKUP('Données projet'!$B$14,Paramètres!$A$1:$I$89,3,0)*VLOOKUP('Données projet'!$B$14,Paramètres!$A$1:$I$89,5,0)</f>
        <v>-1.9065282685915009E-13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534.78683721545372</v>
      </c>
      <c r="DU83" s="62">
        <f t="shared" si="98"/>
        <v>710.59298755711075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>
        <f>EJ83*VLOOKUP('Données projet'!$B$15,Paramètres!$A$1:$I$89,3,0)*VLOOKUP('Données projet'!$B$15,Paramètres!$A$1:$I$89,5,0)</f>
        <v>0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292.87204407272162</v>
      </c>
      <c r="EP83" s="62">
        <f t="shared" si="100"/>
        <v>326.06531673481805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-1.6671037883497774E-13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451.25506262546861</v>
      </c>
      <c r="T84" s="62">
        <f t="shared" si="88"/>
        <v>534.19872447444368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-8.8675733422860506E-14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252.84702735189455</v>
      </c>
      <c r="AO84" s="62">
        <f t="shared" si="90"/>
        <v>283.48738729114024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-7.626113074366004E-14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221.98516361836096</v>
      </c>
      <c r="BJ84" s="62">
        <f t="shared" si="92"/>
        <v>249.72262393661117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-9.0449248091317723E-14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257.24784840892409</v>
      </c>
      <c r="CE84" s="62">
        <f t="shared" si="94"/>
        <v>288.30197520356643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2.6602720026858149E-14</v>
      </c>
      <c r="CV84" s="14">
        <f t="shared" si="95"/>
        <v>4.6624771586320878E-13</v>
      </c>
      <c r="CW84" s="22">
        <f t="shared" si="67"/>
        <v>8.583811758418665E-13</v>
      </c>
      <c r="CX84" s="62">
        <f t="shared" si="68"/>
        <v>293.33333333333417</v>
      </c>
      <c r="CY84" s="62">
        <f ca="1">AVERAGE(OFFSET($CX$3,0,0,'Données projet'!$E$13+1,1))-AVERAGE(OFFSET($H$3,0,0,'Données projet'!$E$13+1,1))</f>
        <v>199.0086462069545</v>
      </c>
      <c r="CZ84" s="62">
        <f t="shared" si="96"/>
        <v>254.08208375594057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-3.4106051316484809E-13</v>
      </c>
      <c r="DP84" s="18">
        <f>DO84*VLOOKUP('Données projet'!$B$14,Paramètres!$A$1:$I$89,3,0)*VLOOKUP('Données projet'!$B$14,Paramètres!$A$1:$I$89,5,0)</f>
        <v>-1.9065282685915009E-13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534.78683721545372</v>
      </c>
      <c r="DU84" s="62">
        <f t="shared" si="98"/>
        <v>710.59298755711075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>
        <f>EJ84*VLOOKUP('Données projet'!$B$15,Paramètres!$A$1:$I$89,3,0)*VLOOKUP('Données projet'!$B$15,Paramètres!$A$1:$I$89,5,0)</f>
        <v>0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292.87204407272162</v>
      </c>
      <c r="EP84" s="62">
        <f t="shared" si="100"/>
        <v>326.06531673481805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-1.6671037883497774E-13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451.25506262546861</v>
      </c>
      <c r="T85" s="62">
        <f t="shared" si="88"/>
        <v>534.19872447444368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-8.8675733422860506E-14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252.84702735189455</v>
      </c>
      <c r="AO85" s="62">
        <f t="shared" si="90"/>
        <v>283.48738729114024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-7.626113074366004E-14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221.98516361836096</v>
      </c>
      <c r="BJ85" s="62">
        <f t="shared" si="92"/>
        <v>249.72262393661117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-9.0449248091317723E-14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257.24784840892409</v>
      </c>
      <c r="CE85" s="62">
        <f t="shared" si="94"/>
        <v>288.30197520356643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2.6602720026858149E-14</v>
      </c>
      <c r="CV85" s="14">
        <f t="shared" si="95"/>
        <v>4.6624771586320878E-13</v>
      </c>
      <c r="CW85" s="22">
        <f t="shared" si="67"/>
        <v>8.583811758418665E-13</v>
      </c>
      <c r="CX85" s="62">
        <f t="shared" si="68"/>
        <v>293.33333333333417</v>
      </c>
      <c r="CY85" s="62">
        <f ca="1">AVERAGE(OFFSET($CX$3,0,0,'Données projet'!$E$13+1,1))-AVERAGE(OFFSET($H$3,0,0,'Données projet'!$E$13+1,1))</f>
        <v>199.0086462069545</v>
      </c>
      <c r="CZ85" s="62">
        <f t="shared" si="96"/>
        <v>254.08208375594057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-3.4106051316484809E-13</v>
      </c>
      <c r="DP85" s="18">
        <f>DO85*VLOOKUP('Données projet'!$B$14,Paramètres!$A$1:$I$89,3,0)*VLOOKUP('Données projet'!$B$14,Paramètres!$A$1:$I$89,5,0)</f>
        <v>-1.9065282685915009E-13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534.78683721545372</v>
      </c>
      <c r="DU85" s="62">
        <f t="shared" si="98"/>
        <v>710.59298755711075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>
        <f>EJ85*VLOOKUP('Données projet'!$B$15,Paramètres!$A$1:$I$89,3,0)*VLOOKUP('Données projet'!$B$15,Paramètres!$A$1:$I$89,5,0)</f>
        <v>0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292.87204407272162</v>
      </c>
      <c r="EP85" s="62">
        <f t="shared" si="100"/>
        <v>326.06531673481805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-1.6671037883497774E-13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451.25506262546861</v>
      </c>
      <c r="T86" s="62">
        <f t="shared" si="88"/>
        <v>534.19872447444368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-8.8675733422860506E-14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252.84702735189455</v>
      </c>
      <c r="AO86" s="62">
        <f t="shared" si="90"/>
        <v>283.48738729114024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-7.626113074366004E-14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221.98516361836096</v>
      </c>
      <c r="BJ86" s="62">
        <f t="shared" si="92"/>
        <v>249.72262393661117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-9.0449248091317723E-14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257.24784840892409</v>
      </c>
      <c r="CE86" s="62">
        <f t="shared" si="94"/>
        <v>288.30197520356643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2.6602720026858149E-14</v>
      </c>
      <c r="CV86" s="14">
        <f t="shared" si="95"/>
        <v>4.6624771586320878E-13</v>
      </c>
      <c r="CW86" s="22">
        <f t="shared" si="67"/>
        <v>8.583811758418665E-13</v>
      </c>
      <c r="CX86" s="62">
        <f t="shared" si="68"/>
        <v>293.33333333333417</v>
      </c>
      <c r="CY86" s="62">
        <f ca="1">AVERAGE(OFFSET($CX$3,0,0,'Données projet'!$E$13+1,1))-AVERAGE(OFFSET($H$3,0,0,'Données projet'!$E$13+1,1))</f>
        <v>199.0086462069545</v>
      </c>
      <c r="CZ86" s="62">
        <f t="shared" si="96"/>
        <v>254.08208375594057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-3.4106051316484809E-13</v>
      </c>
      <c r="DP86" s="18">
        <f>DO86*VLOOKUP('Données projet'!$B$14,Paramètres!$A$1:$I$89,3,0)*VLOOKUP('Données projet'!$B$14,Paramètres!$A$1:$I$89,5,0)</f>
        <v>-1.9065282685915009E-13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534.78683721545372</v>
      </c>
      <c r="DU86" s="62">
        <f t="shared" si="98"/>
        <v>710.59298755711075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>
        <f>EJ86*VLOOKUP('Données projet'!$B$15,Paramètres!$A$1:$I$89,3,0)*VLOOKUP('Données projet'!$B$15,Paramètres!$A$1:$I$89,5,0)</f>
        <v>0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292.87204407272162</v>
      </c>
      <c r="EP86" s="62">
        <f t="shared" si="100"/>
        <v>326.06531673481805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-1.6671037883497774E-13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451.25506262546861</v>
      </c>
      <c r="T87" s="62">
        <f t="shared" si="88"/>
        <v>534.19872447444368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-8.8675733422860506E-14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252.84702735189455</v>
      </c>
      <c r="AO87" s="62">
        <f t="shared" si="90"/>
        <v>283.48738729114024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-7.626113074366004E-14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221.98516361836096</v>
      </c>
      <c r="BJ87" s="62">
        <f t="shared" si="92"/>
        <v>249.72262393661117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-9.0449248091317723E-14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257.24784840892409</v>
      </c>
      <c r="CE87" s="62">
        <f t="shared" si="94"/>
        <v>288.30197520356643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2.6602720026858149E-14</v>
      </c>
      <c r="CV87" s="14">
        <f t="shared" si="95"/>
        <v>4.6624771586320878E-13</v>
      </c>
      <c r="CW87" s="22">
        <f t="shared" si="67"/>
        <v>8.583811758418665E-13</v>
      </c>
      <c r="CX87" s="62">
        <f t="shared" si="68"/>
        <v>293.33333333333417</v>
      </c>
      <c r="CY87" s="62">
        <f ca="1">AVERAGE(OFFSET($CX$3,0,0,'Données projet'!$E$13+1,1))-AVERAGE(OFFSET($H$3,0,0,'Données projet'!$E$13+1,1))</f>
        <v>199.0086462069545</v>
      </c>
      <c r="CZ87" s="62">
        <f t="shared" si="96"/>
        <v>254.08208375594057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-3.4106051316484809E-13</v>
      </c>
      <c r="DP87" s="18">
        <f>DO87*VLOOKUP('Données projet'!$B$14,Paramètres!$A$1:$I$89,3,0)*VLOOKUP('Données projet'!$B$14,Paramètres!$A$1:$I$89,5,0)</f>
        <v>-1.9065282685915009E-13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534.78683721545372</v>
      </c>
      <c r="DU87" s="62">
        <f t="shared" si="98"/>
        <v>710.59298755711075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>
        <f>EJ87*VLOOKUP('Données projet'!$B$15,Paramètres!$A$1:$I$89,3,0)*VLOOKUP('Données projet'!$B$15,Paramètres!$A$1:$I$89,5,0)</f>
        <v>0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292.87204407272162</v>
      </c>
      <c r="EP87" s="62">
        <f t="shared" si="100"/>
        <v>326.06531673481805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-1.6671037883497774E-13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451.25506262546861</v>
      </c>
      <c r="T88" s="62">
        <f t="shared" si="88"/>
        <v>534.19872447444368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-8.8675733422860506E-14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252.84702735189455</v>
      </c>
      <c r="AO88" s="62">
        <f t="shared" si="90"/>
        <v>283.48738729114024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-7.626113074366004E-14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221.98516361836096</v>
      </c>
      <c r="BJ88" s="62">
        <f t="shared" si="92"/>
        <v>249.72262393661117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-9.0449248091317723E-14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257.24784840892409</v>
      </c>
      <c r="CE88" s="62">
        <f t="shared" si="94"/>
        <v>288.30197520356643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2.6602720026858149E-14</v>
      </c>
      <c r="CV88" s="14">
        <f t="shared" si="95"/>
        <v>4.6624771586320878E-13</v>
      </c>
      <c r="CW88" s="22">
        <f t="shared" si="67"/>
        <v>8.583811758418665E-13</v>
      </c>
      <c r="CX88" s="62">
        <f t="shared" si="68"/>
        <v>293.33333333333417</v>
      </c>
      <c r="CY88" s="62">
        <f ca="1">AVERAGE(OFFSET($CX$3,0,0,'Données projet'!$E$13+1,1))-AVERAGE(OFFSET($H$3,0,0,'Données projet'!$E$13+1,1))</f>
        <v>199.0086462069545</v>
      </c>
      <c r="CZ88" s="62">
        <f t="shared" si="96"/>
        <v>254.08208375594057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-3.4106051316484809E-13</v>
      </c>
      <c r="DP88" s="18">
        <f>DO88*VLOOKUP('Données projet'!$B$14,Paramètres!$A$1:$I$89,3,0)*VLOOKUP('Données projet'!$B$14,Paramètres!$A$1:$I$89,5,0)</f>
        <v>-1.9065282685915009E-13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534.78683721545372</v>
      </c>
      <c r="DU88" s="62">
        <f t="shared" si="98"/>
        <v>710.59298755711075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>
        <f>EJ88*VLOOKUP('Données projet'!$B$15,Paramètres!$A$1:$I$89,3,0)*VLOOKUP('Données projet'!$B$15,Paramètres!$A$1:$I$89,5,0)</f>
        <v>0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292.87204407272162</v>
      </c>
      <c r="EP88" s="62">
        <f t="shared" si="100"/>
        <v>326.06531673481805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-1.6671037883497774E-13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451.25506262546861</v>
      </c>
      <c r="T89" s="62">
        <f t="shared" si="88"/>
        <v>534.19872447444368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-8.8675733422860506E-14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252.84702735189455</v>
      </c>
      <c r="AO89" s="62">
        <f t="shared" si="90"/>
        <v>283.48738729114024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-7.626113074366004E-14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221.98516361836096</v>
      </c>
      <c r="BJ89" s="62">
        <f t="shared" si="92"/>
        <v>249.72262393661117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-9.0449248091317723E-14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257.24784840892409</v>
      </c>
      <c r="CE89" s="62">
        <f t="shared" si="94"/>
        <v>288.30197520356643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2.6602720026858149E-14</v>
      </c>
      <c r="CV89" s="14">
        <f t="shared" si="95"/>
        <v>4.6624771586320878E-13</v>
      </c>
      <c r="CW89" s="22">
        <f t="shared" si="67"/>
        <v>8.583811758418665E-13</v>
      </c>
      <c r="CX89" s="62">
        <f t="shared" si="68"/>
        <v>293.33333333333417</v>
      </c>
      <c r="CY89" s="62">
        <f ca="1">AVERAGE(OFFSET($CX$3,0,0,'Données projet'!$E$13+1,1))-AVERAGE(OFFSET($H$3,0,0,'Données projet'!$E$13+1,1))</f>
        <v>199.0086462069545</v>
      </c>
      <c r="CZ89" s="62">
        <f t="shared" si="96"/>
        <v>254.08208375594057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-3.4106051316484809E-13</v>
      </c>
      <c r="DP89" s="18">
        <f>DO89*VLOOKUP('Données projet'!$B$14,Paramètres!$A$1:$I$89,3,0)*VLOOKUP('Données projet'!$B$14,Paramètres!$A$1:$I$89,5,0)</f>
        <v>-1.9065282685915009E-13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534.78683721545372</v>
      </c>
      <c r="DU89" s="62">
        <f t="shared" si="98"/>
        <v>710.59298755711075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>
        <f>EJ89*VLOOKUP('Données projet'!$B$15,Paramètres!$A$1:$I$89,3,0)*VLOOKUP('Données projet'!$B$15,Paramètres!$A$1:$I$89,5,0)</f>
        <v>0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292.87204407272162</v>
      </c>
      <c r="EP89" s="62">
        <f t="shared" si="100"/>
        <v>326.06531673481805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-1.6671037883497774E-13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451.25506262546861</v>
      </c>
      <c r="T90" s="62">
        <f t="shared" si="88"/>
        <v>534.19872447444368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-8.8675733422860506E-14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252.84702735189455</v>
      </c>
      <c r="AO90" s="62">
        <f t="shared" si="90"/>
        <v>283.48738729114024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-7.626113074366004E-14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221.98516361836096</v>
      </c>
      <c r="BJ90" s="62">
        <f t="shared" si="92"/>
        <v>249.72262393661117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-9.0449248091317723E-14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257.24784840892409</v>
      </c>
      <c r="CE90" s="62">
        <f t="shared" si="94"/>
        <v>288.30197520356643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2.6602720026858149E-14</v>
      </c>
      <c r="CV90" s="14">
        <f t="shared" si="95"/>
        <v>4.6624771586320878E-13</v>
      </c>
      <c r="CW90" s="22">
        <f t="shared" si="67"/>
        <v>8.583811758418665E-13</v>
      </c>
      <c r="CX90" s="62">
        <f t="shared" si="68"/>
        <v>293.33333333333417</v>
      </c>
      <c r="CY90" s="62">
        <f ca="1">AVERAGE(OFFSET($CX$3,0,0,'Données projet'!$E$13+1,1))-AVERAGE(OFFSET($H$3,0,0,'Données projet'!$E$13+1,1))</f>
        <v>199.0086462069545</v>
      </c>
      <c r="CZ90" s="62">
        <f t="shared" si="96"/>
        <v>254.08208375594057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-3.4106051316484809E-13</v>
      </c>
      <c r="DP90" s="18">
        <f>DO90*VLOOKUP('Données projet'!$B$14,Paramètres!$A$1:$I$89,3,0)*VLOOKUP('Données projet'!$B$14,Paramètres!$A$1:$I$89,5,0)</f>
        <v>-1.9065282685915009E-13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534.78683721545372</v>
      </c>
      <c r="DU90" s="62">
        <f t="shared" si="98"/>
        <v>710.59298755711075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>
        <f>EJ90*VLOOKUP('Données projet'!$B$15,Paramètres!$A$1:$I$89,3,0)*VLOOKUP('Données projet'!$B$15,Paramètres!$A$1:$I$89,5,0)</f>
        <v>0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292.87204407272162</v>
      </c>
      <c r="EP90" s="62">
        <f t="shared" si="100"/>
        <v>326.06531673481805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-1.6671037883497774E-13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451.25506262546861</v>
      </c>
      <c r="T91" s="62">
        <f t="shared" si="88"/>
        <v>534.19872447444368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-8.8675733422860506E-14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252.84702735189455</v>
      </c>
      <c r="AO91" s="62">
        <f t="shared" si="90"/>
        <v>283.48738729114024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-7.626113074366004E-14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221.98516361836096</v>
      </c>
      <c r="BJ91" s="62">
        <f t="shared" si="92"/>
        <v>249.72262393661117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-9.0449248091317723E-14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257.24784840892409</v>
      </c>
      <c r="CE91" s="62">
        <f t="shared" si="94"/>
        <v>288.30197520356643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2.6602720026858149E-14</v>
      </c>
      <c r="CV91" s="14">
        <f t="shared" si="95"/>
        <v>4.6624771586320878E-13</v>
      </c>
      <c r="CW91" s="22">
        <f t="shared" si="67"/>
        <v>8.583811758418665E-13</v>
      </c>
      <c r="CX91" s="62">
        <f t="shared" si="68"/>
        <v>293.33333333333417</v>
      </c>
      <c r="CY91" s="62">
        <f ca="1">AVERAGE(OFFSET($CX$3,0,0,'Données projet'!$E$13+1,1))-AVERAGE(OFFSET($H$3,0,0,'Données projet'!$E$13+1,1))</f>
        <v>199.0086462069545</v>
      </c>
      <c r="CZ91" s="62">
        <f t="shared" si="96"/>
        <v>254.08208375594057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-3.4106051316484809E-13</v>
      </c>
      <c r="DP91" s="18">
        <f>DO91*VLOOKUP('Données projet'!$B$14,Paramètres!$A$1:$I$89,3,0)*VLOOKUP('Données projet'!$B$14,Paramètres!$A$1:$I$89,5,0)</f>
        <v>-1.9065282685915009E-13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534.78683721545372</v>
      </c>
      <c r="DU91" s="62">
        <f t="shared" si="98"/>
        <v>710.59298755711075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>
        <f>EJ91*VLOOKUP('Données projet'!$B$15,Paramètres!$A$1:$I$89,3,0)*VLOOKUP('Données projet'!$B$15,Paramètres!$A$1:$I$89,5,0)</f>
        <v>0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292.87204407272162</v>
      </c>
      <c r="EP91" s="62">
        <f t="shared" si="100"/>
        <v>326.06531673481805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-1.6671037883497774E-13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451.25506262546861</v>
      </c>
      <c r="T92" s="62">
        <f t="shared" si="88"/>
        <v>534.19872447444368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-8.8675733422860506E-14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252.84702735189455</v>
      </c>
      <c r="AO92" s="62">
        <f t="shared" si="90"/>
        <v>283.48738729114024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-7.626113074366004E-14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221.98516361836096</v>
      </c>
      <c r="BJ92" s="62">
        <f t="shared" si="92"/>
        <v>249.72262393661117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-9.0449248091317723E-14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257.24784840892409</v>
      </c>
      <c r="CE92" s="62">
        <f t="shared" si="94"/>
        <v>288.30197520356643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2.6602720026858149E-14</v>
      </c>
      <c r="CV92" s="14">
        <f t="shared" si="95"/>
        <v>4.6624771586320878E-13</v>
      </c>
      <c r="CW92" s="22">
        <f t="shared" si="67"/>
        <v>8.583811758418665E-13</v>
      </c>
      <c r="CX92" s="62">
        <f t="shared" si="68"/>
        <v>293.33333333333417</v>
      </c>
      <c r="CY92" s="62">
        <f ca="1">AVERAGE(OFFSET($CX$3,0,0,'Données projet'!$E$13+1,1))-AVERAGE(OFFSET($H$3,0,0,'Données projet'!$E$13+1,1))</f>
        <v>199.0086462069545</v>
      </c>
      <c r="CZ92" s="62">
        <f t="shared" si="96"/>
        <v>254.08208375594057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-3.4106051316484809E-13</v>
      </c>
      <c r="DP92" s="18">
        <f>DO92*VLOOKUP('Données projet'!$B$14,Paramètres!$A$1:$I$89,3,0)*VLOOKUP('Données projet'!$B$14,Paramètres!$A$1:$I$89,5,0)</f>
        <v>-1.9065282685915009E-13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534.78683721545372</v>
      </c>
      <c r="DU92" s="62">
        <f t="shared" si="98"/>
        <v>710.59298755711075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>
        <f>EJ92*VLOOKUP('Données projet'!$B$15,Paramètres!$A$1:$I$89,3,0)*VLOOKUP('Données projet'!$B$15,Paramètres!$A$1:$I$89,5,0)</f>
        <v>0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292.87204407272162</v>
      </c>
      <c r="EP92" s="62">
        <f t="shared" si="100"/>
        <v>326.06531673481805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-1.6671037883497774E-13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451.25506262546861</v>
      </c>
      <c r="T93" s="62">
        <f t="shared" si="88"/>
        <v>534.19872447444368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-8.8675733422860506E-14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252.84702735189455</v>
      </c>
      <c r="AO93" s="62">
        <f t="shared" si="90"/>
        <v>283.48738729114024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-7.626113074366004E-14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221.98516361836096</v>
      </c>
      <c r="BJ93" s="62">
        <f t="shared" si="92"/>
        <v>249.72262393661117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-9.0449248091317723E-14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257.24784840892409</v>
      </c>
      <c r="CE93" s="62">
        <f t="shared" si="94"/>
        <v>288.30197520356643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2.6602720026858149E-14</v>
      </c>
      <c r="CV93" s="14">
        <f t="shared" si="95"/>
        <v>4.6624771586320878E-13</v>
      </c>
      <c r="CW93" s="22">
        <f t="shared" si="67"/>
        <v>8.583811758418665E-13</v>
      </c>
      <c r="CX93" s="62">
        <f t="shared" si="68"/>
        <v>293.33333333333417</v>
      </c>
      <c r="CY93" s="62">
        <f ca="1">AVERAGE(OFFSET($CX$3,0,0,'Données projet'!$E$13+1,1))-AVERAGE(OFFSET($H$3,0,0,'Données projet'!$E$13+1,1))</f>
        <v>199.0086462069545</v>
      </c>
      <c r="CZ93" s="62">
        <f t="shared" si="96"/>
        <v>254.08208375594057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-3.4106051316484809E-13</v>
      </c>
      <c r="DP93" s="18">
        <f>DO93*VLOOKUP('Données projet'!$B$14,Paramètres!$A$1:$I$89,3,0)*VLOOKUP('Données projet'!$B$14,Paramètres!$A$1:$I$89,5,0)</f>
        <v>-1.9065282685915009E-13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534.78683721545372</v>
      </c>
      <c r="DU93" s="62">
        <f t="shared" si="98"/>
        <v>710.59298755711075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>
        <f>EJ93*VLOOKUP('Données projet'!$B$15,Paramètres!$A$1:$I$89,3,0)*VLOOKUP('Données projet'!$B$15,Paramètres!$A$1:$I$89,5,0)</f>
        <v>0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292.87204407272162</v>
      </c>
      <c r="EP93" s="62">
        <f t="shared" si="100"/>
        <v>326.06531673481805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-1.6671037883497774E-13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451.25506262546861</v>
      </c>
      <c r="T94" s="62">
        <f t="shared" si="88"/>
        <v>534.19872447444368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-8.8675733422860506E-14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252.84702735189455</v>
      </c>
      <c r="AO94" s="62">
        <f t="shared" si="90"/>
        <v>283.48738729114024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-7.626113074366004E-14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221.98516361836096</v>
      </c>
      <c r="BJ94" s="62">
        <f t="shared" si="92"/>
        <v>249.72262393661117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-9.0449248091317723E-14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257.24784840892409</v>
      </c>
      <c r="CE94" s="62">
        <f t="shared" si="94"/>
        <v>288.30197520356643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2.6602720026858149E-14</v>
      </c>
      <c r="CV94" s="14">
        <f t="shared" si="95"/>
        <v>4.6624771586320878E-13</v>
      </c>
      <c r="CW94" s="22">
        <f t="shared" si="67"/>
        <v>8.583811758418665E-13</v>
      </c>
      <c r="CX94" s="62">
        <f t="shared" si="68"/>
        <v>293.33333333333417</v>
      </c>
      <c r="CY94" s="62">
        <f ca="1">AVERAGE(OFFSET($CX$3,0,0,'Données projet'!$E$13+1,1))-AVERAGE(OFFSET($H$3,0,0,'Données projet'!$E$13+1,1))</f>
        <v>199.0086462069545</v>
      </c>
      <c r="CZ94" s="62">
        <f t="shared" si="96"/>
        <v>254.08208375594057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-3.4106051316484809E-13</v>
      </c>
      <c r="DP94" s="18">
        <f>DO94*VLOOKUP('Données projet'!$B$14,Paramètres!$A$1:$I$89,3,0)*VLOOKUP('Données projet'!$B$14,Paramètres!$A$1:$I$89,5,0)</f>
        <v>-1.9065282685915009E-13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534.78683721545372</v>
      </c>
      <c r="DU94" s="62">
        <f t="shared" si="98"/>
        <v>710.59298755711075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>
        <f>EJ94*VLOOKUP('Données projet'!$B$15,Paramètres!$A$1:$I$89,3,0)*VLOOKUP('Données projet'!$B$15,Paramètres!$A$1:$I$89,5,0)</f>
        <v>0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292.87204407272162</v>
      </c>
      <c r="EP94" s="62">
        <f t="shared" si="100"/>
        <v>326.06531673481805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-1.6671037883497774E-13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451.25506262546861</v>
      </c>
      <c r="T95" s="62">
        <f t="shared" si="88"/>
        <v>534.19872447444368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-8.8675733422860506E-14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252.84702735189455</v>
      </c>
      <c r="AO95" s="62">
        <f t="shared" si="90"/>
        <v>283.48738729114024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-7.626113074366004E-14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221.98516361836096</v>
      </c>
      <c r="BJ95" s="62">
        <f t="shared" si="92"/>
        <v>249.72262393661117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-9.0449248091317723E-14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257.24784840892409</v>
      </c>
      <c r="CE95" s="62">
        <f t="shared" si="94"/>
        <v>288.30197520356643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2.6602720026858149E-14</v>
      </c>
      <c r="CV95" s="14">
        <f t="shared" si="95"/>
        <v>4.6624771586320878E-13</v>
      </c>
      <c r="CW95" s="22">
        <f t="shared" si="67"/>
        <v>8.583811758418665E-13</v>
      </c>
      <c r="CX95" s="62">
        <f t="shared" si="68"/>
        <v>293.33333333333417</v>
      </c>
      <c r="CY95" s="62">
        <f ca="1">AVERAGE(OFFSET($CX$3,0,0,'Données projet'!$E$13+1,1))-AVERAGE(OFFSET($H$3,0,0,'Données projet'!$E$13+1,1))</f>
        <v>199.0086462069545</v>
      </c>
      <c r="CZ95" s="62">
        <f t="shared" si="96"/>
        <v>254.08208375594057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-3.4106051316484809E-13</v>
      </c>
      <c r="DP95" s="18">
        <f>DO95*VLOOKUP('Données projet'!$B$14,Paramètres!$A$1:$I$89,3,0)*VLOOKUP('Données projet'!$B$14,Paramètres!$A$1:$I$89,5,0)</f>
        <v>-1.9065282685915009E-13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534.78683721545372</v>
      </c>
      <c r="DU95" s="62">
        <f t="shared" si="98"/>
        <v>710.59298755711075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>
        <f>EJ95*VLOOKUP('Données projet'!$B$15,Paramètres!$A$1:$I$89,3,0)*VLOOKUP('Données projet'!$B$15,Paramètres!$A$1:$I$89,5,0)</f>
        <v>0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292.87204407272162</v>
      </c>
      <c r="EP95" s="62">
        <f t="shared" si="100"/>
        <v>326.06531673481805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-1.6671037883497774E-13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451.25506262546861</v>
      </c>
      <c r="T96" s="62">
        <f t="shared" si="88"/>
        <v>534.19872447444368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-8.8675733422860506E-14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252.84702735189455</v>
      </c>
      <c r="AO96" s="62">
        <f t="shared" si="90"/>
        <v>283.48738729114024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-7.626113074366004E-14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221.98516361836096</v>
      </c>
      <c r="BJ96" s="62">
        <f t="shared" si="92"/>
        <v>249.72262393661117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-9.0449248091317723E-14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257.24784840892409</v>
      </c>
      <c r="CE96" s="62">
        <f t="shared" si="94"/>
        <v>288.30197520356643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2.6602720026858149E-14</v>
      </c>
      <c r="CV96" s="14">
        <f t="shared" si="95"/>
        <v>4.6624771586320878E-13</v>
      </c>
      <c r="CW96" s="22">
        <f t="shared" si="67"/>
        <v>8.583811758418665E-13</v>
      </c>
      <c r="CX96" s="62">
        <f t="shared" si="68"/>
        <v>293.33333333333417</v>
      </c>
      <c r="CY96" s="62">
        <f ca="1">AVERAGE(OFFSET($CX$3,0,0,'Données projet'!$E$13+1,1))-AVERAGE(OFFSET($H$3,0,0,'Données projet'!$E$13+1,1))</f>
        <v>199.0086462069545</v>
      </c>
      <c r="CZ96" s="62">
        <f t="shared" si="96"/>
        <v>254.08208375594057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-3.4106051316484809E-13</v>
      </c>
      <c r="DP96" s="18">
        <f>DO96*VLOOKUP('Données projet'!$B$14,Paramètres!$A$1:$I$89,3,0)*VLOOKUP('Données projet'!$B$14,Paramètres!$A$1:$I$89,5,0)</f>
        <v>-1.9065282685915009E-13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534.78683721545372</v>
      </c>
      <c r="DU96" s="62">
        <f t="shared" si="98"/>
        <v>710.59298755711075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>
        <f>EJ96*VLOOKUP('Données projet'!$B$15,Paramètres!$A$1:$I$89,3,0)*VLOOKUP('Données projet'!$B$15,Paramètres!$A$1:$I$89,5,0)</f>
        <v>0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292.87204407272162</v>
      </c>
      <c r="EP96" s="62">
        <f t="shared" si="100"/>
        <v>326.06531673481805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-1.6671037883497774E-13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451.25506262546861</v>
      </c>
      <c r="T97" s="62">
        <f t="shared" si="88"/>
        <v>534.19872447444368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-8.8675733422860506E-14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252.84702735189455</v>
      </c>
      <c r="AO97" s="62">
        <f t="shared" si="90"/>
        <v>283.48738729114024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-7.626113074366004E-14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221.98516361836096</v>
      </c>
      <c r="BJ97" s="62">
        <f t="shared" si="92"/>
        <v>249.72262393661117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-9.0449248091317723E-14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257.24784840892409</v>
      </c>
      <c r="CE97" s="62">
        <f t="shared" si="94"/>
        <v>288.30197520356643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2.6602720026858149E-14</v>
      </c>
      <c r="CV97" s="14">
        <f t="shared" si="95"/>
        <v>4.6624771586320878E-13</v>
      </c>
      <c r="CW97" s="22">
        <f t="shared" si="67"/>
        <v>8.583811758418665E-13</v>
      </c>
      <c r="CX97" s="62">
        <f t="shared" si="68"/>
        <v>293.33333333333417</v>
      </c>
      <c r="CY97" s="62">
        <f ca="1">AVERAGE(OFFSET($CX$3,0,0,'Données projet'!$E$13+1,1))-AVERAGE(OFFSET($H$3,0,0,'Données projet'!$E$13+1,1))</f>
        <v>199.0086462069545</v>
      </c>
      <c r="CZ97" s="62">
        <f t="shared" si="96"/>
        <v>254.08208375594057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-3.4106051316484809E-13</v>
      </c>
      <c r="DP97" s="18">
        <f>DO97*VLOOKUP('Données projet'!$B$14,Paramètres!$A$1:$I$89,3,0)*VLOOKUP('Données projet'!$B$14,Paramètres!$A$1:$I$89,5,0)</f>
        <v>-1.9065282685915009E-13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534.78683721545372</v>
      </c>
      <c r="DU97" s="62">
        <f t="shared" si="98"/>
        <v>710.59298755711075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>
        <f>EJ97*VLOOKUP('Données projet'!$B$15,Paramètres!$A$1:$I$89,3,0)*VLOOKUP('Données projet'!$B$15,Paramètres!$A$1:$I$89,5,0)</f>
        <v>0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292.87204407272162</v>
      </c>
      <c r="EP97" s="62">
        <f t="shared" si="100"/>
        <v>326.06531673481805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-1.6671037883497774E-13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451.25506262546861</v>
      </c>
      <c r="T98" s="62">
        <f t="shared" si="88"/>
        <v>534.19872447444368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-8.8675733422860506E-14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252.84702735189455</v>
      </c>
      <c r="AO98" s="62">
        <f t="shared" si="90"/>
        <v>283.48738729114024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-7.626113074366004E-14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221.98516361836096</v>
      </c>
      <c r="BJ98" s="62">
        <f t="shared" si="92"/>
        <v>249.72262393661117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-9.0449248091317723E-14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257.24784840892409</v>
      </c>
      <c r="CE98" s="62">
        <f t="shared" si="94"/>
        <v>288.30197520356643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2.6602720026858149E-14</v>
      </c>
      <c r="CV98" s="14">
        <f t="shared" si="95"/>
        <v>4.6624771586320878E-13</v>
      </c>
      <c r="CW98" s="22">
        <f t="shared" si="67"/>
        <v>8.583811758418665E-13</v>
      </c>
      <c r="CX98" s="62">
        <f t="shared" si="68"/>
        <v>293.33333333333417</v>
      </c>
      <c r="CY98" s="62">
        <f ca="1">AVERAGE(OFFSET($CX$3,0,0,'Données projet'!$E$13+1,1))-AVERAGE(OFFSET($H$3,0,0,'Données projet'!$E$13+1,1))</f>
        <v>199.0086462069545</v>
      </c>
      <c r="CZ98" s="62">
        <f t="shared" si="96"/>
        <v>254.08208375594057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-3.4106051316484809E-13</v>
      </c>
      <c r="DP98" s="18">
        <f>DO98*VLOOKUP('Données projet'!$B$14,Paramètres!$A$1:$I$89,3,0)*VLOOKUP('Données projet'!$B$14,Paramètres!$A$1:$I$89,5,0)</f>
        <v>-1.9065282685915009E-13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534.78683721545372</v>
      </c>
      <c r="DU98" s="62">
        <f t="shared" si="98"/>
        <v>710.59298755711075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>
        <f>EJ98*VLOOKUP('Données projet'!$B$15,Paramètres!$A$1:$I$89,3,0)*VLOOKUP('Données projet'!$B$15,Paramètres!$A$1:$I$89,5,0)</f>
        <v>0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292.87204407272162</v>
      </c>
      <c r="EP98" s="62">
        <f t="shared" si="100"/>
        <v>326.06531673481805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-1.6671037883497774E-13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451.25506262546861</v>
      </c>
      <c r="T99" s="62">
        <f t="shared" si="88"/>
        <v>534.19872447444368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-8.8675733422860506E-14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252.84702735189455</v>
      </c>
      <c r="AO99" s="62">
        <f t="shared" si="90"/>
        <v>283.48738729114024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-7.626113074366004E-14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221.98516361836096</v>
      </c>
      <c r="BJ99" s="62">
        <f t="shared" si="92"/>
        <v>249.72262393661117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-9.0449248091317723E-14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257.24784840892409</v>
      </c>
      <c r="CE99" s="62">
        <f t="shared" si="94"/>
        <v>288.30197520356643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2.6602720026858149E-14</v>
      </c>
      <c r="CV99" s="14">
        <f t="shared" si="95"/>
        <v>4.6624771586320878E-13</v>
      </c>
      <c r="CW99" s="22">
        <f t="shared" si="67"/>
        <v>8.583811758418665E-13</v>
      </c>
      <c r="CX99" s="62">
        <f t="shared" si="68"/>
        <v>293.33333333333417</v>
      </c>
      <c r="CY99" s="62">
        <f ca="1">AVERAGE(OFFSET($CX$3,0,0,'Données projet'!$E$13+1,1))-AVERAGE(OFFSET($H$3,0,0,'Données projet'!$E$13+1,1))</f>
        <v>199.0086462069545</v>
      </c>
      <c r="CZ99" s="62">
        <f t="shared" si="96"/>
        <v>254.08208375594057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-3.4106051316484809E-13</v>
      </c>
      <c r="DP99" s="18">
        <f>DO99*VLOOKUP('Données projet'!$B$14,Paramètres!$A$1:$I$89,3,0)*VLOOKUP('Données projet'!$B$14,Paramètres!$A$1:$I$89,5,0)</f>
        <v>-1.9065282685915009E-13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534.78683721545372</v>
      </c>
      <c r="DU99" s="62">
        <f t="shared" si="98"/>
        <v>710.59298755711075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>
        <f>EJ99*VLOOKUP('Données projet'!$B$15,Paramètres!$A$1:$I$89,3,0)*VLOOKUP('Données projet'!$B$15,Paramètres!$A$1:$I$89,5,0)</f>
        <v>0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292.87204407272162</v>
      </c>
      <c r="EP99" s="62">
        <f t="shared" si="100"/>
        <v>326.06531673481805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-1.6671037883497774E-13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451.25506262546861</v>
      </c>
      <c r="T100" s="62">
        <f t="shared" si="88"/>
        <v>534.19872447444368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-8.8675733422860506E-14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252.84702735189455</v>
      </c>
      <c r="AO100" s="62">
        <f t="shared" si="90"/>
        <v>283.48738729114024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-7.626113074366004E-14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221.98516361836096</v>
      </c>
      <c r="BJ100" s="62">
        <f t="shared" si="92"/>
        <v>249.72262393661117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-9.0449248091317723E-14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257.24784840892409</v>
      </c>
      <c r="CE100" s="62">
        <f t="shared" si="94"/>
        <v>288.30197520356643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2.6602720026858149E-14</v>
      </c>
      <c r="CV100" s="14">
        <f t="shared" si="95"/>
        <v>4.6624771586320878E-13</v>
      </c>
      <c r="CW100" s="22">
        <f t="shared" si="67"/>
        <v>8.583811758418665E-13</v>
      </c>
      <c r="CX100" s="62">
        <f t="shared" si="68"/>
        <v>293.33333333333417</v>
      </c>
      <c r="CY100" s="62">
        <f ca="1">AVERAGE(OFFSET($CX$3,0,0,'Données projet'!$E$13+1,1))-AVERAGE(OFFSET($H$3,0,0,'Données projet'!$E$13+1,1))</f>
        <v>199.0086462069545</v>
      </c>
      <c r="CZ100" s="62">
        <f t="shared" si="96"/>
        <v>254.08208375594057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-3.4106051316484809E-13</v>
      </c>
      <c r="DP100" s="18">
        <f>DO100*VLOOKUP('Données projet'!$B$14,Paramètres!$A$1:$I$89,3,0)*VLOOKUP('Données projet'!$B$14,Paramètres!$A$1:$I$89,5,0)</f>
        <v>-1.9065282685915009E-13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534.78683721545372</v>
      </c>
      <c r="DU100" s="62">
        <f t="shared" si="98"/>
        <v>710.59298755711075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>
        <f>EJ100*VLOOKUP('Données projet'!$B$15,Paramètres!$A$1:$I$89,3,0)*VLOOKUP('Données projet'!$B$15,Paramètres!$A$1:$I$89,5,0)</f>
        <v>0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292.87204407272162</v>
      </c>
      <c r="EP100" s="62">
        <f t="shared" si="100"/>
        <v>326.06531673481805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-1.6671037883497774E-13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451.25506262546861</v>
      </c>
      <c r="T101" s="62">
        <f t="shared" si="88"/>
        <v>534.19872447444368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-8.8675733422860506E-14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252.84702735189455</v>
      </c>
      <c r="AO101" s="62">
        <f t="shared" si="90"/>
        <v>283.48738729114024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-7.626113074366004E-14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221.98516361836096</v>
      </c>
      <c r="BJ101" s="62">
        <f t="shared" si="92"/>
        <v>249.72262393661117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-9.0449248091317723E-14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257.24784840892409</v>
      </c>
      <c r="CE101" s="62">
        <f t="shared" si="94"/>
        <v>288.30197520356643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2.6602720026858149E-14</v>
      </c>
      <c r="CV101" s="14">
        <f t="shared" si="95"/>
        <v>4.6624771586320878E-13</v>
      </c>
      <c r="CW101" s="22">
        <f t="shared" si="67"/>
        <v>8.583811758418665E-13</v>
      </c>
      <c r="CX101" s="62">
        <f t="shared" si="68"/>
        <v>293.33333333333417</v>
      </c>
      <c r="CY101" s="62">
        <f ca="1">AVERAGE(OFFSET($CX$3,0,0,'Données projet'!$E$13+1,1))-AVERAGE(OFFSET($H$3,0,0,'Données projet'!$E$13+1,1))</f>
        <v>199.0086462069545</v>
      </c>
      <c r="CZ101" s="62">
        <f t="shared" si="96"/>
        <v>254.08208375594057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-3.4106051316484809E-13</v>
      </c>
      <c r="DP101" s="18">
        <f>DO101*VLOOKUP('Données projet'!$B$14,Paramètres!$A$1:$I$89,3,0)*VLOOKUP('Données projet'!$B$14,Paramètres!$A$1:$I$89,5,0)</f>
        <v>-1.9065282685915009E-13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534.78683721545372</v>
      </c>
      <c r="DU101" s="62">
        <f t="shared" si="98"/>
        <v>710.59298755711075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>
        <f>EJ101*VLOOKUP('Données projet'!$B$15,Paramètres!$A$1:$I$89,3,0)*VLOOKUP('Données projet'!$B$15,Paramètres!$A$1:$I$89,5,0)</f>
        <v>0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292.87204407272162</v>
      </c>
      <c r="EP101" s="62">
        <f t="shared" si="100"/>
        <v>326.06531673481805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-1.6671037883497774E-13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451.25506262546861</v>
      </c>
      <c r="T102" s="62">
        <f t="shared" si="88"/>
        <v>534.19872447444368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-8.8675733422860506E-14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252.84702735189455</v>
      </c>
      <c r="AO102" s="62">
        <f t="shared" si="90"/>
        <v>283.48738729114024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-7.626113074366004E-14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221.98516361836096</v>
      </c>
      <c r="BJ102" s="62">
        <f t="shared" si="92"/>
        <v>249.72262393661117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-9.0449248091317723E-14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257.24784840892409</v>
      </c>
      <c r="CE102" s="62">
        <f t="shared" si="94"/>
        <v>288.30197520356643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2.6602720026858149E-14</v>
      </c>
      <c r="CV102" s="14">
        <f t="shared" si="95"/>
        <v>4.6624771586320878E-13</v>
      </c>
      <c r="CW102" s="22">
        <f t="shared" si="67"/>
        <v>8.583811758418665E-13</v>
      </c>
      <c r="CX102" s="62">
        <f t="shared" si="68"/>
        <v>293.33333333333417</v>
      </c>
      <c r="CY102" s="62">
        <f ca="1">AVERAGE(OFFSET($CX$3,0,0,'Données projet'!$E$13+1,1))-AVERAGE(OFFSET($H$3,0,0,'Données projet'!$E$13+1,1))</f>
        <v>199.0086462069545</v>
      </c>
      <c r="CZ102" s="62">
        <f t="shared" si="96"/>
        <v>254.08208375594057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-3.4106051316484809E-13</v>
      </c>
      <c r="DP102" s="18">
        <f>DO102*VLOOKUP('Données projet'!$B$14,Paramètres!$A$1:$I$89,3,0)*VLOOKUP('Données projet'!$B$14,Paramètres!$A$1:$I$89,5,0)</f>
        <v>-1.9065282685915009E-13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534.78683721545372</v>
      </c>
      <c r="DU102" s="62">
        <f t="shared" si="98"/>
        <v>710.59298755711075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>
        <f>EJ102*VLOOKUP('Données projet'!$B$15,Paramètres!$A$1:$I$89,3,0)*VLOOKUP('Données projet'!$B$15,Paramètres!$A$1:$I$89,5,0)</f>
        <v>0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292.87204407272162</v>
      </c>
      <c r="EP102" s="62">
        <f t="shared" si="100"/>
        <v>326.06531673481805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-1.6671037883497774E-13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451.25506262546861</v>
      </c>
      <c r="T103" s="62">
        <f t="shared" si="88"/>
        <v>534.19872447444368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-8.8675733422860506E-14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252.84702735189455</v>
      </c>
      <c r="AO103" s="62">
        <f t="shared" si="90"/>
        <v>283.48738729114024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-7.626113074366004E-14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221.98516361836096</v>
      </c>
      <c r="BJ103" s="62">
        <f t="shared" si="92"/>
        <v>249.72262393661117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-9.0449248091317723E-14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257.24784840892409</v>
      </c>
      <c r="CE103" s="62">
        <f t="shared" si="94"/>
        <v>288.30197520356643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2.6602720026858149E-14</v>
      </c>
      <c r="CV103" s="14">
        <f t="shared" si="95"/>
        <v>4.6624771586320878E-13</v>
      </c>
      <c r="CW103" s="22">
        <f t="shared" si="67"/>
        <v>8.583811758418665E-13</v>
      </c>
      <c r="CX103" s="62">
        <f t="shared" si="68"/>
        <v>293.33333333333417</v>
      </c>
      <c r="CY103" s="62">
        <f ca="1">AVERAGE(OFFSET($CX$3,0,0,'Données projet'!$E$13+1,1))-AVERAGE(OFFSET($H$3,0,0,'Données projet'!$E$13+1,1))</f>
        <v>199.0086462069545</v>
      </c>
      <c r="CZ103" s="62">
        <f t="shared" si="96"/>
        <v>254.08208375594057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-3.4106051316484809E-13</v>
      </c>
      <c r="DP103" s="18">
        <f>DO103*VLOOKUP('Données projet'!$B$14,Paramètres!$A$1:$I$89,3,0)*VLOOKUP('Données projet'!$B$14,Paramètres!$A$1:$I$89,5,0)</f>
        <v>-1.9065282685915009E-13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534.78683721545372</v>
      </c>
      <c r="DU103" s="62">
        <f t="shared" si="98"/>
        <v>710.59298755711075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>
        <f>EJ103*VLOOKUP('Données projet'!$B$15,Paramètres!$A$1:$I$89,3,0)*VLOOKUP('Données projet'!$B$15,Paramètres!$A$1:$I$89,5,0)</f>
        <v>0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292.87204407272162</v>
      </c>
      <c r="EP103" s="62">
        <f t="shared" si="100"/>
        <v>326.06531673481805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-1.6671037883497774E-13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451.25506262546861</v>
      </c>
      <c r="T104" s="62">
        <f t="shared" si="88"/>
        <v>534.19872447444368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-8.8675733422860506E-14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252.84702735189455</v>
      </c>
      <c r="AO104" s="62">
        <f t="shared" si="90"/>
        <v>283.48738729114024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-7.626113074366004E-14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221.98516361836096</v>
      </c>
      <c r="BJ104" s="62">
        <f t="shared" si="92"/>
        <v>249.72262393661117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-9.0449248091317723E-14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257.24784840892409</v>
      </c>
      <c r="CE104" s="62">
        <f t="shared" si="94"/>
        <v>288.30197520356643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2.6602720026858149E-14</v>
      </c>
      <c r="CV104" s="14">
        <f t="shared" si="95"/>
        <v>4.6624771586320878E-13</v>
      </c>
      <c r="CW104" s="22">
        <f t="shared" si="67"/>
        <v>8.583811758418665E-13</v>
      </c>
      <c r="CX104" s="62">
        <f t="shared" si="68"/>
        <v>293.33333333333417</v>
      </c>
      <c r="CY104" s="62">
        <f ca="1">AVERAGE(OFFSET($CX$3,0,0,'Données projet'!$E$13+1,1))-AVERAGE(OFFSET($H$3,0,0,'Données projet'!$E$13+1,1))</f>
        <v>199.0086462069545</v>
      </c>
      <c r="CZ104" s="62">
        <f t="shared" si="96"/>
        <v>254.08208375594057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-3.4106051316484809E-13</v>
      </c>
      <c r="DP104" s="18">
        <f>DO104*VLOOKUP('Données projet'!$B$14,Paramètres!$A$1:$I$89,3,0)*VLOOKUP('Données projet'!$B$14,Paramètres!$A$1:$I$89,5,0)</f>
        <v>-1.9065282685915009E-13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534.78683721545372</v>
      </c>
      <c r="DU104" s="62">
        <f t="shared" si="98"/>
        <v>710.59298755711075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>
        <f>EJ104*VLOOKUP('Données projet'!$B$15,Paramètres!$A$1:$I$89,3,0)*VLOOKUP('Données projet'!$B$15,Paramètres!$A$1:$I$89,5,0)</f>
        <v>0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292.87204407272162</v>
      </c>
      <c r="EP104" s="62">
        <f t="shared" si="100"/>
        <v>326.06531673481805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-1.6671037883497774E-13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451.25506262546861</v>
      </c>
      <c r="T105" s="62">
        <f t="shared" si="88"/>
        <v>534.19872447444368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-8.8675733422860506E-14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252.84702735189455</v>
      </c>
      <c r="AO105" s="62">
        <f t="shared" si="90"/>
        <v>283.48738729114024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-7.626113074366004E-14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221.98516361836096</v>
      </c>
      <c r="BJ105" s="62">
        <f t="shared" si="92"/>
        <v>249.72262393661117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-9.0449248091317723E-14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257.24784840892409</v>
      </c>
      <c r="CE105" s="62">
        <f t="shared" si="94"/>
        <v>288.30197520356643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2.6602720026858149E-14</v>
      </c>
      <c r="CV105" s="14">
        <f t="shared" si="95"/>
        <v>4.6624771586320878E-13</v>
      </c>
      <c r="CW105" s="22">
        <f t="shared" si="67"/>
        <v>8.583811758418665E-13</v>
      </c>
      <c r="CX105" s="62">
        <f t="shared" si="68"/>
        <v>293.33333333333417</v>
      </c>
      <c r="CY105" s="62">
        <f ca="1">AVERAGE(OFFSET($CX$3,0,0,'Données projet'!$E$13+1,1))-AVERAGE(OFFSET($H$3,0,0,'Données projet'!$E$13+1,1))</f>
        <v>199.0086462069545</v>
      </c>
      <c r="CZ105" s="62">
        <f t="shared" si="96"/>
        <v>254.08208375594057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-3.4106051316484809E-13</v>
      </c>
      <c r="DP105" s="18">
        <f>DO105*VLOOKUP('Données projet'!$B$14,Paramètres!$A$1:$I$89,3,0)*VLOOKUP('Données projet'!$B$14,Paramètres!$A$1:$I$89,5,0)</f>
        <v>-1.9065282685915009E-13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534.78683721545372</v>
      </c>
      <c r="DU105" s="62">
        <f t="shared" si="98"/>
        <v>710.59298755711075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>
        <f>EJ105*VLOOKUP('Données projet'!$B$15,Paramètres!$A$1:$I$89,3,0)*VLOOKUP('Données projet'!$B$15,Paramètres!$A$1:$I$89,5,0)</f>
        <v>0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292.87204407272162</v>
      </c>
      <c r="EP105" s="62">
        <f t="shared" si="100"/>
        <v>326.06531673481805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-1.6671037883497774E-13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451.25506262546861</v>
      </c>
      <c r="T106" s="62">
        <f t="shared" si="88"/>
        <v>534.19872447444368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-8.8675733422860506E-14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252.84702735189455</v>
      </c>
      <c r="AO106" s="62">
        <f t="shared" si="90"/>
        <v>283.48738729114024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-7.626113074366004E-14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221.98516361836096</v>
      </c>
      <c r="BJ106" s="62">
        <f t="shared" si="92"/>
        <v>249.72262393661117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-9.0449248091317723E-14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257.24784840892409</v>
      </c>
      <c r="CE106" s="62">
        <f t="shared" si="94"/>
        <v>288.30197520356643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2.6602720026858149E-14</v>
      </c>
      <c r="CV106" s="14">
        <f t="shared" si="95"/>
        <v>4.6624771586320878E-13</v>
      </c>
      <c r="CW106" s="22">
        <f t="shared" si="67"/>
        <v>8.583811758418665E-13</v>
      </c>
      <c r="CX106" s="62">
        <f t="shared" si="68"/>
        <v>293.33333333333417</v>
      </c>
      <c r="CY106" s="62">
        <f ca="1">AVERAGE(OFFSET($CX$3,0,0,'Données projet'!$E$13+1,1))-AVERAGE(OFFSET($H$3,0,0,'Données projet'!$E$13+1,1))</f>
        <v>199.0086462069545</v>
      </c>
      <c r="CZ106" s="62">
        <f t="shared" si="96"/>
        <v>254.08208375594057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-3.4106051316484809E-13</v>
      </c>
      <c r="DP106" s="18">
        <f>DO106*VLOOKUP('Données projet'!$B$14,Paramètres!$A$1:$I$89,3,0)*VLOOKUP('Données projet'!$B$14,Paramètres!$A$1:$I$89,5,0)</f>
        <v>-1.9065282685915009E-13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534.78683721545372</v>
      </c>
      <c r="DU106" s="62">
        <f t="shared" si="98"/>
        <v>710.59298755711075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>
        <f>EJ106*VLOOKUP('Données projet'!$B$15,Paramètres!$A$1:$I$89,3,0)*VLOOKUP('Données projet'!$B$15,Paramètres!$A$1:$I$89,5,0)</f>
        <v>0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292.87204407272162</v>
      </c>
      <c r="EP106" s="62">
        <f t="shared" si="100"/>
        <v>326.06531673481805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-1.6671037883497774E-13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451.25506262546861</v>
      </c>
      <c r="T107" s="62">
        <f t="shared" si="88"/>
        <v>534.19872447444368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-8.8675733422860506E-14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252.84702735189455</v>
      </c>
      <c r="AO107" s="62">
        <f t="shared" si="90"/>
        <v>283.48738729114024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-7.626113074366004E-14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221.98516361836096</v>
      </c>
      <c r="BJ107" s="62">
        <f t="shared" si="92"/>
        <v>249.72262393661117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-9.0449248091317723E-14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257.24784840892409</v>
      </c>
      <c r="CE107" s="62">
        <f t="shared" si="94"/>
        <v>288.30197520356643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2.6602720026858149E-14</v>
      </c>
      <c r="CV107" s="14">
        <f t="shared" si="95"/>
        <v>4.6624771586320878E-13</v>
      </c>
      <c r="CW107" s="22">
        <f t="shared" si="67"/>
        <v>8.583811758418665E-13</v>
      </c>
      <c r="CX107" s="62">
        <f t="shared" si="68"/>
        <v>293.33333333333417</v>
      </c>
      <c r="CY107" s="62">
        <f ca="1">AVERAGE(OFFSET($CX$3,0,0,'Données projet'!$E$13+1,1))-AVERAGE(OFFSET($H$3,0,0,'Données projet'!$E$13+1,1))</f>
        <v>199.0086462069545</v>
      </c>
      <c r="CZ107" s="62">
        <f t="shared" si="96"/>
        <v>254.08208375594057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-3.4106051316484809E-13</v>
      </c>
      <c r="DP107" s="18">
        <f>DO107*VLOOKUP('Données projet'!$B$14,Paramètres!$A$1:$I$89,3,0)*VLOOKUP('Données projet'!$B$14,Paramètres!$A$1:$I$89,5,0)</f>
        <v>-1.9065282685915009E-13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534.78683721545372</v>
      </c>
      <c r="DU107" s="62">
        <f t="shared" si="98"/>
        <v>710.59298755711075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>
        <f>EJ107*VLOOKUP('Données projet'!$B$15,Paramètres!$A$1:$I$89,3,0)*VLOOKUP('Données projet'!$B$15,Paramètres!$A$1:$I$89,5,0)</f>
        <v>0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292.87204407272162</v>
      </c>
      <c r="EP107" s="62">
        <f t="shared" si="100"/>
        <v>326.06531673481805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-1.6671037883497774E-13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451.25506262546861</v>
      </c>
      <c r="T108" s="62">
        <f t="shared" si="88"/>
        <v>534.19872447444368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-8.8675733422860506E-14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252.84702735189455</v>
      </c>
      <c r="AO108" s="62">
        <f t="shared" si="90"/>
        <v>283.48738729114024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-7.626113074366004E-14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221.98516361836096</v>
      </c>
      <c r="BJ108" s="62">
        <f t="shared" si="92"/>
        <v>249.72262393661117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-9.0449248091317723E-14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257.24784840892409</v>
      </c>
      <c r="CE108" s="62">
        <f t="shared" si="94"/>
        <v>288.30197520356643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2.6602720026858149E-14</v>
      </c>
      <c r="CV108" s="14">
        <f t="shared" si="95"/>
        <v>4.6624771586320878E-13</v>
      </c>
      <c r="CW108" s="22">
        <f t="shared" si="67"/>
        <v>8.583811758418665E-13</v>
      </c>
      <c r="CX108" s="62">
        <f t="shared" si="68"/>
        <v>293.33333333333417</v>
      </c>
      <c r="CY108" s="62">
        <f ca="1">AVERAGE(OFFSET($CX$3,0,0,'Données projet'!$E$13+1,1))-AVERAGE(OFFSET($H$3,0,0,'Données projet'!$E$13+1,1))</f>
        <v>199.0086462069545</v>
      </c>
      <c r="CZ108" s="62">
        <f t="shared" si="96"/>
        <v>254.08208375594057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-3.4106051316484809E-13</v>
      </c>
      <c r="DP108" s="18">
        <f>DO108*VLOOKUP('Données projet'!$B$14,Paramètres!$A$1:$I$89,3,0)*VLOOKUP('Données projet'!$B$14,Paramètres!$A$1:$I$89,5,0)</f>
        <v>-1.9065282685915009E-13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534.78683721545372</v>
      </c>
      <c r="DU108" s="62">
        <f t="shared" si="98"/>
        <v>710.59298755711075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>
        <f>EJ108*VLOOKUP('Données projet'!$B$15,Paramètres!$A$1:$I$89,3,0)*VLOOKUP('Données projet'!$B$15,Paramètres!$A$1:$I$89,5,0)</f>
        <v>0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292.87204407272162</v>
      </c>
      <c r="EP108" s="62">
        <f t="shared" si="100"/>
        <v>326.06531673481805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-1.6671037883497774E-13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451.25506262546861</v>
      </c>
      <c r="T109" s="62">
        <f t="shared" si="88"/>
        <v>534.19872447444368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-8.8675733422860506E-14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252.84702735189455</v>
      </c>
      <c r="AO109" s="62">
        <f t="shared" si="90"/>
        <v>283.48738729114024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-7.626113074366004E-14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221.98516361836096</v>
      </c>
      <c r="BJ109" s="62">
        <f t="shared" si="92"/>
        <v>249.72262393661117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-9.0449248091317723E-14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257.24784840892409</v>
      </c>
      <c r="CE109" s="62">
        <f t="shared" si="94"/>
        <v>288.30197520356643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2.6602720026858149E-14</v>
      </c>
      <c r="CV109" s="14">
        <f t="shared" si="95"/>
        <v>4.6624771586320878E-13</v>
      </c>
      <c r="CW109" s="22">
        <f t="shared" si="67"/>
        <v>8.583811758418665E-13</v>
      </c>
      <c r="CX109" s="62">
        <f t="shared" si="68"/>
        <v>293.33333333333417</v>
      </c>
      <c r="CY109" s="62">
        <f ca="1">AVERAGE(OFFSET($CX$3,0,0,'Données projet'!$E$13+1,1))-AVERAGE(OFFSET($H$3,0,0,'Données projet'!$E$13+1,1))</f>
        <v>199.0086462069545</v>
      </c>
      <c r="CZ109" s="62">
        <f t="shared" si="96"/>
        <v>254.08208375594057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-3.4106051316484809E-13</v>
      </c>
      <c r="DP109" s="18">
        <f>DO109*VLOOKUP('Données projet'!$B$14,Paramètres!$A$1:$I$89,3,0)*VLOOKUP('Données projet'!$B$14,Paramètres!$A$1:$I$89,5,0)</f>
        <v>-1.9065282685915009E-13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534.78683721545372</v>
      </c>
      <c r="DU109" s="62">
        <f t="shared" si="98"/>
        <v>710.59298755711075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>
        <f>EJ109*VLOOKUP('Données projet'!$B$15,Paramètres!$A$1:$I$89,3,0)*VLOOKUP('Données projet'!$B$15,Paramètres!$A$1:$I$89,5,0)</f>
        <v>0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292.87204407272162</v>
      </c>
      <c r="EP109" s="62">
        <f t="shared" si="100"/>
        <v>326.06531673481805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-1.6671037883497774E-13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451.25506262546861</v>
      </c>
      <c r="T110" s="62">
        <f t="shared" si="88"/>
        <v>534.19872447444368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-8.8675733422860506E-14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252.84702735189455</v>
      </c>
      <c r="AO110" s="62">
        <f t="shared" si="90"/>
        <v>283.48738729114024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-7.626113074366004E-14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221.98516361836096</v>
      </c>
      <c r="BJ110" s="62">
        <f t="shared" si="92"/>
        <v>249.72262393661117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-9.0449248091317723E-14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257.24784840892409</v>
      </c>
      <c r="CE110" s="62">
        <f t="shared" si="94"/>
        <v>288.30197520356643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2.6602720026858149E-14</v>
      </c>
      <c r="CV110" s="14">
        <f t="shared" si="95"/>
        <v>4.6624771586320878E-13</v>
      </c>
      <c r="CW110" s="22">
        <f t="shared" si="67"/>
        <v>8.583811758418665E-13</v>
      </c>
      <c r="CX110" s="62">
        <f t="shared" si="68"/>
        <v>293.33333333333417</v>
      </c>
      <c r="CY110" s="62">
        <f ca="1">AVERAGE(OFFSET($CX$3,0,0,'Données projet'!$E$13+1,1))-AVERAGE(OFFSET($H$3,0,0,'Données projet'!$E$13+1,1))</f>
        <v>199.0086462069545</v>
      </c>
      <c r="CZ110" s="62">
        <f t="shared" si="96"/>
        <v>254.08208375594057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-3.4106051316484809E-13</v>
      </c>
      <c r="DP110" s="18">
        <f>DO110*VLOOKUP('Données projet'!$B$14,Paramètres!$A$1:$I$89,3,0)*VLOOKUP('Données projet'!$B$14,Paramètres!$A$1:$I$89,5,0)</f>
        <v>-1.9065282685915009E-13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534.78683721545372</v>
      </c>
      <c r="DU110" s="62">
        <f t="shared" si="98"/>
        <v>710.59298755711075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>
        <f>EJ110*VLOOKUP('Données projet'!$B$15,Paramètres!$A$1:$I$89,3,0)*VLOOKUP('Données projet'!$B$15,Paramètres!$A$1:$I$89,5,0)</f>
        <v>0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292.87204407272162</v>
      </c>
      <c r="EP110" s="62">
        <f t="shared" si="100"/>
        <v>326.06531673481805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-1.6671037883497774E-13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451.25506262546861</v>
      </c>
      <c r="T111" s="62">
        <f t="shared" si="88"/>
        <v>534.19872447444368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-8.8675733422860506E-14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252.84702735189455</v>
      </c>
      <c r="AO111" s="62">
        <f t="shared" si="90"/>
        <v>283.48738729114024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-7.626113074366004E-14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221.98516361836096</v>
      </c>
      <c r="BJ111" s="62">
        <f t="shared" si="92"/>
        <v>249.72262393661117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-9.0449248091317723E-14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257.24784840892409</v>
      </c>
      <c r="CE111" s="62">
        <f t="shared" si="94"/>
        <v>288.30197520356643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2.6602720026858149E-14</v>
      </c>
      <c r="CV111" s="14">
        <f t="shared" si="95"/>
        <v>4.6624771586320878E-13</v>
      </c>
      <c r="CW111" s="22">
        <f t="shared" si="67"/>
        <v>8.583811758418665E-13</v>
      </c>
      <c r="CX111" s="62">
        <f t="shared" si="68"/>
        <v>293.33333333333417</v>
      </c>
      <c r="CY111" s="62">
        <f ca="1">AVERAGE(OFFSET($CX$3,0,0,'Données projet'!$E$13+1,1))-AVERAGE(OFFSET($H$3,0,0,'Données projet'!$E$13+1,1))</f>
        <v>199.0086462069545</v>
      </c>
      <c r="CZ111" s="62">
        <f t="shared" si="96"/>
        <v>254.08208375594057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-3.4106051316484809E-13</v>
      </c>
      <c r="DP111" s="18">
        <f>DO111*VLOOKUP('Données projet'!$B$14,Paramètres!$A$1:$I$89,3,0)*VLOOKUP('Données projet'!$B$14,Paramètres!$A$1:$I$89,5,0)</f>
        <v>-1.9065282685915009E-13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534.78683721545372</v>
      </c>
      <c r="DU111" s="62">
        <f t="shared" si="98"/>
        <v>710.59298755711075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>
        <f>EJ111*VLOOKUP('Données projet'!$B$15,Paramètres!$A$1:$I$89,3,0)*VLOOKUP('Données projet'!$B$15,Paramètres!$A$1:$I$89,5,0)</f>
        <v>0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292.87204407272162</v>
      </c>
      <c r="EP111" s="62">
        <f t="shared" si="100"/>
        <v>326.06531673481805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-1.6671037883497774E-13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451.25506262546861</v>
      </c>
      <c r="T112" s="62">
        <f t="shared" si="88"/>
        <v>534.19872447444368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-8.8675733422860506E-14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252.84702735189455</v>
      </c>
      <c r="AO112" s="62">
        <f t="shared" si="90"/>
        <v>283.48738729114024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-7.626113074366004E-14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221.98516361836096</v>
      </c>
      <c r="BJ112" s="62">
        <f t="shared" si="92"/>
        <v>249.72262393661117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-9.0449248091317723E-14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257.24784840892409</v>
      </c>
      <c r="CE112" s="62">
        <f t="shared" si="94"/>
        <v>288.30197520356643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2.6602720026858149E-14</v>
      </c>
      <c r="CV112" s="14">
        <f t="shared" si="95"/>
        <v>4.6624771586320878E-13</v>
      </c>
      <c r="CW112" s="22">
        <f t="shared" si="67"/>
        <v>8.583811758418665E-13</v>
      </c>
      <c r="CX112" s="62">
        <f t="shared" si="68"/>
        <v>293.33333333333417</v>
      </c>
      <c r="CY112" s="62">
        <f ca="1">AVERAGE(OFFSET($CX$3,0,0,'Données projet'!$E$13+1,1))-AVERAGE(OFFSET($H$3,0,0,'Données projet'!$E$13+1,1))</f>
        <v>199.0086462069545</v>
      </c>
      <c r="CZ112" s="62">
        <f t="shared" si="96"/>
        <v>254.08208375594057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-3.4106051316484809E-13</v>
      </c>
      <c r="DP112" s="18">
        <f>DO112*VLOOKUP('Données projet'!$B$14,Paramètres!$A$1:$I$89,3,0)*VLOOKUP('Données projet'!$B$14,Paramètres!$A$1:$I$89,5,0)</f>
        <v>-1.9065282685915009E-13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534.78683721545372</v>
      </c>
      <c r="DU112" s="62">
        <f t="shared" si="98"/>
        <v>710.59298755711075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>
        <f>EJ112*VLOOKUP('Données projet'!$B$15,Paramètres!$A$1:$I$89,3,0)*VLOOKUP('Données projet'!$B$15,Paramètres!$A$1:$I$89,5,0)</f>
        <v>0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292.87204407272162</v>
      </c>
      <c r="EP112" s="62">
        <f t="shared" si="100"/>
        <v>326.06531673481805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-1.6671037883497774E-13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451.25506262546861</v>
      </c>
      <c r="T113" s="62">
        <f t="shared" si="88"/>
        <v>534.19872447444368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-8.8675733422860506E-14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252.84702735189455</v>
      </c>
      <c r="AO113" s="62">
        <f t="shared" si="90"/>
        <v>283.48738729114024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-7.626113074366004E-14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221.98516361836096</v>
      </c>
      <c r="BJ113" s="62">
        <f t="shared" si="92"/>
        <v>249.72262393661117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-9.0449248091317723E-14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257.24784840892409</v>
      </c>
      <c r="CE113" s="62">
        <f t="shared" si="94"/>
        <v>288.30197520356643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2.6602720026858149E-14</v>
      </c>
      <c r="CV113" s="14">
        <f t="shared" si="95"/>
        <v>4.6624771586320878E-13</v>
      </c>
      <c r="CW113" s="22">
        <f t="shared" si="67"/>
        <v>8.583811758418665E-13</v>
      </c>
      <c r="CX113" s="62">
        <f t="shared" si="68"/>
        <v>293.33333333333417</v>
      </c>
      <c r="CY113" s="62">
        <f ca="1">AVERAGE(OFFSET($CX$3,0,0,'Données projet'!$E$13+1,1))-AVERAGE(OFFSET($H$3,0,0,'Données projet'!$E$13+1,1))</f>
        <v>199.0086462069545</v>
      </c>
      <c r="CZ113" s="62">
        <f t="shared" si="96"/>
        <v>254.08208375594057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-3.4106051316484809E-13</v>
      </c>
      <c r="DP113" s="18">
        <f>DO113*VLOOKUP('Données projet'!$B$14,Paramètres!$A$1:$I$89,3,0)*VLOOKUP('Données projet'!$B$14,Paramètres!$A$1:$I$89,5,0)</f>
        <v>-1.9065282685915009E-13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534.78683721545372</v>
      </c>
      <c r="DU113" s="62">
        <f t="shared" si="98"/>
        <v>710.59298755711075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>
        <f>EJ113*VLOOKUP('Données projet'!$B$15,Paramètres!$A$1:$I$89,3,0)*VLOOKUP('Données projet'!$B$15,Paramètres!$A$1:$I$89,5,0)</f>
        <v>0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292.87204407272162</v>
      </c>
      <c r="EP113" s="62">
        <f t="shared" si="100"/>
        <v>326.06531673481805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-1.6671037883497774E-13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451.25506262546861</v>
      </c>
      <c r="T114" s="62">
        <f t="shared" si="88"/>
        <v>534.19872447444368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-8.8675733422860506E-14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252.84702735189455</v>
      </c>
      <c r="AO114" s="62">
        <f t="shared" si="90"/>
        <v>283.48738729114024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-7.626113074366004E-14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221.98516361836096</v>
      </c>
      <c r="BJ114" s="62">
        <f t="shared" si="92"/>
        <v>249.72262393661117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-9.0449248091317723E-14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257.24784840892409</v>
      </c>
      <c r="CE114" s="62">
        <f t="shared" si="94"/>
        <v>288.30197520356643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2.6602720026858149E-14</v>
      </c>
      <c r="CV114" s="14">
        <f t="shared" si="95"/>
        <v>4.6624771586320878E-13</v>
      </c>
      <c r="CW114" s="22">
        <f t="shared" si="67"/>
        <v>8.583811758418665E-13</v>
      </c>
      <c r="CX114" s="62">
        <f t="shared" si="68"/>
        <v>293.33333333333417</v>
      </c>
      <c r="CY114" s="62">
        <f ca="1">AVERAGE(OFFSET($CX$3,0,0,'Données projet'!$E$13+1,1))-AVERAGE(OFFSET($H$3,0,0,'Données projet'!$E$13+1,1))</f>
        <v>199.0086462069545</v>
      </c>
      <c r="CZ114" s="62">
        <f t="shared" si="96"/>
        <v>254.08208375594057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-3.4106051316484809E-13</v>
      </c>
      <c r="DP114" s="18">
        <f>DO114*VLOOKUP('Données projet'!$B$14,Paramètres!$A$1:$I$89,3,0)*VLOOKUP('Données projet'!$B$14,Paramètres!$A$1:$I$89,5,0)</f>
        <v>-1.9065282685915009E-13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534.78683721545372</v>
      </c>
      <c r="DU114" s="62">
        <f t="shared" si="98"/>
        <v>710.59298755711075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>
        <f>EJ114*VLOOKUP('Données projet'!$B$15,Paramètres!$A$1:$I$89,3,0)*VLOOKUP('Données projet'!$B$15,Paramètres!$A$1:$I$89,5,0)</f>
        <v>0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292.87204407272162</v>
      </c>
      <c r="EP114" s="62">
        <f t="shared" si="100"/>
        <v>326.06531673481805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-1.6671037883497774E-13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451.25506262546861</v>
      </c>
      <c r="T115" s="62">
        <f t="shared" si="88"/>
        <v>534.19872447444368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-8.8675733422860506E-14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252.84702735189455</v>
      </c>
      <c r="AO115" s="62">
        <f t="shared" si="90"/>
        <v>283.48738729114024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-7.626113074366004E-14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221.98516361836096</v>
      </c>
      <c r="BJ115" s="62">
        <f t="shared" si="92"/>
        <v>249.72262393661117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-9.0449248091317723E-14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257.24784840892409</v>
      </c>
      <c r="CE115" s="62">
        <f t="shared" si="94"/>
        <v>288.30197520356643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2.6602720026858149E-14</v>
      </c>
      <c r="CV115" s="14">
        <f t="shared" si="95"/>
        <v>4.6624771586320878E-13</v>
      </c>
      <c r="CW115" s="22">
        <f t="shared" si="67"/>
        <v>8.583811758418665E-13</v>
      </c>
      <c r="CX115" s="62">
        <f t="shared" si="68"/>
        <v>293.33333333333417</v>
      </c>
      <c r="CY115" s="62">
        <f ca="1">AVERAGE(OFFSET($CX$3,0,0,'Données projet'!$E$13+1,1))-AVERAGE(OFFSET($H$3,0,0,'Données projet'!$E$13+1,1))</f>
        <v>199.0086462069545</v>
      </c>
      <c r="CZ115" s="62">
        <f t="shared" si="96"/>
        <v>254.08208375594057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-3.4106051316484809E-13</v>
      </c>
      <c r="DP115" s="18">
        <f>DO115*VLOOKUP('Données projet'!$B$14,Paramètres!$A$1:$I$89,3,0)*VLOOKUP('Données projet'!$B$14,Paramètres!$A$1:$I$89,5,0)</f>
        <v>-1.9065282685915009E-13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534.78683721545372</v>
      </c>
      <c r="DU115" s="62">
        <f t="shared" si="98"/>
        <v>710.59298755711075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>
        <f>EJ115*VLOOKUP('Données projet'!$B$15,Paramètres!$A$1:$I$89,3,0)*VLOOKUP('Données projet'!$B$15,Paramètres!$A$1:$I$89,5,0)</f>
        <v>0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292.87204407272162</v>
      </c>
      <c r="EP115" s="62">
        <f t="shared" si="100"/>
        <v>326.06531673481805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-1.6671037883497774E-13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451.25506262546861</v>
      </c>
      <c r="T116" s="62">
        <f t="shared" si="88"/>
        <v>534.19872447444368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-8.8675733422860506E-14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252.84702735189455</v>
      </c>
      <c r="AO116" s="62">
        <f t="shared" si="90"/>
        <v>283.48738729114024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-7.626113074366004E-14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221.98516361836096</v>
      </c>
      <c r="BJ116" s="62">
        <f t="shared" si="92"/>
        <v>249.72262393661117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-9.0449248091317723E-14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257.24784840892409</v>
      </c>
      <c r="CE116" s="62">
        <f t="shared" si="94"/>
        <v>288.30197520356643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2.6602720026858149E-14</v>
      </c>
      <c r="CV116" s="14">
        <f t="shared" si="95"/>
        <v>4.6624771586320878E-13</v>
      </c>
      <c r="CW116" s="22">
        <f t="shared" si="67"/>
        <v>8.583811758418665E-13</v>
      </c>
      <c r="CX116" s="62">
        <f t="shared" si="68"/>
        <v>293.33333333333417</v>
      </c>
      <c r="CY116" s="62">
        <f ca="1">AVERAGE(OFFSET($CX$3,0,0,'Données projet'!$E$13+1,1))-AVERAGE(OFFSET($H$3,0,0,'Données projet'!$E$13+1,1))</f>
        <v>199.0086462069545</v>
      </c>
      <c r="CZ116" s="62">
        <f t="shared" si="96"/>
        <v>254.08208375594057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-3.4106051316484809E-13</v>
      </c>
      <c r="DP116" s="18">
        <f>DO116*VLOOKUP('Données projet'!$B$14,Paramètres!$A$1:$I$89,3,0)*VLOOKUP('Données projet'!$B$14,Paramètres!$A$1:$I$89,5,0)</f>
        <v>-1.9065282685915009E-13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534.78683721545372</v>
      </c>
      <c r="DU116" s="62">
        <f t="shared" si="98"/>
        <v>710.59298755711075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>
        <f>EJ116*VLOOKUP('Données projet'!$B$15,Paramètres!$A$1:$I$89,3,0)*VLOOKUP('Données projet'!$B$15,Paramètres!$A$1:$I$89,5,0)</f>
        <v>0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292.87204407272162</v>
      </c>
      <c r="EP116" s="62">
        <f t="shared" si="100"/>
        <v>326.06531673481805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-1.6671037883497774E-13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451.25506262546861</v>
      </c>
      <c r="T117" s="62">
        <f t="shared" si="88"/>
        <v>534.19872447444368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-8.8675733422860506E-14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252.84702735189455</v>
      </c>
      <c r="AO117" s="62">
        <f t="shared" si="90"/>
        <v>283.48738729114024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-7.626113074366004E-14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221.98516361836096</v>
      </c>
      <c r="BJ117" s="62">
        <f t="shared" si="92"/>
        <v>249.72262393661117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-9.0449248091317723E-14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257.24784840892409</v>
      </c>
      <c r="CE117" s="62">
        <f t="shared" si="94"/>
        <v>288.30197520356643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2.6602720026858149E-14</v>
      </c>
      <c r="CV117" s="14">
        <f t="shared" si="95"/>
        <v>4.6624771586320878E-13</v>
      </c>
      <c r="CW117" s="22">
        <f t="shared" si="67"/>
        <v>8.583811758418665E-13</v>
      </c>
      <c r="CX117" s="62">
        <f t="shared" si="68"/>
        <v>293.33333333333417</v>
      </c>
      <c r="CY117" s="62">
        <f ca="1">AVERAGE(OFFSET($CX$3,0,0,'Données projet'!$E$13+1,1))-AVERAGE(OFFSET($H$3,0,0,'Données projet'!$E$13+1,1))</f>
        <v>199.0086462069545</v>
      </c>
      <c r="CZ117" s="62">
        <f t="shared" si="96"/>
        <v>254.08208375594057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-3.4106051316484809E-13</v>
      </c>
      <c r="DP117" s="18">
        <f>DO117*VLOOKUP('Données projet'!$B$14,Paramètres!$A$1:$I$89,3,0)*VLOOKUP('Données projet'!$B$14,Paramètres!$A$1:$I$89,5,0)</f>
        <v>-1.9065282685915009E-13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534.78683721545372</v>
      </c>
      <c r="DU117" s="62">
        <f t="shared" si="98"/>
        <v>710.59298755711075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>
        <f>EJ117*VLOOKUP('Données projet'!$B$15,Paramètres!$A$1:$I$89,3,0)*VLOOKUP('Données projet'!$B$15,Paramètres!$A$1:$I$89,5,0)</f>
        <v>0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292.87204407272162</v>
      </c>
      <c r="EP117" s="62">
        <f t="shared" si="100"/>
        <v>326.06531673481805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-1.6671037883497774E-13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451.25506262546861</v>
      </c>
      <c r="T118" s="62">
        <f t="shared" si="88"/>
        <v>534.19872447444368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-8.8675733422860506E-14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252.84702735189455</v>
      </c>
      <c r="AO118" s="62">
        <f t="shared" si="90"/>
        <v>283.48738729114024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-7.626113074366004E-14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221.98516361836096</v>
      </c>
      <c r="BJ118" s="62">
        <f t="shared" si="92"/>
        <v>249.72262393661117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-9.0449248091317723E-14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257.24784840892409</v>
      </c>
      <c r="CE118" s="62">
        <f t="shared" si="94"/>
        <v>288.30197520356643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2.6602720026858149E-14</v>
      </c>
      <c r="CV118" s="14">
        <f t="shared" si="95"/>
        <v>4.6624771586320878E-13</v>
      </c>
      <c r="CW118" s="22">
        <f t="shared" si="67"/>
        <v>8.583811758418665E-13</v>
      </c>
      <c r="CX118" s="62">
        <f t="shared" si="68"/>
        <v>293.33333333333417</v>
      </c>
      <c r="CY118" s="62">
        <f ca="1">AVERAGE(OFFSET($CX$3,0,0,'Données projet'!$E$13+1,1))-AVERAGE(OFFSET($H$3,0,0,'Données projet'!$E$13+1,1))</f>
        <v>199.0086462069545</v>
      </c>
      <c r="CZ118" s="62">
        <f t="shared" si="96"/>
        <v>254.08208375594057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-3.4106051316484809E-13</v>
      </c>
      <c r="DP118" s="18">
        <f>DO118*VLOOKUP('Données projet'!$B$14,Paramètres!$A$1:$I$89,3,0)*VLOOKUP('Données projet'!$B$14,Paramètres!$A$1:$I$89,5,0)</f>
        <v>-1.9065282685915009E-13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534.78683721545372</v>
      </c>
      <c r="DU118" s="62">
        <f t="shared" si="98"/>
        <v>710.59298755711075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>
        <f>EJ118*VLOOKUP('Données projet'!$B$15,Paramètres!$A$1:$I$89,3,0)*VLOOKUP('Données projet'!$B$15,Paramètres!$A$1:$I$89,5,0)</f>
        <v>0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292.87204407272162</v>
      </c>
      <c r="EP118" s="62">
        <f t="shared" si="100"/>
        <v>326.06531673481805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-1.6671037883497774E-13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451.25506262546861</v>
      </c>
      <c r="T119" s="62">
        <f t="shared" si="88"/>
        <v>534.19872447444368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-8.8675733422860506E-14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252.84702735189455</v>
      </c>
      <c r="AO119" s="62">
        <f t="shared" si="90"/>
        <v>283.48738729114024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-7.626113074366004E-14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221.98516361836096</v>
      </c>
      <c r="BJ119" s="62">
        <f t="shared" si="92"/>
        <v>249.72262393661117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-9.0449248091317723E-14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257.24784840892409</v>
      </c>
      <c r="CE119" s="62">
        <f t="shared" si="94"/>
        <v>288.30197520356643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2.6602720026858149E-14</v>
      </c>
      <c r="CV119" s="14">
        <f t="shared" si="95"/>
        <v>4.6624771586320878E-13</v>
      </c>
      <c r="CW119" s="22">
        <f t="shared" si="67"/>
        <v>8.583811758418665E-13</v>
      </c>
      <c r="CX119" s="62">
        <f t="shared" si="68"/>
        <v>293.33333333333417</v>
      </c>
      <c r="CY119" s="62">
        <f ca="1">AVERAGE(OFFSET($CX$3,0,0,'Données projet'!$E$13+1,1))-AVERAGE(OFFSET($H$3,0,0,'Données projet'!$E$13+1,1))</f>
        <v>199.0086462069545</v>
      </c>
      <c r="CZ119" s="62">
        <f t="shared" si="96"/>
        <v>254.08208375594057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-3.4106051316484809E-13</v>
      </c>
      <c r="DP119" s="18">
        <f>DO119*VLOOKUP('Données projet'!$B$14,Paramètres!$A$1:$I$89,3,0)*VLOOKUP('Données projet'!$B$14,Paramètres!$A$1:$I$89,5,0)</f>
        <v>-1.9065282685915009E-13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534.78683721545372</v>
      </c>
      <c r="DU119" s="62">
        <f t="shared" si="98"/>
        <v>710.59298755711075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>
        <f>EJ119*VLOOKUP('Données projet'!$B$15,Paramètres!$A$1:$I$89,3,0)*VLOOKUP('Données projet'!$B$15,Paramètres!$A$1:$I$89,5,0)</f>
        <v>0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292.87204407272162</v>
      </c>
      <c r="EP119" s="62">
        <f t="shared" si="100"/>
        <v>326.06531673481805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-1.6671037883497774E-13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451.25506262546861</v>
      </c>
      <c r="T120" s="62">
        <f t="shared" si="88"/>
        <v>534.19872447444368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-8.8675733422860506E-14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252.84702735189455</v>
      </c>
      <c r="AO120" s="62">
        <f t="shared" si="90"/>
        <v>283.48738729114024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-7.626113074366004E-14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221.98516361836096</v>
      </c>
      <c r="BJ120" s="62">
        <f t="shared" si="92"/>
        <v>249.72262393661117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-9.0449248091317723E-14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257.24784840892409</v>
      </c>
      <c r="CE120" s="62">
        <f t="shared" si="94"/>
        <v>288.30197520356643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2.6602720026858149E-14</v>
      </c>
      <c r="CV120" s="14">
        <f t="shared" si="95"/>
        <v>4.6624771586320878E-13</v>
      </c>
      <c r="CW120" s="22">
        <f t="shared" si="67"/>
        <v>8.583811758418665E-13</v>
      </c>
      <c r="CX120" s="62">
        <f t="shared" si="68"/>
        <v>293.33333333333417</v>
      </c>
      <c r="CY120" s="62">
        <f ca="1">AVERAGE(OFFSET($CX$3,0,0,'Données projet'!$E$13+1,1))-AVERAGE(OFFSET($H$3,0,0,'Données projet'!$E$13+1,1))</f>
        <v>199.0086462069545</v>
      </c>
      <c r="CZ120" s="62">
        <f t="shared" si="96"/>
        <v>254.08208375594057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-3.4106051316484809E-13</v>
      </c>
      <c r="DP120" s="18">
        <f>DO120*VLOOKUP('Données projet'!$B$14,Paramètres!$A$1:$I$89,3,0)*VLOOKUP('Données projet'!$B$14,Paramètres!$A$1:$I$89,5,0)</f>
        <v>-1.9065282685915009E-13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534.78683721545372</v>
      </c>
      <c r="DU120" s="62">
        <f t="shared" si="98"/>
        <v>710.59298755711075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>
        <f>EJ120*VLOOKUP('Données projet'!$B$15,Paramètres!$A$1:$I$89,3,0)*VLOOKUP('Données projet'!$B$15,Paramètres!$A$1:$I$89,5,0)</f>
        <v>0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292.87204407272162</v>
      </c>
      <c r="EP120" s="62">
        <f t="shared" si="100"/>
        <v>326.06531673481805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-1.6671037883497774E-13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451.25506262546861</v>
      </c>
      <c r="T121" s="62">
        <f t="shared" si="88"/>
        <v>534.19872447444368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-8.8675733422860506E-14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252.84702735189455</v>
      </c>
      <c r="AO121" s="62">
        <f t="shared" si="90"/>
        <v>283.48738729114024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-7.626113074366004E-14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221.98516361836096</v>
      </c>
      <c r="BJ121" s="62">
        <f t="shared" si="92"/>
        <v>249.72262393661117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-9.0449248091317723E-14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257.24784840892409</v>
      </c>
      <c r="CE121" s="62">
        <f t="shared" si="94"/>
        <v>288.30197520356643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2.6602720026858149E-14</v>
      </c>
      <c r="CV121" s="14">
        <f t="shared" si="95"/>
        <v>4.6624771586320878E-13</v>
      </c>
      <c r="CW121" s="22">
        <f t="shared" si="67"/>
        <v>8.583811758418665E-13</v>
      </c>
      <c r="CX121" s="62">
        <f t="shared" si="68"/>
        <v>293.33333333333417</v>
      </c>
      <c r="CY121" s="62">
        <f ca="1">AVERAGE(OFFSET($CX$3,0,0,'Données projet'!$E$13+1,1))-AVERAGE(OFFSET($H$3,0,0,'Données projet'!$E$13+1,1))</f>
        <v>199.0086462069545</v>
      </c>
      <c r="CZ121" s="62">
        <f t="shared" si="96"/>
        <v>254.08208375594057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-3.4106051316484809E-13</v>
      </c>
      <c r="DP121" s="18">
        <f>DO121*VLOOKUP('Données projet'!$B$14,Paramètres!$A$1:$I$89,3,0)*VLOOKUP('Données projet'!$B$14,Paramètres!$A$1:$I$89,5,0)</f>
        <v>-1.9065282685915009E-13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534.78683721545372</v>
      </c>
      <c r="DU121" s="62">
        <f t="shared" si="98"/>
        <v>710.59298755711075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>
        <f>EJ121*VLOOKUP('Données projet'!$B$15,Paramètres!$A$1:$I$89,3,0)*VLOOKUP('Données projet'!$B$15,Paramètres!$A$1:$I$89,5,0)</f>
        <v>0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292.87204407272162</v>
      </c>
      <c r="EP121" s="62">
        <f t="shared" si="100"/>
        <v>326.06531673481805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-1.6671037883497774E-13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451.25506262546861</v>
      </c>
      <c r="T122" s="62">
        <f t="shared" si="88"/>
        <v>534.19872447444368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-8.8675733422860506E-14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252.84702735189455</v>
      </c>
      <c r="AO122" s="62">
        <f t="shared" si="90"/>
        <v>283.48738729114024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-7.626113074366004E-14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221.98516361836096</v>
      </c>
      <c r="BJ122" s="62">
        <f t="shared" si="92"/>
        <v>249.72262393661117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-9.0449248091317723E-14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257.24784840892409</v>
      </c>
      <c r="CE122" s="62">
        <f t="shared" si="94"/>
        <v>288.30197520356643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2.6602720026858149E-14</v>
      </c>
      <c r="CV122" s="14">
        <f t="shared" si="95"/>
        <v>4.6624771586320878E-13</v>
      </c>
      <c r="CW122" s="22">
        <f t="shared" si="67"/>
        <v>8.583811758418665E-13</v>
      </c>
      <c r="CX122" s="62">
        <f t="shared" si="68"/>
        <v>293.33333333333417</v>
      </c>
      <c r="CY122" s="62">
        <f ca="1">AVERAGE(OFFSET($CX$3,0,0,'Données projet'!$E$13+1,1))-AVERAGE(OFFSET($H$3,0,0,'Données projet'!$E$13+1,1))</f>
        <v>199.0086462069545</v>
      </c>
      <c r="CZ122" s="62">
        <f t="shared" si="96"/>
        <v>254.08208375594057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-3.4106051316484809E-13</v>
      </c>
      <c r="DP122" s="18">
        <f>DO122*VLOOKUP('Données projet'!$B$14,Paramètres!$A$1:$I$89,3,0)*VLOOKUP('Données projet'!$B$14,Paramètres!$A$1:$I$89,5,0)</f>
        <v>-1.9065282685915009E-13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534.78683721545372</v>
      </c>
      <c r="DU122" s="62">
        <f t="shared" si="98"/>
        <v>710.59298755711075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>
        <f>EJ122*VLOOKUP('Données projet'!$B$15,Paramètres!$A$1:$I$89,3,0)*VLOOKUP('Données projet'!$B$15,Paramètres!$A$1:$I$89,5,0)</f>
        <v>0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292.87204407272162</v>
      </c>
      <c r="EP122" s="62">
        <f t="shared" si="100"/>
        <v>326.06531673481805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-1.6671037883497774E-13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451.25506262546861</v>
      </c>
      <c r="T123" s="62">
        <f t="shared" si="88"/>
        <v>534.19872447444368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-8.8675733422860506E-14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252.84702735189455</v>
      </c>
      <c r="AO123" s="62">
        <f t="shared" si="90"/>
        <v>283.48738729114024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-7.626113074366004E-14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221.98516361836096</v>
      </c>
      <c r="BJ123" s="62">
        <f t="shared" si="92"/>
        <v>249.72262393661117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-9.0449248091317723E-14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257.24784840892409</v>
      </c>
      <c r="CE123" s="62">
        <f t="shared" si="94"/>
        <v>288.30197520356643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2.6602720026858149E-14</v>
      </c>
      <c r="CV123" s="14">
        <f t="shared" si="95"/>
        <v>4.6624771586320878E-13</v>
      </c>
      <c r="CW123" s="22">
        <f t="shared" si="67"/>
        <v>8.583811758418665E-13</v>
      </c>
      <c r="CX123" s="62">
        <f t="shared" si="68"/>
        <v>293.33333333333417</v>
      </c>
      <c r="CY123" s="62">
        <f ca="1">AVERAGE(OFFSET($CX$3,0,0,'Données projet'!$E$13+1,1))-AVERAGE(OFFSET($H$3,0,0,'Données projet'!$E$13+1,1))</f>
        <v>199.0086462069545</v>
      </c>
      <c r="CZ123" s="62">
        <f t="shared" si="96"/>
        <v>254.08208375594057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-3.4106051316484809E-13</v>
      </c>
      <c r="DP123" s="18">
        <f>DO123*VLOOKUP('Données projet'!$B$14,Paramètres!$A$1:$I$89,3,0)*VLOOKUP('Données projet'!$B$14,Paramètres!$A$1:$I$89,5,0)</f>
        <v>-1.9065282685915009E-13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534.78683721545372</v>
      </c>
      <c r="DU123" s="62">
        <f t="shared" si="98"/>
        <v>710.59298755711075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>
        <f>EJ123*VLOOKUP('Données projet'!$B$15,Paramètres!$A$1:$I$89,3,0)*VLOOKUP('Données projet'!$B$15,Paramètres!$A$1:$I$89,5,0)</f>
        <v>0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292.87204407272162</v>
      </c>
      <c r="EP123" s="62">
        <f t="shared" si="100"/>
        <v>326.06531673481805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-1.6671037883497774E-13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451.25506262546861</v>
      </c>
      <c r="T124" s="62">
        <f t="shared" si="88"/>
        <v>534.19872447444368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-8.8675733422860506E-14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252.84702735189455</v>
      </c>
      <c r="AO124" s="62">
        <f t="shared" si="90"/>
        <v>283.48738729114024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-7.626113074366004E-14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221.98516361836096</v>
      </c>
      <c r="BJ124" s="62">
        <f t="shared" si="92"/>
        <v>249.72262393661117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-9.0449248091317723E-14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257.24784840892409</v>
      </c>
      <c r="CE124" s="62">
        <f t="shared" si="94"/>
        <v>288.30197520356643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2.6602720026858149E-14</v>
      </c>
      <c r="CV124" s="14">
        <f t="shared" si="95"/>
        <v>4.6624771586320878E-13</v>
      </c>
      <c r="CW124" s="22">
        <f t="shared" si="67"/>
        <v>8.583811758418665E-13</v>
      </c>
      <c r="CX124" s="62">
        <f t="shared" si="68"/>
        <v>293.33333333333417</v>
      </c>
      <c r="CY124" s="62">
        <f ca="1">AVERAGE(OFFSET($CX$3,0,0,'Données projet'!$E$13+1,1))-AVERAGE(OFFSET($H$3,0,0,'Données projet'!$E$13+1,1))</f>
        <v>199.0086462069545</v>
      </c>
      <c r="CZ124" s="62">
        <f t="shared" si="96"/>
        <v>254.08208375594057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-3.4106051316484809E-13</v>
      </c>
      <c r="DP124" s="18">
        <f>DO124*VLOOKUP('Données projet'!$B$14,Paramètres!$A$1:$I$89,3,0)*VLOOKUP('Données projet'!$B$14,Paramètres!$A$1:$I$89,5,0)</f>
        <v>-1.9065282685915009E-13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534.78683721545372</v>
      </c>
      <c r="DU124" s="62">
        <f t="shared" si="98"/>
        <v>710.59298755711075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>
        <f>EJ124*VLOOKUP('Données projet'!$B$15,Paramètres!$A$1:$I$89,3,0)*VLOOKUP('Données projet'!$B$15,Paramètres!$A$1:$I$89,5,0)</f>
        <v>0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292.87204407272162</v>
      </c>
      <c r="EP124" s="62">
        <f t="shared" si="100"/>
        <v>326.06531673481805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-1.6671037883497774E-13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451.25506262546861</v>
      </c>
      <c r="T125" s="62">
        <f t="shared" si="88"/>
        <v>534.19872447444368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-8.8675733422860506E-14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252.84702735189455</v>
      </c>
      <c r="AO125" s="62">
        <f t="shared" si="90"/>
        <v>283.48738729114024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-7.626113074366004E-14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221.98516361836096</v>
      </c>
      <c r="BJ125" s="62">
        <f t="shared" si="92"/>
        <v>249.72262393661117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-9.0449248091317723E-14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257.24784840892409</v>
      </c>
      <c r="CE125" s="62">
        <f t="shared" si="94"/>
        <v>288.30197520356643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2.6602720026858149E-14</v>
      </c>
      <c r="CV125" s="14">
        <f t="shared" si="95"/>
        <v>4.6624771586320878E-13</v>
      </c>
      <c r="CW125" s="22">
        <f t="shared" si="67"/>
        <v>8.583811758418665E-13</v>
      </c>
      <c r="CX125" s="62">
        <f t="shared" si="68"/>
        <v>293.33333333333417</v>
      </c>
      <c r="CY125" s="62">
        <f ca="1">AVERAGE(OFFSET($CX$3,0,0,'Données projet'!$E$13+1,1))-AVERAGE(OFFSET($H$3,0,0,'Données projet'!$E$13+1,1))</f>
        <v>199.0086462069545</v>
      </c>
      <c r="CZ125" s="62">
        <f t="shared" si="96"/>
        <v>254.08208375594057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-3.4106051316484809E-13</v>
      </c>
      <c r="DP125" s="18">
        <f>DO125*VLOOKUP('Données projet'!$B$14,Paramètres!$A$1:$I$89,3,0)*VLOOKUP('Données projet'!$B$14,Paramètres!$A$1:$I$89,5,0)</f>
        <v>-1.9065282685915009E-13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534.78683721545372</v>
      </c>
      <c r="DU125" s="62">
        <f t="shared" si="98"/>
        <v>710.59298755711075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>
        <f>EJ125*VLOOKUP('Données projet'!$B$15,Paramètres!$A$1:$I$89,3,0)*VLOOKUP('Données projet'!$B$15,Paramètres!$A$1:$I$89,5,0)</f>
        <v>0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292.87204407272162</v>
      </c>
      <c r="EP125" s="62">
        <f t="shared" si="100"/>
        <v>326.06531673481805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-1.6671037883497774E-13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451.25506262546861</v>
      </c>
      <c r="T126" s="62">
        <f t="shared" si="88"/>
        <v>534.19872447444368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-8.8675733422860506E-14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252.84702735189455</v>
      </c>
      <c r="AO126" s="62">
        <f t="shared" si="90"/>
        <v>283.48738729114024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-7.626113074366004E-14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221.98516361836096</v>
      </c>
      <c r="BJ126" s="62">
        <f t="shared" si="92"/>
        <v>249.72262393661117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-9.0449248091317723E-14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257.24784840892409</v>
      </c>
      <c r="CE126" s="62">
        <f t="shared" si="94"/>
        <v>288.30197520356643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2.6602720026858149E-14</v>
      </c>
      <c r="CV126" s="14">
        <f t="shared" si="95"/>
        <v>4.6624771586320878E-13</v>
      </c>
      <c r="CW126" s="22">
        <f t="shared" si="67"/>
        <v>8.583811758418665E-13</v>
      </c>
      <c r="CX126" s="62">
        <f t="shared" si="68"/>
        <v>293.33333333333417</v>
      </c>
      <c r="CY126" s="62">
        <f ca="1">AVERAGE(OFFSET($CX$3,0,0,'Données projet'!$E$13+1,1))-AVERAGE(OFFSET($H$3,0,0,'Données projet'!$E$13+1,1))</f>
        <v>199.0086462069545</v>
      </c>
      <c r="CZ126" s="62">
        <f t="shared" si="96"/>
        <v>254.08208375594057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-3.4106051316484809E-13</v>
      </c>
      <c r="DP126" s="18">
        <f>DO126*VLOOKUP('Données projet'!$B$14,Paramètres!$A$1:$I$89,3,0)*VLOOKUP('Données projet'!$B$14,Paramètres!$A$1:$I$89,5,0)</f>
        <v>-1.9065282685915009E-13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534.78683721545372</v>
      </c>
      <c r="DU126" s="62">
        <f t="shared" si="98"/>
        <v>710.59298755711075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>
        <f>EJ126*VLOOKUP('Données projet'!$B$15,Paramètres!$A$1:$I$89,3,0)*VLOOKUP('Données projet'!$B$15,Paramètres!$A$1:$I$89,5,0)</f>
        <v>0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292.87204407272162</v>
      </c>
      <c r="EP126" s="62">
        <f t="shared" si="100"/>
        <v>326.06531673481805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-1.6671037883497774E-13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451.25506262546861</v>
      </c>
      <c r="T127" s="62">
        <f t="shared" si="88"/>
        <v>534.19872447444368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-8.8675733422860506E-14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252.84702735189455</v>
      </c>
      <c r="AO127" s="62">
        <f t="shared" si="90"/>
        <v>283.48738729114024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-7.626113074366004E-14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221.98516361836096</v>
      </c>
      <c r="BJ127" s="62">
        <f t="shared" si="92"/>
        <v>249.72262393661117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-9.0449248091317723E-14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257.24784840892409</v>
      </c>
      <c r="CE127" s="62">
        <f t="shared" si="94"/>
        <v>288.30197520356643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2.6602720026858149E-14</v>
      </c>
      <c r="CV127" s="14">
        <f t="shared" si="95"/>
        <v>4.6624771586320878E-13</v>
      </c>
      <c r="CW127" s="22">
        <f t="shared" si="67"/>
        <v>8.583811758418665E-13</v>
      </c>
      <c r="CX127" s="62">
        <f t="shared" si="68"/>
        <v>293.33333333333417</v>
      </c>
      <c r="CY127" s="62">
        <f ca="1">AVERAGE(OFFSET($CX$3,0,0,'Données projet'!$E$13+1,1))-AVERAGE(OFFSET($H$3,0,0,'Données projet'!$E$13+1,1))</f>
        <v>199.0086462069545</v>
      </c>
      <c r="CZ127" s="62">
        <f t="shared" si="96"/>
        <v>254.08208375594057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-3.4106051316484809E-13</v>
      </c>
      <c r="DP127" s="18">
        <f>DO127*VLOOKUP('Données projet'!$B$14,Paramètres!$A$1:$I$89,3,0)*VLOOKUP('Données projet'!$B$14,Paramètres!$A$1:$I$89,5,0)</f>
        <v>-1.9065282685915009E-13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534.78683721545372</v>
      </c>
      <c r="DU127" s="62">
        <f t="shared" si="98"/>
        <v>710.59298755711075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>
        <f>EJ127*VLOOKUP('Données projet'!$B$15,Paramètres!$A$1:$I$89,3,0)*VLOOKUP('Données projet'!$B$15,Paramètres!$A$1:$I$89,5,0)</f>
        <v>0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292.87204407272162</v>
      </c>
      <c r="EP127" s="62">
        <f t="shared" si="100"/>
        <v>326.06531673481805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-1.6671037883497774E-13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451.25506262546861</v>
      </c>
      <c r="T128" s="62">
        <f t="shared" si="88"/>
        <v>534.19872447444368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-8.8675733422860506E-14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252.84702735189455</v>
      </c>
      <c r="AO128" s="62">
        <f t="shared" si="90"/>
        <v>283.48738729114024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-7.626113074366004E-14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221.98516361836096</v>
      </c>
      <c r="BJ128" s="62">
        <f t="shared" si="92"/>
        <v>249.72262393661117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-9.0449248091317723E-14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257.24784840892409</v>
      </c>
      <c r="CE128" s="62">
        <f t="shared" si="94"/>
        <v>288.30197520356643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2.6602720026858149E-14</v>
      </c>
      <c r="CV128" s="14">
        <f t="shared" si="95"/>
        <v>4.6624771586320878E-13</v>
      </c>
      <c r="CW128" s="22">
        <f t="shared" si="67"/>
        <v>8.583811758418665E-13</v>
      </c>
      <c r="CX128" s="62">
        <f t="shared" si="68"/>
        <v>293.33333333333417</v>
      </c>
      <c r="CY128" s="62">
        <f ca="1">AVERAGE(OFFSET($CX$3,0,0,'Données projet'!$E$13+1,1))-AVERAGE(OFFSET($H$3,0,0,'Données projet'!$E$13+1,1))</f>
        <v>199.0086462069545</v>
      </c>
      <c r="CZ128" s="62">
        <f t="shared" si="96"/>
        <v>254.08208375594057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-3.4106051316484809E-13</v>
      </c>
      <c r="DP128" s="18">
        <f>DO128*VLOOKUP('Données projet'!$B$14,Paramètres!$A$1:$I$89,3,0)*VLOOKUP('Données projet'!$B$14,Paramètres!$A$1:$I$89,5,0)</f>
        <v>-1.9065282685915009E-13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534.78683721545372</v>
      </c>
      <c r="DU128" s="62">
        <f t="shared" si="98"/>
        <v>710.59298755711075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>
        <f>EJ128*VLOOKUP('Données projet'!$B$15,Paramètres!$A$1:$I$89,3,0)*VLOOKUP('Données projet'!$B$15,Paramètres!$A$1:$I$89,5,0)</f>
        <v>0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292.87204407272162</v>
      </c>
      <c r="EP128" s="62">
        <f t="shared" si="100"/>
        <v>326.06531673481805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-1.6671037883497774E-13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451.25506262546861</v>
      </c>
      <c r="T129" s="62">
        <f t="shared" si="88"/>
        <v>534.19872447444368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-8.8675733422860506E-14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252.84702735189455</v>
      </c>
      <c r="AO129" s="62">
        <f t="shared" si="90"/>
        <v>283.48738729114024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-7.626113074366004E-14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221.98516361836096</v>
      </c>
      <c r="BJ129" s="62">
        <f t="shared" si="92"/>
        <v>249.72262393661117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-9.0449248091317723E-14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257.24784840892409</v>
      </c>
      <c r="CE129" s="62">
        <f t="shared" si="94"/>
        <v>288.30197520356643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2.6602720026858149E-14</v>
      </c>
      <c r="CV129" s="14">
        <f t="shared" si="95"/>
        <v>4.6624771586320878E-13</v>
      </c>
      <c r="CW129" s="22">
        <f t="shared" si="67"/>
        <v>8.583811758418665E-13</v>
      </c>
      <c r="CX129" s="62">
        <f t="shared" si="68"/>
        <v>293.33333333333417</v>
      </c>
      <c r="CY129" s="62">
        <f ca="1">AVERAGE(OFFSET($CX$3,0,0,'Données projet'!$E$13+1,1))-AVERAGE(OFFSET($H$3,0,0,'Données projet'!$E$13+1,1))</f>
        <v>199.0086462069545</v>
      </c>
      <c r="CZ129" s="62">
        <f t="shared" si="96"/>
        <v>254.08208375594057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-3.4106051316484809E-13</v>
      </c>
      <c r="DP129" s="18">
        <f>DO129*VLOOKUP('Données projet'!$B$14,Paramètres!$A$1:$I$89,3,0)*VLOOKUP('Données projet'!$B$14,Paramètres!$A$1:$I$89,5,0)</f>
        <v>-1.9065282685915009E-13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534.78683721545372</v>
      </c>
      <c r="DU129" s="62">
        <f t="shared" si="98"/>
        <v>710.59298755711075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>
        <f>EJ129*VLOOKUP('Données projet'!$B$15,Paramètres!$A$1:$I$89,3,0)*VLOOKUP('Données projet'!$B$15,Paramètres!$A$1:$I$89,5,0)</f>
        <v>0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292.87204407272162</v>
      </c>
      <c r="EP129" s="62">
        <f t="shared" si="100"/>
        <v>326.06531673481805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-1.6671037883497774E-13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451.25506262546861</v>
      </c>
      <c r="T130" s="62">
        <f t="shared" si="88"/>
        <v>534.19872447444368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-8.8675733422860506E-14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252.84702735189455</v>
      </c>
      <c r="AO130" s="62">
        <f t="shared" si="90"/>
        <v>283.48738729114024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-7.626113074366004E-14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221.98516361836096</v>
      </c>
      <c r="BJ130" s="62">
        <f t="shared" si="92"/>
        <v>249.72262393661117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-9.0449248091317723E-14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257.24784840892409</v>
      </c>
      <c r="CE130" s="62">
        <f t="shared" si="94"/>
        <v>288.30197520356643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2.6602720026858149E-14</v>
      </c>
      <c r="CV130" s="14">
        <f t="shared" si="95"/>
        <v>4.6624771586320878E-13</v>
      </c>
      <c r="CW130" s="22">
        <f t="shared" si="67"/>
        <v>8.583811758418665E-13</v>
      </c>
      <c r="CX130" s="62">
        <f t="shared" si="68"/>
        <v>293.33333333333417</v>
      </c>
      <c r="CY130" s="62">
        <f ca="1">AVERAGE(OFFSET($CX$3,0,0,'Données projet'!$E$13+1,1))-AVERAGE(OFFSET($H$3,0,0,'Données projet'!$E$13+1,1))</f>
        <v>199.0086462069545</v>
      </c>
      <c r="CZ130" s="62">
        <f t="shared" si="96"/>
        <v>254.08208375594057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-3.4106051316484809E-13</v>
      </c>
      <c r="DP130" s="18">
        <f>DO130*VLOOKUP('Données projet'!$B$14,Paramètres!$A$1:$I$89,3,0)*VLOOKUP('Données projet'!$B$14,Paramètres!$A$1:$I$89,5,0)</f>
        <v>-1.9065282685915009E-13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534.78683721545372</v>
      </c>
      <c r="DU130" s="62">
        <f t="shared" si="98"/>
        <v>710.59298755711075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>
        <f>EJ130*VLOOKUP('Données projet'!$B$15,Paramètres!$A$1:$I$89,3,0)*VLOOKUP('Données projet'!$B$15,Paramètres!$A$1:$I$89,5,0)</f>
        <v>0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292.87204407272162</v>
      </c>
      <c r="EP130" s="62">
        <f t="shared" si="100"/>
        <v>326.06531673481805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-1.6671037883497774E-13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451.25506262546861</v>
      </c>
      <c r="T131" s="62">
        <f t="shared" si="88"/>
        <v>534.19872447444368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-8.8675733422860506E-14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252.84702735189455</v>
      </c>
      <c r="AO131" s="62">
        <f t="shared" si="90"/>
        <v>283.48738729114024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-7.626113074366004E-14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221.98516361836096</v>
      </c>
      <c r="BJ131" s="62">
        <f t="shared" si="92"/>
        <v>249.72262393661117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-9.0449248091317723E-14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257.24784840892409</v>
      </c>
      <c r="CE131" s="62">
        <f t="shared" si="94"/>
        <v>288.30197520356643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2.6602720026858149E-14</v>
      </c>
      <c r="CV131" s="14">
        <f t="shared" si="95"/>
        <v>4.6624771586320878E-13</v>
      </c>
      <c r="CW131" s="22">
        <f t="shared" si="67"/>
        <v>8.583811758418665E-13</v>
      </c>
      <c r="CX131" s="62">
        <f t="shared" si="68"/>
        <v>293.33333333333417</v>
      </c>
      <c r="CY131" s="62">
        <f ca="1">AVERAGE(OFFSET($CX$3,0,0,'Données projet'!$E$13+1,1))-AVERAGE(OFFSET($H$3,0,0,'Données projet'!$E$13+1,1))</f>
        <v>199.0086462069545</v>
      </c>
      <c r="CZ131" s="62">
        <f t="shared" si="96"/>
        <v>254.08208375594057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-3.4106051316484809E-13</v>
      </c>
      <c r="DP131" s="18">
        <f>DO131*VLOOKUP('Données projet'!$B$14,Paramètres!$A$1:$I$89,3,0)*VLOOKUP('Données projet'!$B$14,Paramètres!$A$1:$I$89,5,0)</f>
        <v>-1.9065282685915009E-13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534.78683721545372</v>
      </c>
      <c r="DU131" s="62">
        <f t="shared" si="98"/>
        <v>710.59298755711075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>
        <f>EJ131*VLOOKUP('Données projet'!$B$15,Paramètres!$A$1:$I$89,3,0)*VLOOKUP('Données projet'!$B$15,Paramètres!$A$1:$I$89,5,0)</f>
        <v>0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292.87204407272162</v>
      </c>
      <c r="EP131" s="62">
        <f t="shared" si="100"/>
        <v>326.06531673481805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-1.6671037883497774E-13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451.25506262546861</v>
      </c>
      <c r="T132" s="62">
        <f t="shared" si="88"/>
        <v>534.19872447444368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-8.8675733422860506E-14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252.84702735189455</v>
      </c>
      <c r="AO132" s="62">
        <f t="shared" si="90"/>
        <v>283.48738729114024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-7.626113074366004E-14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221.98516361836096</v>
      </c>
      <c r="BJ132" s="62">
        <f t="shared" si="92"/>
        <v>249.72262393661117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-9.0449248091317723E-14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257.24784840892409</v>
      </c>
      <c r="CE132" s="62">
        <f t="shared" si="94"/>
        <v>288.30197520356643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2.6602720026858149E-14</v>
      </c>
      <c r="CV132" s="14">
        <f t="shared" si="95"/>
        <v>4.6624771586320878E-13</v>
      </c>
      <c r="CW132" s="22">
        <f t="shared" ref="CW132:CW153" si="121">(CU132+CV132)*0.475*44/12</f>
        <v>8.583811758418665E-13</v>
      </c>
      <c r="CX132" s="62">
        <f t="shared" ref="CX132:CX195" si="122">CW132+(CO132+CP132)*44/12</f>
        <v>293.33333333333417</v>
      </c>
      <c r="CY132" s="62">
        <f ca="1">AVERAGE(OFFSET($CX$3,0,0,'Données projet'!$E$13+1,1))-AVERAGE(OFFSET($H$3,0,0,'Données projet'!$E$13+1,1))</f>
        <v>199.0086462069545</v>
      </c>
      <c r="CZ132" s="62">
        <f t="shared" si="96"/>
        <v>254.08208375594057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-3.4106051316484809E-13</v>
      </c>
      <c r="DP132" s="18">
        <f>DO132*VLOOKUP('Données projet'!$B$14,Paramètres!$A$1:$I$89,3,0)*VLOOKUP('Données projet'!$B$14,Paramètres!$A$1:$I$89,5,0)</f>
        <v>-1.9065282685915009E-13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534.78683721545372</v>
      </c>
      <c r="DU132" s="62">
        <f t="shared" si="98"/>
        <v>710.59298755711075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>
        <f>EJ132*VLOOKUP('Données projet'!$B$15,Paramètres!$A$1:$I$89,3,0)*VLOOKUP('Données projet'!$B$15,Paramètres!$A$1:$I$89,5,0)</f>
        <v>0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292.87204407272162</v>
      </c>
      <c r="EP132" s="62">
        <f t="shared" si="100"/>
        <v>326.06531673481805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-1.6671037883497774E-13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451.25506262546861</v>
      </c>
      <c r="T133" s="62">
        <f t="shared" ref="T133:T196" si="142">$T$3</f>
        <v>534.19872447444368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-8.8675733422860506E-14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252.84702735189455</v>
      </c>
      <c r="AO133" s="62">
        <f t="shared" ref="AO133:AO196" si="144">$AO$3</f>
        <v>283.48738729114024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-7.626113074366004E-14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221.98516361836096</v>
      </c>
      <c r="BJ133" s="62">
        <f t="shared" ref="BJ133:BJ196" si="146">$BJ$3</f>
        <v>249.72262393661117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-9.0449248091317723E-14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257.24784840892409</v>
      </c>
      <c r="CE133" s="62">
        <f t="shared" ref="CE133:CE196" si="148">$CE$3</f>
        <v>288.30197520356643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2.6602720026858149E-14</v>
      </c>
      <c r="CV133" s="14">
        <f t="shared" ref="CV133:CV153" si="149">EXP(-1.0587+0.8836*LN(CU133)+0.284)</f>
        <v>4.6624771586320878E-13</v>
      </c>
      <c r="CW133" s="22">
        <f t="shared" si="121"/>
        <v>8.583811758418665E-13</v>
      </c>
      <c r="CX133" s="62">
        <f t="shared" si="122"/>
        <v>293.33333333333417</v>
      </c>
      <c r="CY133" s="62">
        <f ca="1">AVERAGE(OFFSET($CX$3,0,0,'Données projet'!$E$13+1,1))-AVERAGE(OFFSET($H$3,0,0,'Données projet'!$E$13+1,1))</f>
        <v>199.0086462069545</v>
      </c>
      <c r="CZ133" s="62">
        <f t="shared" ref="CZ133:CZ196" si="150">$CZ$3</f>
        <v>254.08208375594057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-3.4106051316484809E-13</v>
      </c>
      <c r="DP133" s="18">
        <f>DO133*VLOOKUP('Données projet'!$B$14,Paramètres!$A$1:$I$89,3,0)*VLOOKUP('Données projet'!$B$14,Paramètres!$A$1:$I$89,5,0)</f>
        <v>-1.9065282685915009E-13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534.78683721545372</v>
      </c>
      <c r="DU133" s="62">
        <f t="shared" ref="DU133:DU196" si="152">$DU$3</f>
        <v>710.59298755711075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>
        <f>EJ133*VLOOKUP('Données projet'!$B$15,Paramètres!$A$1:$I$89,3,0)*VLOOKUP('Données projet'!$B$15,Paramètres!$A$1:$I$89,5,0)</f>
        <v>0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292.87204407272162</v>
      </c>
      <c r="EP133" s="62">
        <f t="shared" ref="EP133:EP196" si="154">$EP$3</f>
        <v>326.06531673481805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-1.6671037883497774E-13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451.25506262546861</v>
      </c>
      <c r="T134" s="62">
        <f t="shared" si="142"/>
        <v>534.19872447444368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-8.8675733422860506E-14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252.84702735189455</v>
      </c>
      <c r="AO134" s="62">
        <f t="shared" si="144"/>
        <v>283.48738729114024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-7.626113074366004E-14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221.98516361836096</v>
      </c>
      <c r="BJ134" s="62">
        <f t="shared" si="146"/>
        <v>249.72262393661117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-9.0449248091317723E-14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257.24784840892409</v>
      </c>
      <c r="CE134" s="62">
        <f t="shared" si="148"/>
        <v>288.30197520356643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2.6602720026858149E-14</v>
      </c>
      <c r="CV134" s="14">
        <f t="shared" si="149"/>
        <v>4.6624771586320878E-13</v>
      </c>
      <c r="CW134" s="22">
        <f t="shared" si="121"/>
        <v>8.583811758418665E-13</v>
      </c>
      <c r="CX134" s="62">
        <f t="shared" si="122"/>
        <v>293.33333333333417</v>
      </c>
      <c r="CY134" s="62">
        <f ca="1">AVERAGE(OFFSET($CX$3,0,0,'Données projet'!$E$13+1,1))-AVERAGE(OFFSET($H$3,0,0,'Données projet'!$E$13+1,1))</f>
        <v>199.0086462069545</v>
      </c>
      <c r="CZ134" s="62">
        <f t="shared" si="150"/>
        <v>254.08208375594057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-3.4106051316484809E-13</v>
      </c>
      <c r="DP134" s="18">
        <f>DO134*VLOOKUP('Données projet'!$B$14,Paramètres!$A$1:$I$89,3,0)*VLOOKUP('Données projet'!$B$14,Paramètres!$A$1:$I$89,5,0)</f>
        <v>-1.9065282685915009E-13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534.78683721545372</v>
      </c>
      <c r="DU134" s="62">
        <f t="shared" si="152"/>
        <v>710.59298755711075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>
        <f>EJ134*VLOOKUP('Données projet'!$B$15,Paramètres!$A$1:$I$89,3,0)*VLOOKUP('Données projet'!$B$15,Paramètres!$A$1:$I$89,5,0)</f>
        <v>0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292.87204407272162</v>
      </c>
      <c r="EP134" s="62">
        <f t="shared" si="154"/>
        <v>326.06531673481805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-1.6671037883497774E-13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451.25506262546861</v>
      </c>
      <c r="T135" s="62">
        <f t="shared" si="142"/>
        <v>534.19872447444368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-8.8675733422860506E-14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252.84702735189455</v>
      </c>
      <c r="AO135" s="62">
        <f t="shared" si="144"/>
        <v>283.48738729114024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-7.626113074366004E-14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221.98516361836096</v>
      </c>
      <c r="BJ135" s="62">
        <f t="shared" si="146"/>
        <v>249.72262393661117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-9.0449248091317723E-14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257.24784840892409</v>
      </c>
      <c r="CE135" s="62">
        <f t="shared" si="148"/>
        <v>288.30197520356643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2.6602720026858149E-14</v>
      </c>
      <c r="CV135" s="14">
        <f t="shared" si="149"/>
        <v>4.6624771586320878E-13</v>
      </c>
      <c r="CW135" s="22">
        <f t="shared" si="121"/>
        <v>8.583811758418665E-13</v>
      </c>
      <c r="CX135" s="62">
        <f t="shared" si="122"/>
        <v>293.33333333333417</v>
      </c>
      <c r="CY135" s="62">
        <f ca="1">AVERAGE(OFFSET($CX$3,0,0,'Données projet'!$E$13+1,1))-AVERAGE(OFFSET($H$3,0,0,'Données projet'!$E$13+1,1))</f>
        <v>199.0086462069545</v>
      </c>
      <c r="CZ135" s="62">
        <f t="shared" si="150"/>
        <v>254.08208375594057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-3.4106051316484809E-13</v>
      </c>
      <c r="DP135" s="18">
        <f>DO135*VLOOKUP('Données projet'!$B$14,Paramètres!$A$1:$I$89,3,0)*VLOOKUP('Données projet'!$B$14,Paramètres!$A$1:$I$89,5,0)</f>
        <v>-1.9065282685915009E-13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534.78683721545372</v>
      </c>
      <c r="DU135" s="62">
        <f t="shared" si="152"/>
        <v>710.59298755711075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>
        <f>EJ135*VLOOKUP('Données projet'!$B$15,Paramètres!$A$1:$I$89,3,0)*VLOOKUP('Données projet'!$B$15,Paramètres!$A$1:$I$89,5,0)</f>
        <v>0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292.87204407272162</v>
      </c>
      <c r="EP135" s="62">
        <f t="shared" si="154"/>
        <v>326.06531673481805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-1.6671037883497774E-13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451.25506262546861</v>
      </c>
      <c r="T136" s="62">
        <f t="shared" si="142"/>
        <v>534.19872447444368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-8.8675733422860506E-14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252.84702735189455</v>
      </c>
      <c r="AO136" s="62">
        <f t="shared" si="144"/>
        <v>283.48738729114024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-7.626113074366004E-14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221.98516361836096</v>
      </c>
      <c r="BJ136" s="62">
        <f t="shared" si="146"/>
        <v>249.72262393661117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-9.0449248091317723E-14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257.24784840892409</v>
      </c>
      <c r="CE136" s="62">
        <f t="shared" si="148"/>
        <v>288.30197520356643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2.6602720026858149E-14</v>
      </c>
      <c r="CV136" s="14">
        <f t="shared" si="149"/>
        <v>4.6624771586320878E-13</v>
      </c>
      <c r="CW136" s="22">
        <f t="shared" si="121"/>
        <v>8.583811758418665E-13</v>
      </c>
      <c r="CX136" s="62">
        <f t="shared" si="122"/>
        <v>293.33333333333417</v>
      </c>
      <c r="CY136" s="62">
        <f ca="1">AVERAGE(OFFSET($CX$3,0,0,'Données projet'!$E$13+1,1))-AVERAGE(OFFSET($H$3,0,0,'Données projet'!$E$13+1,1))</f>
        <v>199.0086462069545</v>
      </c>
      <c r="CZ136" s="62">
        <f t="shared" si="150"/>
        <v>254.08208375594057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-3.4106051316484809E-13</v>
      </c>
      <c r="DP136" s="18">
        <f>DO136*VLOOKUP('Données projet'!$B$14,Paramètres!$A$1:$I$89,3,0)*VLOOKUP('Données projet'!$B$14,Paramètres!$A$1:$I$89,5,0)</f>
        <v>-1.9065282685915009E-13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534.78683721545372</v>
      </c>
      <c r="DU136" s="62">
        <f t="shared" si="152"/>
        <v>710.59298755711075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>
        <f>EJ136*VLOOKUP('Données projet'!$B$15,Paramètres!$A$1:$I$89,3,0)*VLOOKUP('Données projet'!$B$15,Paramètres!$A$1:$I$89,5,0)</f>
        <v>0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292.87204407272162</v>
      </c>
      <c r="EP136" s="62">
        <f t="shared" si="154"/>
        <v>326.06531673481805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-1.6671037883497774E-13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451.25506262546861</v>
      </c>
      <c r="T137" s="62">
        <f t="shared" si="142"/>
        <v>534.19872447444368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-8.8675733422860506E-14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252.84702735189455</v>
      </c>
      <c r="AO137" s="62">
        <f t="shared" si="144"/>
        <v>283.48738729114024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-7.626113074366004E-14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221.98516361836096</v>
      </c>
      <c r="BJ137" s="62">
        <f t="shared" si="146"/>
        <v>249.72262393661117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-9.0449248091317723E-14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257.24784840892409</v>
      </c>
      <c r="CE137" s="62">
        <f t="shared" si="148"/>
        <v>288.30197520356643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2.6602720026858149E-14</v>
      </c>
      <c r="CV137" s="14">
        <f t="shared" si="149"/>
        <v>4.6624771586320878E-13</v>
      </c>
      <c r="CW137" s="22">
        <f t="shared" si="121"/>
        <v>8.583811758418665E-13</v>
      </c>
      <c r="CX137" s="62">
        <f t="shared" si="122"/>
        <v>293.33333333333417</v>
      </c>
      <c r="CY137" s="62">
        <f ca="1">AVERAGE(OFFSET($CX$3,0,0,'Données projet'!$E$13+1,1))-AVERAGE(OFFSET($H$3,0,0,'Données projet'!$E$13+1,1))</f>
        <v>199.0086462069545</v>
      </c>
      <c r="CZ137" s="62">
        <f t="shared" si="150"/>
        <v>254.08208375594057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-3.4106051316484809E-13</v>
      </c>
      <c r="DP137" s="18">
        <f>DO137*VLOOKUP('Données projet'!$B$14,Paramètres!$A$1:$I$89,3,0)*VLOOKUP('Données projet'!$B$14,Paramètres!$A$1:$I$89,5,0)</f>
        <v>-1.9065282685915009E-13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534.78683721545372</v>
      </c>
      <c r="DU137" s="62">
        <f t="shared" si="152"/>
        <v>710.59298755711075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>
        <f>EJ137*VLOOKUP('Données projet'!$B$15,Paramètres!$A$1:$I$89,3,0)*VLOOKUP('Données projet'!$B$15,Paramètres!$A$1:$I$89,5,0)</f>
        <v>0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292.87204407272162</v>
      </c>
      <c r="EP137" s="62">
        <f t="shared" si="154"/>
        <v>326.06531673481805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-1.6671037883497774E-13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451.25506262546861</v>
      </c>
      <c r="T138" s="62">
        <f t="shared" si="142"/>
        <v>534.19872447444368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-8.8675733422860506E-14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252.84702735189455</v>
      </c>
      <c r="AO138" s="62">
        <f t="shared" si="144"/>
        <v>283.48738729114024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-7.626113074366004E-14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221.98516361836096</v>
      </c>
      <c r="BJ138" s="62">
        <f t="shared" si="146"/>
        <v>249.72262393661117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-9.0449248091317723E-14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257.24784840892409</v>
      </c>
      <c r="CE138" s="62">
        <f t="shared" si="148"/>
        <v>288.30197520356643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2.6602720026858149E-14</v>
      </c>
      <c r="CV138" s="14">
        <f t="shared" si="149"/>
        <v>4.6624771586320878E-13</v>
      </c>
      <c r="CW138" s="22">
        <f t="shared" si="121"/>
        <v>8.583811758418665E-13</v>
      </c>
      <c r="CX138" s="62">
        <f t="shared" si="122"/>
        <v>293.33333333333417</v>
      </c>
      <c r="CY138" s="62">
        <f ca="1">AVERAGE(OFFSET($CX$3,0,0,'Données projet'!$E$13+1,1))-AVERAGE(OFFSET($H$3,0,0,'Données projet'!$E$13+1,1))</f>
        <v>199.0086462069545</v>
      </c>
      <c r="CZ138" s="62">
        <f t="shared" si="150"/>
        <v>254.08208375594057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-3.4106051316484809E-13</v>
      </c>
      <c r="DP138" s="18">
        <f>DO138*VLOOKUP('Données projet'!$B$14,Paramètres!$A$1:$I$89,3,0)*VLOOKUP('Données projet'!$B$14,Paramètres!$A$1:$I$89,5,0)</f>
        <v>-1.9065282685915009E-13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534.78683721545372</v>
      </c>
      <c r="DU138" s="62">
        <f t="shared" si="152"/>
        <v>710.59298755711075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>
        <f>EJ138*VLOOKUP('Données projet'!$B$15,Paramètres!$A$1:$I$89,3,0)*VLOOKUP('Données projet'!$B$15,Paramètres!$A$1:$I$89,5,0)</f>
        <v>0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292.87204407272162</v>
      </c>
      <c r="EP138" s="62">
        <f t="shared" si="154"/>
        <v>326.06531673481805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-1.6671037883497774E-13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451.25506262546861</v>
      </c>
      <c r="T139" s="62">
        <f t="shared" si="142"/>
        <v>534.19872447444368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-8.8675733422860506E-14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252.84702735189455</v>
      </c>
      <c r="AO139" s="62">
        <f t="shared" si="144"/>
        <v>283.48738729114024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-7.626113074366004E-14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221.98516361836096</v>
      </c>
      <c r="BJ139" s="62">
        <f t="shared" si="146"/>
        <v>249.72262393661117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-9.0449248091317723E-14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257.24784840892409</v>
      </c>
      <c r="CE139" s="62">
        <f t="shared" si="148"/>
        <v>288.30197520356643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2.6602720026858149E-14</v>
      </c>
      <c r="CV139" s="14">
        <f t="shared" si="149"/>
        <v>4.6624771586320878E-13</v>
      </c>
      <c r="CW139" s="22">
        <f t="shared" si="121"/>
        <v>8.583811758418665E-13</v>
      </c>
      <c r="CX139" s="62">
        <f t="shared" si="122"/>
        <v>293.33333333333417</v>
      </c>
      <c r="CY139" s="62">
        <f ca="1">AVERAGE(OFFSET($CX$3,0,0,'Données projet'!$E$13+1,1))-AVERAGE(OFFSET($H$3,0,0,'Données projet'!$E$13+1,1))</f>
        <v>199.0086462069545</v>
      </c>
      <c r="CZ139" s="62">
        <f t="shared" si="150"/>
        <v>254.08208375594057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-3.4106051316484809E-13</v>
      </c>
      <c r="DP139" s="18">
        <f>DO139*VLOOKUP('Données projet'!$B$14,Paramètres!$A$1:$I$89,3,0)*VLOOKUP('Données projet'!$B$14,Paramètres!$A$1:$I$89,5,0)</f>
        <v>-1.9065282685915009E-13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534.78683721545372</v>
      </c>
      <c r="DU139" s="62">
        <f t="shared" si="152"/>
        <v>710.59298755711075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>
        <f>EJ139*VLOOKUP('Données projet'!$B$15,Paramètres!$A$1:$I$89,3,0)*VLOOKUP('Données projet'!$B$15,Paramètres!$A$1:$I$89,5,0)</f>
        <v>0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292.87204407272162</v>
      </c>
      <c r="EP139" s="62">
        <f t="shared" si="154"/>
        <v>326.06531673481805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-1.6671037883497774E-13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451.25506262546861</v>
      </c>
      <c r="T140" s="62">
        <f t="shared" si="142"/>
        <v>534.19872447444368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-8.8675733422860506E-14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252.84702735189455</v>
      </c>
      <c r="AO140" s="62">
        <f t="shared" si="144"/>
        <v>283.48738729114024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-7.626113074366004E-14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221.98516361836096</v>
      </c>
      <c r="BJ140" s="62">
        <f t="shared" si="146"/>
        <v>249.72262393661117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-9.0449248091317723E-14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257.24784840892409</v>
      </c>
      <c r="CE140" s="62">
        <f t="shared" si="148"/>
        <v>288.30197520356643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2.6602720026858149E-14</v>
      </c>
      <c r="CV140" s="14">
        <f t="shared" si="149"/>
        <v>4.6624771586320878E-13</v>
      </c>
      <c r="CW140" s="22">
        <f t="shared" si="121"/>
        <v>8.583811758418665E-13</v>
      </c>
      <c r="CX140" s="62">
        <f t="shared" si="122"/>
        <v>293.33333333333417</v>
      </c>
      <c r="CY140" s="62">
        <f ca="1">AVERAGE(OFFSET($CX$3,0,0,'Données projet'!$E$13+1,1))-AVERAGE(OFFSET($H$3,0,0,'Données projet'!$E$13+1,1))</f>
        <v>199.0086462069545</v>
      </c>
      <c r="CZ140" s="62">
        <f t="shared" si="150"/>
        <v>254.08208375594057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-3.4106051316484809E-13</v>
      </c>
      <c r="DP140" s="18">
        <f>DO140*VLOOKUP('Données projet'!$B$14,Paramètres!$A$1:$I$89,3,0)*VLOOKUP('Données projet'!$B$14,Paramètres!$A$1:$I$89,5,0)</f>
        <v>-1.9065282685915009E-13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534.78683721545372</v>
      </c>
      <c r="DU140" s="62">
        <f t="shared" si="152"/>
        <v>710.59298755711075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>
        <f>EJ140*VLOOKUP('Données projet'!$B$15,Paramètres!$A$1:$I$89,3,0)*VLOOKUP('Données projet'!$B$15,Paramètres!$A$1:$I$89,5,0)</f>
        <v>0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292.87204407272162</v>
      </c>
      <c r="EP140" s="62">
        <f t="shared" si="154"/>
        <v>326.06531673481805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-1.6671037883497774E-13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451.25506262546861</v>
      </c>
      <c r="T141" s="62">
        <f t="shared" si="142"/>
        <v>534.19872447444368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-8.8675733422860506E-14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252.84702735189455</v>
      </c>
      <c r="AO141" s="62">
        <f t="shared" si="144"/>
        <v>283.48738729114024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-7.626113074366004E-14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221.98516361836096</v>
      </c>
      <c r="BJ141" s="62">
        <f t="shared" si="146"/>
        <v>249.72262393661117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-9.0449248091317723E-14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257.24784840892409</v>
      </c>
      <c r="CE141" s="62">
        <f t="shared" si="148"/>
        <v>288.30197520356643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2.6602720026858149E-14</v>
      </c>
      <c r="CV141" s="14">
        <f t="shared" si="149"/>
        <v>4.6624771586320878E-13</v>
      </c>
      <c r="CW141" s="22">
        <f t="shared" si="121"/>
        <v>8.583811758418665E-13</v>
      </c>
      <c r="CX141" s="62">
        <f t="shared" si="122"/>
        <v>293.33333333333417</v>
      </c>
      <c r="CY141" s="62">
        <f ca="1">AVERAGE(OFFSET($CX$3,0,0,'Données projet'!$E$13+1,1))-AVERAGE(OFFSET($H$3,0,0,'Données projet'!$E$13+1,1))</f>
        <v>199.0086462069545</v>
      </c>
      <c r="CZ141" s="62">
        <f t="shared" si="150"/>
        <v>254.08208375594057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-3.4106051316484809E-13</v>
      </c>
      <c r="DP141" s="18">
        <f>DO141*VLOOKUP('Données projet'!$B$14,Paramètres!$A$1:$I$89,3,0)*VLOOKUP('Données projet'!$B$14,Paramètres!$A$1:$I$89,5,0)</f>
        <v>-1.9065282685915009E-13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534.78683721545372</v>
      </c>
      <c r="DU141" s="62">
        <f t="shared" si="152"/>
        <v>710.59298755711075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>
        <f>EJ141*VLOOKUP('Données projet'!$B$15,Paramètres!$A$1:$I$89,3,0)*VLOOKUP('Données projet'!$B$15,Paramètres!$A$1:$I$89,5,0)</f>
        <v>0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292.87204407272162</v>
      </c>
      <c r="EP141" s="62">
        <f t="shared" si="154"/>
        <v>326.06531673481805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-1.6671037883497774E-13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451.25506262546861</v>
      </c>
      <c r="T142" s="62">
        <f t="shared" si="142"/>
        <v>534.19872447444368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-8.8675733422860506E-14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252.84702735189455</v>
      </c>
      <c r="AO142" s="62">
        <f t="shared" si="144"/>
        <v>283.48738729114024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-7.626113074366004E-14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221.98516361836096</v>
      </c>
      <c r="BJ142" s="62">
        <f t="shared" si="146"/>
        <v>249.72262393661117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-9.0449248091317723E-14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257.24784840892409</v>
      </c>
      <c r="CE142" s="62">
        <f t="shared" si="148"/>
        <v>288.30197520356643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2.6602720026858149E-14</v>
      </c>
      <c r="CV142" s="14">
        <f t="shared" si="149"/>
        <v>4.6624771586320878E-13</v>
      </c>
      <c r="CW142" s="22">
        <f t="shared" si="121"/>
        <v>8.583811758418665E-13</v>
      </c>
      <c r="CX142" s="62">
        <f t="shared" si="122"/>
        <v>293.33333333333417</v>
      </c>
      <c r="CY142" s="62">
        <f ca="1">AVERAGE(OFFSET($CX$3,0,0,'Données projet'!$E$13+1,1))-AVERAGE(OFFSET($H$3,0,0,'Données projet'!$E$13+1,1))</f>
        <v>199.0086462069545</v>
      </c>
      <c r="CZ142" s="62">
        <f t="shared" si="150"/>
        <v>254.08208375594057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-3.4106051316484809E-13</v>
      </c>
      <c r="DP142" s="18">
        <f>DO142*VLOOKUP('Données projet'!$B$14,Paramètres!$A$1:$I$89,3,0)*VLOOKUP('Données projet'!$B$14,Paramètres!$A$1:$I$89,5,0)</f>
        <v>-1.9065282685915009E-13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534.78683721545372</v>
      </c>
      <c r="DU142" s="62">
        <f t="shared" si="152"/>
        <v>710.59298755711075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>
        <f>EJ142*VLOOKUP('Données projet'!$B$15,Paramètres!$A$1:$I$89,3,0)*VLOOKUP('Données projet'!$B$15,Paramètres!$A$1:$I$89,5,0)</f>
        <v>0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292.87204407272162</v>
      </c>
      <c r="EP142" s="62">
        <f t="shared" si="154"/>
        <v>326.06531673481805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-1.6671037883497774E-13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451.25506262546861</v>
      </c>
      <c r="T143" s="62">
        <f t="shared" si="142"/>
        <v>534.19872447444368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-8.8675733422860506E-14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252.84702735189455</v>
      </c>
      <c r="AO143" s="62">
        <f t="shared" si="144"/>
        <v>283.48738729114024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-7.626113074366004E-14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221.98516361836096</v>
      </c>
      <c r="BJ143" s="62">
        <f t="shared" si="146"/>
        <v>249.72262393661117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-9.0449248091317723E-14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257.24784840892409</v>
      </c>
      <c r="CE143" s="62">
        <f t="shared" si="148"/>
        <v>288.30197520356643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2.6602720026858149E-14</v>
      </c>
      <c r="CV143" s="14">
        <f t="shared" si="149"/>
        <v>4.6624771586320878E-13</v>
      </c>
      <c r="CW143" s="22">
        <f t="shared" si="121"/>
        <v>8.583811758418665E-13</v>
      </c>
      <c r="CX143" s="62">
        <f t="shared" si="122"/>
        <v>293.33333333333417</v>
      </c>
      <c r="CY143" s="62">
        <f ca="1">AVERAGE(OFFSET($CX$3,0,0,'Données projet'!$E$13+1,1))-AVERAGE(OFFSET($H$3,0,0,'Données projet'!$E$13+1,1))</f>
        <v>199.0086462069545</v>
      </c>
      <c r="CZ143" s="62">
        <f t="shared" si="150"/>
        <v>254.08208375594057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-3.4106051316484809E-13</v>
      </c>
      <c r="DP143" s="18">
        <f>DO143*VLOOKUP('Données projet'!$B$14,Paramètres!$A$1:$I$89,3,0)*VLOOKUP('Données projet'!$B$14,Paramètres!$A$1:$I$89,5,0)</f>
        <v>-1.9065282685915009E-13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534.78683721545372</v>
      </c>
      <c r="DU143" s="62">
        <f t="shared" si="152"/>
        <v>710.59298755711075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>
        <f>EJ143*VLOOKUP('Données projet'!$B$15,Paramètres!$A$1:$I$89,3,0)*VLOOKUP('Données projet'!$B$15,Paramètres!$A$1:$I$89,5,0)</f>
        <v>0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292.87204407272162</v>
      </c>
      <c r="EP143" s="62">
        <f t="shared" si="154"/>
        <v>326.06531673481805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-1.6671037883497774E-13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451.25506262546861</v>
      </c>
      <c r="T144" s="62">
        <f t="shared" si="142"/>
        <v>534.19872447444368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-8.8675733422860506E-14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252.84702735189455</v>
      </c>
      <c r="AO144" s="62">
        <f t="shared" si="144"/>
        <v>283.48738729114024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-7.626113074366004E-14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221.98516361836096</v>
      </c>
      <c r="BJ144" s="62">
        <f t="shared" si="146"/>
        <v>249.72262393661117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-9.0449248091317723E-14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257.24784840892409</v>
      </c>
      <c r="CE144" s="62">
        <f t="shared" si="148"/>
        <v>288.30197520356643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2.6602720026858149E-14</v>
      </c>
      <c r="CV144" s="14">
        <f t="shared" si="149"/>
        <v>4.6624771586320878E-13</v>
      </c>
      <c r="CW144" s="22">
        <f t="shared" si="121"/>
        <v>8.583811758418665E-13</v>
      </c>
      <c r="CX144" s="62">
        <f t="shared" si="122"/>
        <v>293.33333333333417</v>
      </c>
      <c r="CY144" s="62">
        <f ca="1">AVERAGE(OFFSET($CX$3,0,0,'Données projet'!$E$13+1,1))-AVERAGE(OFFSET($H$3,0,0,'Données projet'!$E$13+1,1))</f>
        <v>199.0086462069545</v>
      </c>
      <c r="CZ144" s="62">
        <f t="shared" si="150"/>
        <v>254.08208375594057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-3.4106051316484809E-13</v>
      </c>
      <c r="DP144" s="18">
        <f>DO144*VLOOKUP('Données projet'!$B$14,Paramètres!$A$1:$I$89,3,0)*VLOOKUP('Données projet'!$B$14,Paramètres!$A$1:$I$89,5,0)</f>
        <v>-1.9065282685915009E-13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534.78683721545372</v>
      </c>
      <c r="DU144" s="62">
        <f t="shared" si="152"/>
        <v>710.59298755711075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>
        <f>EJ144*VLOOKUP('Données projet'!$B$15,Paramètres!$A$1:$I$89,3,0)*VLOOKUP('Données projet'!$B$15,Paramètres!$A$1:$I$89,5,0)</f>
        <v>0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292.87204407272162</v>
      </c>
      <c r="EP144" s="62">
        <f t="shared" si="154"/>
        <v>326.06531673481805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-1.6671037883497774E-13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451.25506262546861</v>
      </c>
      <c r="T145" s="62">
        <f t="shared" si="142"/>
        <v>534.19872447444368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-8.8675733422860506E-14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252.84702735189455</v>
      </c>
      <c r="AO145" s="62">
        <f t="shared" si="144"/>
        <v>283.48738729114024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-7.626113074366004E-14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221.98516361836096</v>
      </c>
      <c r="BJ145" s="62">
        <f t="shared" si="146"/>
        <v>249.72262393661117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-9.0449248091317723E-14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257.24784840892409</v>
      </c>
      <c r="CE145" s="62">
        <f t="shared" si="148"/>
        <v>288.30197520356643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2.6602720026858149E-14</v>
      </c>
      <c r="CV145" s="14">
        <f t="shared" si="149"/>
        <v>4.6624771586320878E-13</v>
      </c>
      <c r="CW145" s="22">
        <f t="shared" si="121"/>
        <v>8.583811758418665E-13</v>
      </c>
      <c r="CX145" s="62">
        <f t="shared" si="122"/>
        <v>293.33333333333417</v>
      </c>
      <c r="CY145" s="62">
        <f ca="1">AVERAGE(OFFSET($CX$3,0,0,'Données projet'!$E$13+1,1))-AVERAGE(OFFSET($H$3,0,0,'Données projet'!$E$13+1,1))</f>
        <v>199.0086462069545</v>
      </c>
      <c r="CZ145" s="62">
        <f t="shared" si="150"/>
        <v>254.08208375594057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-3.4106051316484809E-13</v>
      </c>
      <c r="DP145" s="18">
        <f>DO145*VLOOKUP('Données projet'!$B$14,Paramètres!$A$1:$I$89,3,0)*VLOOKUP('Données projet'!$B$14,Paramètres!$A$1:$I$89,5,0)</f>
        <v>-1.9065282685915009E-13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534.78683721545372</v>
      </c>
      <c r="DU145" s="62">
        <f t="shared" si="152"/>
        <v>710.59298755711075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>
        <f>EJ145*VLOOKUP('Données projet'!$B$15,Paramètres!$A$1:$I$89,3,0)*VLOOKUP('Données projet'!$B$15,Paramètres!$A$1:$I$89,5,0)</f>
        <v>0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292.87204407272162</v>
      </c>
      <c r="EP145" s="62">
        <f t="shared" si="154"/>
        <v>326.06531673481805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-1.6671037883497774E-13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451.25506262546861</v>
      </c>
      <c r="T146" s="62">
        <f t="shared" si="142"/>
        <v>534.19872447444368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-8.8675733422860506E-14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252.84702735189455</v>
      </c>
      <c r="AO146" s="62">
        <f t="shared" si="144"/>
        <v>283.48738729114024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-7.626113074366004E-14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221.98516361836096</v>
      </c>
      <c r="BJ146" s="62">
        <f t="shared" si="146"/>
        <v>249.72262393661117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-9.0449248091317723E-14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257.24784840892409</v>
      </c>
      <c r="CE146" s="62">
        <f t="shared" si="148"/>
        <v>288.30197520356643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2.6602720026858149E-14</v>
      </c>
      <c r="CV146" s="14">
        <f t="shared" si="149"/>
        <v>4.6624771586320878E-13</v>
      </c>
      <c r="CW146" s="22">
        <f t="shared" si="121"/>
        <v>8.583811758418665E-13</v>
      </c>
      <c r="CX146" s="62">
        <f t="shared" si="122"/>
        <v>293.33333333333417</v>
      </c>
      <c r="CY146" s="62">
        <f ca="1">AVERAGE(OFFSET($CX$3,0,0,'Données projet'!$E$13+1,1))-AVERAGE(OFFSET($H$3,0,0,'Données projet'!$E$13+1,1))</f>
        <v>199.0086462069545</v>
      </c>
      <c r="CZ146" s="62">
        <f t="shared" si="150"/>
        <v>254.08208375594057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-3.4106051316484809E-13</v>
      </c>
      <c r="DP146" s="18">
        <f>DO146*VLOOKUP('Données projet'!$B$14,Paramètres!$A$1:$I$89,3,0)*VLOOKUP('Données projet'!$B$14,Paramètres!$A$1:$I$89,5,0)</f>
        <v>-1.9065282685915009E-13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534.78683721545372</v>
      </c>
      <c r="DU146" s="62">
        <f t="shared" si="152"/>
        <v>710.59298755711075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>
        <f>EJ146*VLOOKUP('Données projet'!$B$15,Paramètres!$A$1:$I$89,3,0)*VLOOKUP('Données projet'!$B$15,Paramètres!$A$1:$I$89,5,0)</f>
        <v>0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292.87204407272162</v>
      </c>
      <c r="EP146" s="62">
        <f t="shared" si="154"/>
        <v>326.06531673481805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-1.6671037883497774E-13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451.25506262546861</v>
      </c>
      <c r="T147" s="62">
        <f t="shared" si="142"/>
        <v>534.19872447444368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-8.8675733422860506E-14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252.84702735189455</v>
      </c>
      <c r="AO147" s="62">
        <f t="shared" si="144"/>
        <v>283.48738729114024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-7.626113074366004E-14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221.98516361836096</v>
      </c>
      <c r="BJ147" s="62">
        <f t="shared" si="146"/>
        <v>249.72262393661117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-9.0449248091317723E-14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257.24784840892409</v>
      </c>
      <c r="CE147" s="62">
        <f t="shared" si="148"/>
        <v>288.30197520356643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2.6602720026858149E-14</v>
      </c>
      <c r="CV147" s="14">
        <f t="shared" si="149"/>
        <v>4.6624771586320878E-13</v>
      </c>
      <c r="CW147" s="22">
        <f t="shared" si="121"/>
        <v>8.583811758418665E-13</v>
      </c>
      <c r="CX147" s="62">
        <f t="shared" si="122"/>
        <v>293.33333333333417</v>
      </c>
      <c r="CY147" s="62">
        <f ca="1">AVERAGE(OFFSET($CX$3,0,0,'Données projet'!$E$13+1,1))-AVERAGE(OFFSET($H$3,0,0,'Données projet'!$E$13+1,1))</f>
        <v>199.0086462069545</v>
      </c>
      <c r="CZ147" s="62">
        <f t="shared" si="150"/>
        <v>254.08208375594057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-3.4106051316484809E-13</v>
      </c>
      <c r="DP147" s="18">
        <f>DO147*VLOOKUP('Données projet'!$B$14,Paramètres!$A$1:$I$89,3,0)*VLOOKUP('Données projet'!$B$14,Paramètres!$A$1:$I$89,5,0)</f>
        <v>-1.9065282685915009E-13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534.78683721545372</v>
      </c>
      <c r="DU147" s="62">
        <f t="shared" si="152"/>
        <v>710.59298755711075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>
        <f>EJ147*VLOOKUP('Données projet'!$B$15,Paramètres!$A$1:$I$89,3,0)*VLOOKUP('Données projet'!$B$15,Paramètres!$A$1:$I$89,5,0)</f>
        <v>0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292.87204407272162</v>
      </c>
      <c r="EP147" s="62">
        <f t="shared" si="154"/>
        <v>326.06531673481805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-1.6671037883497774E-13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451.25506262546861</v>
      </c>
      <c r="T148" s="62">
        <f t="shared" si="142"/>
        <v>534.19872447444368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-8.8675733422860506E-14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252.84702735189455</v>
      </c>
      <c r="AO148" s="62">
        <f t="shared" si="144"/>
        <v>283.48738729114024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-7.626113074366004E-14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221.98516361836096</v>
      </c>
      <c r="BJ148" s="62">
        <f t="shared" si="146"/>
        <v>249.72262393661117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-9.0449248091317723E-14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257.24784840892409</v>
      </c>
      <c r="CE148" s="62">
        <f t="shared" si="148"/>
        <v>288.30197520356643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2.6602720026858149E-14</v>
      </c>
      <c r="CV148" s="14">
        <f t="shared" si="149"/>
        <v>4.6624771586320878E-13</v>
      </c>
      <c r="CW148" s="22">
        <f t="shared" si="121"/>
        <v>8.583811758418665E-13</v>
      </c>
      <c r="CX148" s="62">
        <f t="shared" si="122"/>
        <v>293.33333333333417</v>
      </c>
      <c r="CY148" s="62">
        <f ca="1">AVERAGE(OFFSET($CX$3,0,0,'Données projet'!$E$13+1,1))-AVERAGE(OFFSET($H$3,0,0,'Données projet'!$E$13+1,1))</f>
        <v>199.0086462069545</v>
      </c>
      <c r="CZ148" s="62">
        <f t="shared" si="150"/>
        <v>254.08208375594057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-3.4106051316484809E-13</v>
      </c>
      <c r="DP148" s="18">
        <f>DO148*VLOOKUP('Données projet'!$B$14,Paramètres!$A$1:$I$89,3,0)*VLOOKUP('Données projet'!$B$14,Paramètres!$A$1:$I$89,5,0)</f>
        <v>-1.9065282685915009E-13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534.78683721545372</v>
      </c>
      <c r="DU148" s="62">
        <f t="shared" si="152"/>
        <v>710.59298755711075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>
        <f>EJ148*VLOOKUP('Données projet'!$B$15,Paramètres!$A$1:$I$89,3,0)*VLOOKUP('Données projet'!$B$15,Paramètres!$A$1:$I$89,5,0)</f>
        <v>0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292.87204407272162</v>
      </c>
      <c r="EP148" s="62">
        <f t="shared" si="154"/>
        <v>326.06531673481805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-1.6671037883497774E-13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451.25506262546861</v>
      </c>
      <c r="T149" s="62">
        <f t="shared" si="142"/>
        <v>534.19872447444368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-8.8675733422860506E-14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252.84702735189455</v>
      </c>
      <c r="AO149" s="62">
        <f t="shared" si="144"/>
        <v>283.48738729114024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-7.626113074366004E-14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221.98516361836096</v>
      </c>
      <c r="BJ149" s="62">
        <f t="shared" si="146"/>
        <v>249.72262393661117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-9.0449248091317723E-14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257.24784840892409</v>
      </c>
      <c r="CE149" s="62">
        <f t="shared" si="148"/>
        <v>288.30197520356643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2.6602720026858149E-14</v>
      </c>
      <c r="CV149" s="14">
        <f t="shared" si="149"/>
        <v>4.6624771586320878E-13</v>
      </c>
      <c r="CW149" s="22">
        <f t="shared" si="121"/>
        <v>8.583811758418665E-13</v>
      </c>
      <c r="CX149" s="62">
        <f t="shared" si="122"/>
        <v>293.33333333333417</v>
      </c>
      <c r="CY149" s="62">
        <f ca="1">AVERAGE(OFFSET($CX$3,0,0,'Données projet'!$E$13+1,1))-AVERAGE(OFFSET($H$3,0,0,'Données projet'!$E$13+1,1))</f>
        <v>199.0086462069545</v>
      </c>
      <c r="CZ149" s="62">
        <f t="shared" si="150"/>
        <v>254.08208375594057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-3.4106051316484809E-13</v>
      </c>
      <c r="DP149" s="18">
        <f>DO149*VLOOKUP('Données projet'!$B$14,Paramètres!$A$1:$I$89,3,0)*VLOOKUP('Données projet'!$B$14,Paramètres!$A$1:$I$89,5,0)</f>
        <v>-1.9065282685915009E-13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534.78683721545372</v>
      </c>
      <c r="DU149" s="62">
        <f t="shared" si="152"/>
        <v>710.59298755711075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>
        <f>EJ149*VLOOKUP('Données projet'!$B$15,Paramètres!$A$1:$I$89,3,0)*VLOOKUP('Données projet'!$B$15,Paramètres!$A$1:$I$89,5,0)</f>
        <v>0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292.87204407272162</v>
      </c>
      <c r="EP149" s="62">
        <f t="shared" si="154"/>
        <v>326.06531673481805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-1.6671037883497774E-13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451.25506262546861</v>
      </c>
      <c r="T150" s="62">
        <f t="shared" si="142"/>
        <v>534.19872447444368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-8.8675733422860506E-14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252.84702735189455</v>
      </c>
      <c r="AO150" s="62">
        <f t="shared" si="144"/>
        <v>283.48738729114024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-7.626113074366004E-14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221.98516361836096</v>
      </c>
      <c r="BJ150" s="62">
        <f t="shared" si="146"/>
        <v>249.72262393661117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-9.0449248091317723E-14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257.24784840892409</v>
      </c>
      <c r="CE150" s="62">
        <f t="shared" si="148"/>
        <v>288.30197520356643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2.6602720026858149E-14</v>
      </c>
      <c r="CV150" s="14">
        <f t="shared" si="149"/>
        <v>4.6624771586320878E-13</v>
      </c>
      <c r="CW150" s="22">
        <f t="shared" si="121"/>
        <v>8.583811758418665E-13</v>
      </c>
      <c r="CX150" s="62">
        <f t="shared" si="122"/>
        <v>293.33333333333417</v>
      </c>
      <c r="CY150" s="62">
        <f ca="1">AVERAGE(OFFSET($CX$3,0,0,'Données projet'!$E$13+1,1))-AVERAGE(OFFSET($H$3,0,0,'Données projet'!$E$13+1,1))</f>
        <v>199.0086462069545</v>
      </c>
      <c r="CZ150" s="62">
        <f t="shared" si="150"/>
        <v>254.08208375594057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-3.4106051316484809E-13</v>
      </c>
      <c r="DP150" s="18">
        <f>DO150*VLOOKUP('Données projet'!$B$14,Paramètres!$A$1:$I$89,3,0)*VLOOKUP('Données projet'!$B$14,Paramètres!$A$1:$I$89,5,0)</f>
        <v>-1.9065282685915009E-13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534.78683721545372</v>
      </c>
      <c r="DU150" s="62">
        <f t="shared" si="152"/>
        <v>710.59298755711075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>
        <f>EJ150*VLOOKUP('Données projet'!$B$15,Paramètres!$A$1:$I$89,3,0)*VLOOKUP('Données projet'!$B$15,Paramètres!$A$1:$I$89,5,0)</f>
        <v>0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292.87204407272162</v>
      </c>
      <c r="EP150" s="62">
        <f t="shared" si="154"/>
        <v>326.06531673481805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-1.6671037883497774E-13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451.25506262546861</v>
      </c>
      <c r="T151" s="62">
        <f t="shared" si="142"/>
        <v>534.19872447444368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-8.8675733422860506E-14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252.84702735189455</v>
      </c>
      <c r="AO151" s="62">
        <f t="shared" si="144"/>
        <v>283.48738729114024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-7.626113074366004E-14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221.98516361836096</v>
      </c>
      <c r="BJ151" s="62">
        <f t="shared" si="146"/>
        <v>249.72262393661117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-9.0449248091317723E-14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257.24784840892409</v>
      </c>
      <c r="CE151" s="62">
        <f t="shared" si="148"/>
        <v>288.30197520356643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2.6602720026858149E-14</v>
      </c>
      <c r="CV151" s="14">
        <f t="shared" si="149"/>
        <v>4.6624771586320878E-13</v>
      </c>
      <c r="CW151" s="22">
        <f t="shared" si="121"/>
        <v>8.583811758418665E-13</v>
      </c>
      <c r="CX151" s="62">
        <f t="shared" si="122"/>
        <v>293.33333333333417</v>
      </c>
      <c r="CY151" s="62">
        <f ca="1">AVERAGE(OFFSET($CX$3,0,0,'Données projet'!$E$13+1,1))-AVERAGE(OFFSET($H$3,0,0,'Données projet'!$E$13+1,1))</f>
        <v>199.0086462069545</v>
      </c>
      <c r="CZ151" s="62">
        <f t="shared" si="150"/>
        <v>254.08208375594057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-3.4106051316484809E-13</v>
      </c>
      <c r="DP151" s="18">
        <f>DO151*VLOOKUP('Données projet'!$B$14,Paramètres!$A$1:$I$89,3,0)*VLOOKUP('Données projet'!$B$14,Paramètres!$A$1:$I$89,5,0)</f>
        <v>-1.9065282685915009E-13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534.78683721545372</v>
      </c>
      <c r="DU151" s="62">
        <f t="shared" si="152"/>
        <v>710.59298755711075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>
        <f>EJ151*VLOOKUP('Données projet'!$B$15,Paramètres!$A$1:$I$89,3,0)*VLOOKUP('Données projet'!$B$15,Paramètres!$A$1:$I$89,5,0)</f>
        <v>0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292.87204407272162</v>
      </c>
      <c r="EP151" s="62">
        <f t="shared" si="154"/>
        <v>326.06531673481805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-1.6671037883497774E-13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451.25506262546861</v>
      </c>
      <c r="T152" s="62">
        <f t="shared" si="142"/>
        <v>534.19872447444368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-8.8675733422860506E-14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252.84702735189455</v>
      </c>
      <c r="AO152" s="62">
        <f t="shared" si="144"/>
        <v>283.48738729114024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-7.626113074366004E-14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221.98516361836096</v>
      </c>
      <c r="BJ152" s="62">
        <f t="shared" si="146"/>
        <v>249.72262393661117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-9.0449248091317723E-14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257.24784840892409</v>
      </c>
      <c r="CE152" s="62">
        <f t="shared" si="148"/>
        <v>288.30197520356643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2.6602720026858149E-14</v>
      </c>
      <c r="CV152" s="14">
        <f t="shared" si="149"/>
        <v>4.6624771586320878E-13</v>
      </c>
      <c r="CW152" s="22">
        <f t="shared" si="121"/>
        <v>8.583811758418665E-13</v>
      </c>
      <c r="CX152" s="62">
        <f t="shared" si="122"/>
        <v>293.33333333333417</v>
      </c>
      <c r="CY152" s="62">
        <f ca="1">AVERAGE(OFFSET($CX$3,0,0,'Données projet'!$E$13+1,1))-AVERAGE(OFFSET($H$3,0,0,'Données projet'!$E$13+1,1))</f>
        <v>199.0086462069545</v>
      </c>
      <c r="CZ152" s="62">
        <f t="shared" si="150"/>
        <v>254.08208375594057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-3.4106051316484809E-13</v>
      </c>
      <c r="DP152" s="18">
        <f>DO152*VLOOKUP('Données projet'!$B$14,Paramètres!$A$1:$I$89,3,0)*VLOOKUP('Données projet'!$B$14,Paramètres!$A$1:$I$89,5,0)</f>
        <v>-1.9065282685915009E-13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534.78683721545372</v>
      </c>
      <c r="DU152" s="62">
        <f t="shared" si="152"/>
        <v>710.59298755711075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>
        <f>EJ152*VLOOKUP('Données projet'!$B$15,Paramètres!$A$1:$I$89,3,0)*VLOOKUP('Données projet'!$B$15,Paramètres!$A$1:$I$89,5,0)</f>
        <v>0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292.87204407272162</v>
      </c>
      <c r="EP152" s="62">
        <f t="shared" si="154"/>
        <v>326.06531673481805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-1.6671037883497774E-13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451.25506262546861</v>
      </c>
      <c r="T153" s="62">
        <f t="shared" si="142"/>
        <v>534.19872447444368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-8.8675733422860506E-14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252.84702735189455</v>
      </c>
      <c r="AO153" s="62">
        <f t="shared" si="144"/>
        <v>283.48738729114024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-7.626113074366004E-14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221.98516361836096</v>
      </c>
      <c r="BJ153" s="62">
        <f t="shared" si="146"/>
        <v>249.72262393661117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-9.0449248091317723E-14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257.24784840892409</v>
      </c>
      <c r="CE153" s="62">
        <f t="shared" si="148"/>
        <v>288.30197520356643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2.6602720026858149E-14</v>
      </c>
      <c r="CV153" s="14">
        <f t="shared" si="149"/>
        <v>4.6624771586320878E-13</v>
      </c>
      <c r="CW153" s="22">
        <f t="shared" si="121"/>
        <v>8.583811758418665E-13</v>
      </c>
      <c r="CX153" s="62">
        <f t="shared" si="122"/>
        <v>293.33333333333417</v>
      </c>
      <c r="CY153" s="62">
        <f ca="1">AVERAGE(OFFSET($CX$3,0,0,'Données projet'!$E$13+1,1))-AVERAGE(OFFSET($H$3,0,0,'Données projet'!$E$13+1,1))</f>
        <v>199.0086462069545</v>
      </c>
      <c r="CZ153" s="62">
        <f t="shared" si="150"/>
        <v>254.08208375594057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-3.4106051316484809E-13</v>
      </c>
      <c r="DP153" s="18">
        <f>DO153*VLOOKUP('Données projet'!$B$14,Paramètres!$A$1:$I$89,3,0)*VLOOKUP('Données projet'!$B$14,Paramètres!$A$1:$I$89,5,0)</f>
        <v>-1.9065282685915009E-13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534.78683721545372</v>
      </c>
      <c r="DU153" s="62">
        <f t="shared" si="152"/>
        <v>710.59298755711075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>
        <f>EJ153*VLOOKUP('Données projet'!$B$15,Paramètres!$A$1:$I$89,3,0)*VLOOKUP('Données projet'!$B$15,Paramètres!$A$1:$I$89,5,0)</f>
        <v>0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292.87204407272162</v>
      </c>
      <c r="EP153" s="62">
        <f t="shared" si="154"/>
        <v>326.06531673481805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-1.6671037883497774E-13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451.25506262546861</v>
      </c>
      <c r="T154" s="62">
        <f t="shared" si="142"/>
        <v>534.19872447444368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-8.8675733422860506E-14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252.84702735189455</v>
      </c>
      <c r="AO154" s="62">
        <f t="shared" si="144"/>
        <v>283.48738729114024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-7.626113074366004E-14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221.98516361836096</v>
      </c>
      <c r="BJ154" s="62">
        <f t="shared" si="146"/>
        <v>249.72262393661117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-9.0449248091317723E-14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257.24784840892409</v>
      </c>
      <c r="CE154" s="62">
        <f t="shared" si="148"/>
        <v>288.30197520356643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2.6602720026858149E-14</v>
      </c>
      <c r="CV154" s="14">
        <f t="shared" ref="CV154:CV203" si="173">EXP(-1.0587+0.8836*LN(CU154)+0.284)</f>
        <v>4.6624771586320878E-13</v>
      </c>
      <c r="CW154" s="22">
        <f t="shared" ref="CW154:CW203" si="174">(CU154+CV154)*0.475*44/12</f>
        <v>8.583811758418665E-13</v>
      </c>
      <c r="CX154" s="62">
        <f t="shared" si="122"/>
        <v>293.33333333333417</v>
      </c>
      <c r="CY154" s="62">
        <f ca="1">AVERAGE(OFFSET($CX$3,0,0,'Données projet'!$E$13+1,1))-AVERAGE(OFFSET($H$3,0,0,'Données projet'!$E$13+1,1))</f>
        <v>199.0086462069545</v>
      </c>
      <c r="CZ154" s="62">
        <f t="shared" si="150"/>
        <v>254.08208375594057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-3.4106051316484809E-13</v>
      </c>
      <c r="DP154" s="18">
        <f>DO154*VLOOKUP('Données projet'!$B$14,Paramètres!$A$1:$I$89,3,0)*VLOOKUP('Données projet'!$B$14,Paramètres!$A$1:$I$89,5,0)</f>
        <v>-1.9065282685915009E-13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534.78683721545372</v>
      </c>
      <c r="DU154" s="62">
        <f t="shared" si="152"/>
        <v>710.59298755711075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>
        <f>EJ154*VLOOKUP('Données projet'!$B$15,Paramètres!$A$1:$I$89,3,0)*VLOOKUP('Données projet'!$B$15,Paramètres!$A$1:$I$89,5,0)</f>
        <v>0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292.87204407272162</v>
      </c>
      <c r="EP154" s="62">
        <f t="shared" si="154"/>
        <v>326.06531673481805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-1.6671037883497774E-13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451.25506262546861</v>
      </c>
      <c r="T155" s="62">
        <f t="shared" si="142"/>
        <v>534.19872447444368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-8.8675733422860506E-14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252.84702735189455</v>
      </c>
      <c r="AO155" s="62">
        <f t="shared" si="144"/>
        <v>283.48738729114024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-7.626113074366004E-14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221.98516361836096</v>
      </c>
      <c r="BJ155" s="62">
        <f t="shared" si="146"/>
        <v>249.72262393661117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-9.0449248091317723E-14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257.24784840892409</v>
      </c>
      <c r="CE155" s="62">
        <f t="shared" si="148"/>
        <v>288.30197520356643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2.6602720026858149E-14</v>
      </c>
      <c r="CV155" s="14">
        <f t="shared" si="173"/>
        <v>4.6624771586320878E-13</v>
      </c>
      <c r="CW155" s="22">
        <f t="shared" si="174"/>
        <v>8.583811758418665E-13</v>
      </c>
      <c r="CX155" s="62">
        <f t="shared" si="122"/>
        <v>293.33333333333417</v>
      </c>
      <c r="CY155" s="62">
        <f ca="1">AVERAGE(OFFSET($CX$3,0,0,'Données projet'!$E$13+1,1))-AVERAGE(OFFSET($H$3,0,0,'Données projet'!$E$13+1,1))</f>
        <v>199.0086462069545</v>
      </c>
      <c r="CZ155" s="62">
        <f t="shared" si="150"/>
        <v>254.08208375594057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-3.4106051316484809E-13</v>
      </c>
      <c r="DP155" s="18">
        <f>DO155*VLOOKUP('Données projet'!$B$14,Paramètres!$A$1:$I$89,3,0)*VLOOKUP('Données projet'!$B$14,Paramètres!$A$1:$I$89,5,0)</f>
        <v>-1.9065282685915009E-13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534.78683721545372</v>
      </c>
      <c r="DU155" s="62">
        <f t="shared" si="152"/>
        <v>710.59298755711075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>
        <f>EJ155*VLOOKUP('Données projet'!$B$15,Paramètres!$A$1:$I$89,3,0)*VLOOKUP('Données projet'!$B$15,Paramètres!$A$1:$I$89,5,0)</f>
        <v>0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292.87204407272162</v>
      </c>
      <c r="EP155" s="62">
        <f t="shared" si="154"/>
        <v>326.06531673481805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-1.6671037883497774E-13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451.25506262546861</v>
      </c>
      <c r="T156" s="62">
        <f t="shared" si="142"/>
        <v>534.19872447444368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-8.8675733422860506E-14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252.84702735189455</v>
      </c>
      <c r="AO156" s="62">
        <f t="shared" si="144"/>
        <v>283.48738729114024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-7.626113074366004E-14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221.98516361836096</v>
      </c>
      <c r="BJ156" s="62">
        <f t="shared" si="146"/>
        <v>249.72262393661117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-9.0449248091317723E-14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257.24784840892409</v>
      </c>
      <c r="CE156" s="62">
        <f t="shared" si="148"/>
        <v>288.30197520356643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2.6602720026858149E-14</v>
      </c>
      <c r="CV156" s="14">
        <f t="shared" si="173"/>
        <v>4.6624771586320878E-13</v>
      </c>
      <c r="CW156" s="22">
        <f t="shared" si="174"/>
        <v>8.583811758418665E-13</v>
      </c>
      <c r="CX156" s="62">
        <f t="shared" si="122"/>
        <v>293.33333333333417</v>
      </c>
      <c r="CY156" s="62">
        <f ca="1">AVERAGE(OFFSET($CX$3,0,0,'Données projet'!$E$13+1,1))-AVERAGE(OFFSET($H$3,0,0,'Données projet'!$E$13+1,1))</f>
        <v>199.0086462069545</v>
      </c>
      <c r="CZ156" s="62">
        <f t="shared" si="150"/>
        <v>254.08208375594057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-3.4106051316484809E-13</v>
      </c>
      <c r="DP156" s="18">
        <f>DO156*VLOOKUP('Données projet'!$B$14,Paramètres!$A$1:$I$89,3,0)*VLOOKUP('Données projet'!$B$14,Paramètres!$A$1:$I$89,5,0)</f>
        <v>-1.9065282685915009E-13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534.78683721545372</v>
      </c>
      <c r="DU156" s="62">
        <f t="shared" si="152"/>
        <v>710.59298755711075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>
        <f>EJ156*VLOOKUP('Données projet'!$B$15,Paramètres!$A$1:$I$89,3,0)*VLOOKUP('Données projet'!$B$15,Paramètres!$A$1:$I$89,5,0)</f>
        <v>0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292.87204407272162</v>
      </c>
      <c r="EP156" s="62">
        <f t="shared" si="154"/>
        <v>326.06531673481805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-1.6671037883497774E-13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451.25506262546861</v>
      </c>
      <c r="T157" s="62">
        <f t="shared" si="142"/>
        <v>534.19872447444368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-8.8675733422860506E-14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252.84702735189455</v>
      </c>
      <c r="AO157" s="62">
        <f t="shared" si="144"/>
        <v>283.48738729114024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-7.626113074366004E-14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221.98516361836096</v>
      </c>
      <c r="BJ157" s="62">
        <f t="shared" si="146"/>
        <v>249.72262393661117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-9.0449248091317723E-14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257.24784840892409</v>
      </c>
      <c r="CE157" s="62">
        <f t="shared" si="148"/>
        <v>288.30197520356643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2.6602720026858149E-14</v>
      </c>
      <c r="CV157" s="14">
        <f t="shared" si="173"/>
        <v>4.6624771586320878E-13</v>
      </c>
      <c r="CW157" s="22">
        <f t="shared" si="174"/>
        <v>8.583811758418665E-13</v>
      </c>
      <c r="CX157" s="62">
        <f t="shared" si="122"/>
        <v>293.33333333333417</v>
      </c>
      <c r="CY157" s="62">
        <f ca="1">AVERAGE(OFFSET($CX$3,0,0,'Données projet'!$E$13+1,1))-AVERAGE(OFFSET($H$3,0,0,'Données projet'!$E$13+1,1))</f>
        <v>199.0086462069545</v>
      </c>
      <c r="CZ157" s="62">
        <f t="shared" si="150"/>
        <v>254.08208375594057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-3.4106051316484809E-13</v>
      </c>
      <c r="DP157" s="18">
        <f>DO157*VLOOKUP('Données projet'!$B$14,Paramètres!$A$1:$I$89,3,0)*VLOOKUP('Données projet'!$B$14,Paramètres!$A$1:$I$89,5,0)</f>
        <v>-1.9065282685915009E-13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534.78683721545372</v>
      </c>
      <c r="DU157" s="62">
        <f t="shared" si="152"/>
        <v>710.59298755711075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>
        <f>EJ157*VLOOKUP('Données projet'!$B$15,Paramètres!$A$1:$I$89,3,0)*VLOOKUP('Données projet'!$B$15,Paramètres!$A$1:$I$89,5,0)</f>
        <v>0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292.87204407272162</v>
      </c>
      <c r="EP157" s="62">
        <f t="shared" si="154"/>
        <v>326.06531673481805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-1.6671037883497774E-13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451.25506262546861</v>
      </c>
      <c r="T158" s="62">
        <f t="shared" si="142"/>
        <v>534.19872447444368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-8.8675733422860506E-14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252.84702735189455</v>
      </c>
      <c r="AO158" s="62">
        <f t="shared" si="144"/>
        <v>283.48738729114024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-7.626113074366004E-14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221.98516361836096</v>
      </c>
      <c r="BJ158" s="62">
        <f t="shared" si="146"/>
        <v>249.72262393661117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-9.0449248091317723E-14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257.24784840892409</v>
      </c>
      <c r="CE158" s="62">
        <f t="shared" si="148"/>
        <v>288.30197520356643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2.6602720026858149E-14</v>
      </c>
      <c r="CV158" s="14">
        <f t="shared" si="173"/>
        <v>4.6624771586320878E-13</v>
      </c>
      <c r="CW158" s="22">
        <f t="shared" si="174"/>
        <v>8.583811758418665E-13</v>
      </c>
      <c r="CX158" s="62">
        <f t="shared" si="122"/>
        <v>293.33333333333417</v>
      </c>
      <c r="CY158" s="62">
        <f ca="1">AVERAGE(OFFSET($CX$3,0,0,'Données projet'!$E$13+1,1))-AVERAGE(OFFSET($H$3,0,0,'Données projet'!$E$13+1,1))</f>
        <v>199.0086462069545</v>
      </c>
      <c r="CZ158" s="62">
        <f t="shared" si="150"/>
        <v>254.08208375594057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-3.4106051316484809E-13</v>
      </c>
      <c r="DP158" s="18">
        <f>DO158*VLOOKUP('Données projet'!$B$14,Paramètres!$A$1:$I$89,3,0)*VLOOKUP('Données projet'!$B$14,Paramètres!$A$1:$I$89,5,0)</f>
        <v>-1.9065282685915009E-13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534.78683721545372</v>
      </c>
      <c r="DU158" s="62">
        <f t="shared" si="152"/>
        <v>710.59298755711075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>
        <f>EJ158*VLOOKUP('Données projet'!$B$15,Paramètres!$A$1:$I$89,3,0)*VLOOKUP('Données projet'!$B$15,Paramètres!$A$1:$I$89,5,0)</f>
        <v>0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292.87204407272162</v>
      </c>
      <c r="EP158" s="62">
        <f t="shared" si="154"/>
        <v>326.06531673481805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-1.6671037883497774E-13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451.25506262546861</v>
      </c>
      <c r="T159" s="62">
        <f t="shared" si="142"/>
        <v>534.19872447444368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-8.8675733422860506E-14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252.84702735189455</v>
      </c>
      <c r="AO159" s="62">
        <f t="shared" si="144"/>
        <v>283.48738729114024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-7.626113074366004E-14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221.98516361836096</v>
      </c>
      <c r="BJ159" s="62">
        <f t="shared" si="146"/>
        <v>249.72262393661117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-9.0449248091317723E-14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257.24784840892409</v>
      </c>
      <c r="CE159" s="62">
        <f t="shared" si="148"/>
        <v>288.30197520356643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2.6602720026858149E-14</v>
      </c>
      <c r="CV159" s="14">
        <f t="shared" si="173"/>
        <v>4.6624771586320878E-13</v>
      </c>
      <c r="CW159" s="22">
        <f t="shared" si="174"/>
        <v>8.583811758418665E-13</v>
      </c>
      <c r="CX159" s="62">
        <f t="shared" si="122"/>
        <v>293.33333333333417</v>
      </c>
      <c r="CY159" s="62">
        <f ca="1">AVERAGE(OFFSET($CX$3,0,0,'Données projet'!$E$13+1,1))-AVERAGE(OFFSET($H$3,0,0,'Données projet'!$E$13+1,1))</f>
        <v>199.0086462069545</v>
      </c>
      <c r="CZ159" s="62">
        <f t="shared" si="150"/>
        <v>254.08208375594057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-3.4106051316484809E-13</v>
      </c>
      <c r="DP159" s="18">
        <f>DO159*VLOOKUP('Données projet'!$B$14,Paramètres!$A$1:$I$89,3,0)*VLOOKUP('Données projet'!$B$14,Paramètres!$A$1:$I$89,5,0)</f>
        <v>-1.9065282685915009E-13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534.78683721545372</v>
      </c>
      <c r="DU159" s="62">
        <f t="shared" si="152"/>
        <v>710.59298755711075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>
        <f>EJ159*VLOOKUP('Données projet'!$B$15,Paramètres!$A$1:$I$89,3,0)*VLOOKUP('Données projet'!$B$15,Paramètres!$A$1:$I$89,5,0)</f>
        <v>0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292.87204407272162</v>
      </c>
      <c r="EP159" s="62">
        <f t="shared" si="154"/>
        <v>326.06531673481805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-1.6671037883497774E-13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451.25506262546861</v>
      </c>
      <c r="T160" s="62">
        <f t="shared" si="142"/>
        <v>534.19872447444368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-8.8675733422860506E-14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252.84702735189455</v>
      </c>
      <c r="AO160" s="62">
        <f t="shared" si="144"/>
        <v>283.48738729114024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-7.626113074366004E-14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221.98516361836096</v>
      </c>
      <c r="BJ160" s="62">
        <f t="shared" si="146"/>
        <v>249.72262393661117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-9.0449248091317723E-14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257.24784840892409</v>
      </c>
      <c r="CE160" s="62">
        <f t="shared" si="148"/>
        <v>288.30197520356643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2.6602720026858149E-14</v>
      </c>
      <c r="CV160" s="14">
        <f t="shared" si="173"/>
        <v>4.6624771586320878E-13</v>
      </c>
      <c r="CW160" s="22">
        <f t="shared" si="174"/>
        <v>8.583811758418665E-13</v>
      </c>
      <c r="CX160" s="62">
        <f t="shared" si="122"/>
        <v>293.33333333333417</v>
      </c>
      <c r="CY160" s="62">
        <f ca="1">AVERAGE(OFFSET($CX$3,0,0,'Données projet'!$E$13+1,1))-AVERAGE(OFFSET($H$3,0,0,'Données projet'!$E$13+1,1))</f>
        <v>199.0086462069545</v>
      </c>
      <c r="CZ160" s="62">
        <f t="shared" si="150"/>
        <v>254.08208375594057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-3.4106051316484809E-13</v>
      </c>
      <c r="DP160" s="18">
        <f>DO160*VLOOKUP('Données projet'!$B$14,Paramètres!$A$1:$I$89,3,0)*VLOOKUP('Données projet'!$B$14,Paramètres!$A$1:$I$89,5,0)</f>
        <v>-1.9065282685915009E-13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534.78683721545372</v>
      </c>
      <c r="DU160" s="62">
        <f t="shared" si="152"/>
        <v>710.59298755711075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>
        <f>EJ160*VLOOKUP('Données projet'!$B$15,Paramètres!$A$1:$I$89,3,0)*VLOOKUP('Données projet'!$B$15,Paramètres!$A$1:$I$89,5,0)</f>
        <v>0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292.87204407272162</v>
      </c>
      <c r="EP160" s="62">
        <f t="shared" si="154"/>
        <v>326.06531673481805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-1.6671037883497774E-13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451.25506262546861</v>
      </c>
      <c r="T161" s="62">
        <f t="shared" si="142"/>
        <v>534.19872447444368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-8.8675733422860506E-14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252.84702735189455</v>
      </c>
      <c r="AO161" s="62">
        <f t="shared" si="144"/>
        <v>283.48738729114024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-7.626113074366004E-14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221.98516361836096</v>
      </c>
      <c r="BJ161" s="62">
        <f t="shared" si="146"/>
        <v>249.72262393661117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-9.0449248091317723E-14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257.24784840892409</v>
      </c>
      <c r="CE161" s="62">
        <f t="shared" si="148"/>
        <v>288.30197520356643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2.6602720026858149E-14</v>
      </c>
      <c r="CV161" s="14">
        <f t="shared" si="173"/>
        <v>4.6624771586320878E-13</v>
      </c>
      <c r="CW161" s="22">
        <f t="shared" si="174"/>
        <v>8.583811758418665E-13</v>
      </c>
      <c r="CX161" s="62">
        <f t="shared" si="122"/>
        <v>293.33333333333417</v>
      </c>
      <c r="CY161" s="62">
        <f ca="1">AVERAGE(OFFSET($CX$3,0,0,'Données projet'!$E$13+1,1))-AVERAGE(OFFSET($H$3,0,0,'Données projet'!$E$13+1,1))</f>
        <v>199.0086462069545</v>
      </c>
      <c r="CZ161" s="62">
        <f t="shared" si="150"/>
        <v>254.08208375594057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-3.4106051316484809E-13</v>
      </c>
      <c r="DP161" s="18">
        <f>DO161*VLOOKUP('Données projet'!$B$14,Paramètres!$A$1:$I$89,3,0)*VLOOKUP('Données projet'!$B$14,Paramètres!$A$1:$I$89,5,0)</f>
        <v>-1.9065282685915009E-13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534.78683721545372</v>
      </c>
      <c r="DU161" s="62">
        <f t="shared" si="152"/>
        <v>710.59298755711075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>
        <f>EJ161*VLOOKUP('Données projet'!$B$15,Paramètres!$A$1:$I$89,3,0)*VLOOKUP('Données projet'!$B$15,Paramètres!$A$1:$I$89,5,0)</f>
        <v>0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292.87204407272162</v>
      </c>
      <c r="EP161" s="62">
        <f t="shared" si="154"/>
        <v>326.06531673481805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-1.6671037883497774E-13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451.25506262546861</v>
      </c>
      <c r="T162" s="62">
        <f t="shared" si="142"/>
        <v>534.19872447444368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-8.8675733422860506E-14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252.84702735189455</v>
      </c>
      <c r="AO162" s="62">
        <f t="shared" si="144"/>
        <v>283.48738729114024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-7.626113074366004E-14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221.98516361836096</v>
      </c>
      <c r="BJ162" s="62">
        <f t="shared" si="146"/>
        <v>249.72262393661117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-9.0449248091317723E-14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257.24784840892409</v>
      </c>
      <c r="CE162" s="62">
        <f t="shared" si="148"/>
        <v>288.30197520356643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2.6602720026858149E-14</v>
      </c>
      <c r="CV162" s="14">
        <f t="shared" si="173"/>
        <v>4.6624771586320878E-13</v>
      </c>
      <c r="CW162" s="22">
        <f t="shared" si="174"/>
        <v>8.583811758418665E-13</v>
      </c>
      <c r="CX162" s="62">
        <f t="shared" si="122"/>
        <v>293.33333333333417</v>
      </c>
      <c r="CY162" s="62">
        <f ca="1">AVERAGE(OFFSET($CX$3,0,0,'Données projet'!$E$13+1,1))-AVERAGE(OFFSET($H$3,0,0,'Données projet'!$E$13+1,1))</f>
        <v>199.0086462069545</v>
      </c>
      <c r="CZ162" s="62">
        <f t="shared" si="150"/>
        <v>254.08208375594057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-3.4106051316484809E-13</v>
      </c>
      <c r="DP162" s="18">
        <f>DO162*VLOOKUP('Données projet'!$B$14,Paramètres!$A$1:$I$89,3,0)*VLOOKUP('Données projet'!$B$14,Paramètres!$A$1:$I$89,5,0)</f>
        <v>-1.9065282685915009E-13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534.78683721545372</v>
      </c>
      <c r="DU162" s="62">
        <f t="shared" si="152"/>
        <v>710.59298755711075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>
        <f>EJ162*VLOOKUP('Données projet'!$B$15,Paramètres!$A$1:$I$89,3,0)*VLOOKUP('Données projet'!$B$15,Paramètres!$A$1:$I$89,5,0)</f>
        <v>0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292.87204407272162</v>
      </c>
      <c r="EP162" s="62">
        <f t="shared" si="154"/>
        <v>326.06531673481805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-1.6671037883497774E-13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451.25506262546861</v>
      </c>
      <c r="T163" s="62">
        <f t="shared" si="142"/>
        <v>534.19872447444368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-8.8675733422860506E-14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252.84702735189455</v>
      </c>
      <c r="AO163" s="62">
        <f t="shared" si="144"/>
        <v>283.48738729114024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-7.626113074366004E-14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221.98516361836096</v>
      </c>
      <c r="BJ163" s="62">
        <f t="shared" si="146"/>
        <v>249.72262393661117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-9.0449248091317723E-14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257.24784840892409</v>
      </c>
      <c r="CE163" s="62">
        <f t="shared" si="148"/>
        <v>288.30197520356643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2.6602720026858149E-14</v>
      </c>
      <c r="CV163" s="14">
        <f t="shared" si="173"/>
        <v>4.6624771586320878E-13</v>
      </c>
      <c r="CW163" s="22">
        <f t="shared" si="174"/>
        <v>8.583811758418665E-13</v>
      </c>
      <c r="CX163" s="62">
        <f t="shared" si="122"/>
        <v>293.33333333333417</v>
      </c>
      <c r="CY163" s="62">
        <f ca="1">AVERAGE(OFFSET($CX$3,0,0,'Données projet'!$E$13+1,1))-AVERAGE(OFFSET($H$3,0,0,'Données projet'!$E$13+1,1))</f>
        <v>199.0086462069545</v>
      </c>
      <c r="CZ163" s="62">
        <f t="shared" si="150"/>
        <v>254.08208375594057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-3.4106051316484809E-13</v>
      </c>
      <c r="DP163" s="18">
        <f>DO163*VLOOKUP('Données projet'!$B$14,Paramètres!$A$1:$I$89,3,0)*VLOOKUP('Données projet'!$B$14,Paramètres!$A$1:$I$89,5,0)</f>
        <v>-1.9065282685915009E-13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534.78683721545372</v>
      </c>
      <c r="DU163" s="62">
        <f t="shared" si="152"/>
        <v>710.59298755711075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>
        <f>EJ163*VLOOKUP('Données projet'!$B$15,Paramètres!$A$1:$I$89,3,0)*VLOOKUP('Données projet'!$B$15,Paramètres!$A$1:$I$89,5,0)</f>
        <v>0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292.87204407272162</v>
      </c>
      <c r="EP163" s="62">
        <f t="shared" si="154"/>
        <v>326.06531673481805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-1.6671037883497774E-13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451.25506262546861</v>
      </c>
      <c r="T164" s="62">
        <f t="shared" si="142"/>
        <v>534.19872447444368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-8.8675733422860506E-14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252.84702735189455</v>
      </c>
      <c r="AO164" s="62">
        <f t="shared" si="144"/>
        <v>283.48738729114024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-7.626113074366004E-14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221.98516361836096</v>
      </c>
      <c r="BJ164" s="62">
        <f t="shared" si="146"/>
        <v>249.72262393661117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-9.0449248091317723E-14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257.24784840892409</v>
      </c>
      <c r="CE164" s="62">
        <f t="shared" si="148"/>
        <v>288.30197520356643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2.6602720026858149E-14</v>
      </c>
      <c r="CV164" s="14">
        <f t="shared" si="173"/>
        <v>4.6624771586320878E-13</v>
      </c>
      <c r="CW164" s="22">
        <f t="shared" si="174"/>
        <v>8.583811758418665E-13</v>
      </c>
      <c r="CX164" s="62">
        <f t="shared" si="122"/>
        <v>293.33333333333417</v>
      </c>
      <c r="CY164" s="62">
        <f ca="1">AVERAGE(OFFSET($CX$3,0,0,'Données projet'!$E$13+1,1))-AVERAGE(OFFSET($H$3,0,0,'Données projet'!$E$13+1,1))</f>
        <v>199.0086462069545</v>
      </c>
      <c r="CZ164" s="62">
        <f t="shared" si="150"/>
        <v>254.08208375594057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-3.4106051316484809E-13</v>
      </c>
      <c r="DP164" s="18">
        <f>DO164*VLOOKUP('Données projet'!$B$14,Paramètres!$A$1:$I$89,3,0)*VLOOKUP('Données projet'!$B$14,Paramètres!$A$1:$I$89,5,0)</f>
        <v>-1.9065282685915009E-13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534.78683721545372</v>
      </c>
      <c r="DU164" s="62">
        <f t="shared" si="152"/>
        <v>710.59298755711075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>
        <f>EJ164*VLOOKUP('Données projet'!$B$15,Paramètres!$A$1:$I$89,3,0)*VLOOKUP('Données projet'!$B$15,Paramètres!$A$1:$I$89,5,0)</f>
        <v>0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292.87204407272162</v>
      </c>
      <c r="EP164" s="62">
        <f t="shared" si="154"/>
        <v>326.06531673481805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-1.6671037883497774E-13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451.25506262546861</v>
      </c>
      <c r="T165" s="62">
        <f t="shared" si="142"/>
        <v>534.19872447444368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-8.8675733422860506E-14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252.84702735189455</v>
      </c>
      <c r="AO165" s="62">
        <f t="shared" si="144"/>
        <v>283.48738729114024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-7.626113074366004E-14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221.98516361836096</v>
      </c>
      <c r="BJ165" s="62">
        <f t="shared" si="146"/>
        <v>249.72262393661117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-9.0449248091317723E-14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257.24784840892409</v>
      </c>
      <c r="CE165" s="62">
        <f t="shared" si="148"/>
        <v>288.30197520356643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2.6602720026858149E-14</v>
      </c>
      <c r="CV165" s="14">
        <f t="shared" si="173"/>
        <v>4.6624771586320878E-13</v>
      </c>
      <c r="CW165" s="22">
        <f t="shared" si="174"/>
        <v>8.583811758418665E-13</v>
      </c>
      <c r="CX165" s="62">
        <f t="shared" si="122"/>
        <v>293.33333333333417</v>
      </c>
      <c r="CY165" s="62">
        <f ca="1">AVERAGE(OFFSET($CX$3,0,0,'Données projet'!$E$13+1,1))-AVERAGE(OFFSET($H$3,0,0,'Données projet'!$E$13+1,1))</f>
        <v>199.0086462069545</v>
      </c>
      <c r="CZ165" s="62">
        <f t="shared" si="150"/>
        <v>254.08208375594057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-3.4106051316484809E-13</v>
      </c>
      <c r="DP165" s="18">
        <f>DO165*VLOOKUP('Données projet'!$B$14,Paramètres!$A$1:$I$89,3,0)*VLOOKUP('Données projet'!$B$14,Paramètres!$A$1:$I$89,5,0)</f>
        <v>-1.9065282685915009E-13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534.78683721545372</v>
      </c>
      <c r="DU165" s="62">
        <f t="shared" si="152"/>
        <v>710.59298755711075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>
        <f>EJ165*VLOOKUP('Données projet'!$B$15,Paramètres!$A$1:$I$89,3,0)*VLOOKUP('Données projet'!$B$15,Paramètres!$A$1:$I$89,5,0)</f>
        <v>0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292.87204407272162</v>
      </c>
      <c r="EP165" s="62">
        <f t="shared" si="154"/>
        <v>326.06531673481805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-1.6671037883497774E-13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451.25506262546861</v>
      </c>
      <c r="T166" s="62">
        <f t="shared" si="142"/>
        <v>534.19872447444368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-8.8675733422860506E-14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252.84702735189455</v>
      </c>
      <c r="AO166" s="62">
        <f t="shared" si="144"/>
        <v>283.48738729114024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-7.626113074366004E-14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221.98516361836096</v>
      </c>
      <c r="BJ166" s="62">
        <f t="shared" si="146"/>
        <v>249.72262393661117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-9.0449248091317723E-14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257.24784840892409</v>
      </c>
      <c r="CE166" s="62">
        <f t="shared" si="148"/>
        <v>288.30197520356643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2.6602720026858149E-14</v>
      </c>
      <c r="CV166" s="14">
        <f t="shared" si="173"/>
        <v>4.6624771586320878E-13</v>
      </c>
      <c r="CW166" s="22">
        <f t="shared" si="174"/>
        <v>8.583811758418665E-13</v>
      </c>
      <c r="CX166" s="62">
        <f t="shared" si="122"/>
        <v>293.33333333333417</v>
      </c>
      <c r="CY166" s="62">
        <f ca="1">AVERAGE(OFFSET($CX$3,0,0,'Données projet'!$E$13+1,1))-AVERAGE(OFFSET($H$3,0,0,'Données projet'!$E$13+1,1))</f>
        <v>199.0086462069545</v>
      </c>
      <c r="CZ166" s="62">
        <f t="shared" si="150"/>
        <v>254.08208375594057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-3.4106051316484809E-13</v>
      </c>
      <c r="DP166" s="18">
        <f>DO166*VLOOKUP('Données projet'!$B$14,Paramètres!$A$1:$I$89,3,0)*VLOOKUP('Données projet'!$B$14,Paramètres!$A$1:$I$89,5,0)</f>
        <v>-1.9065282685915009E-13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534.78683721545372</v>
      </c>
      <c r="DU166" s="62">
        <f t="shared" si="152"/>
        <v>710.59298755711075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>
        <f>EJ166*VLOOKUP('Données projet'!$B$15,Paramètres!$A$1:$I$89,3,0)*VLOOKUP('Données projet'!$B$15,Paramètres!$A$1:$I$89,5,0)</f>
        <v>0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292.87204407272162</v>
      </c>
      <c r="EP166" s="62">
        <f t="shared" si="154"/>
        <v>326.06531673481805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-1.6671037883497774E-13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451.25506262546861</v>
      </c>
      <c r="T167" s="62">
        <f t="shared" si="142"/>
        <v>534.19872447444368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-8.8675733422860506E-14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252.84702735189455</v>
      </c>
      <c r="AO167" s="62">
        <f t="shared" si="144"/>
        <v>283.48738729114024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-7.626113074366004E-14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221.98516361836096</v>
      </c>
      <c r="BJ167" s="62">
        <f t="shared" si="146"/>
        <v>249.72262393661117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-9.0449248091317723E-14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257.24784840892409</v>
      </c>
      <c r="CE167" s="62">
        <f t="shared" si="148"/>
        <v>288.30197520356643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2.6602720026858149E-14</v>
      </c>
      <c r="CV167" s="14">
        <f t="shared" si="173"/>
        <v>4.6624771586320878E-13</v>
      </c>
      <c r="CW167" s="22">
        <f t="shared" si="174"/>
        <v>8.583811758418665E-13</v>
      </c>
      <c r="CX167" s="62">
        <f t="shared" si="122"/>
        <v>293.33333333333417</v>
      </c>
      <c r="CY167" s="62">
        <f ca="1">AVERAGE(OFFSET($CX$3,0,0,'Données projet'!$E$13+1,1))-AVERAGE(OFFSET($H$3,0,0,'Données projet'!$E$13+1,1))</f>
        <v>199.0086462069545</v>
      </c>
      <c r="CZ167" s="62">
        <f t="shared" si="150"/>
        <v>254.08208375594057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-3.4106051316484809E-13</v>
      </c>
      <c r="DP167" s="18">
        <f>DO167*VLOOKUP('Données projet'!$B$14,Paramètres!$A$1:$I$89,3,0)*VLOOKUP('Données projet'!$B$14,Paramètres!$A$1:$I$89,5,0)</f>
        <v>-1.9065282685915009E-13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534.78683721545372</v>
      </c>
      <c r="DU167" s="62">
        <f t="shared" si="152"/>
        <v>710.59298755711075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>
        <f>EJ167*VLOOKUP('Données projet'!$B$15,Paramètres!$A$1:$I$89,3,0)*VLOOKUP('Données projet'!$B$15,Paramètres!$A$1:$I$89,5,0)</f>
        <v>0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292.87204407272162</v>
      </c>
      <c r="EP167" s="62">
        <f t="shared" si="154"/>
        <v>326.06531673481805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-1.6671037883497774E-13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451.25506262546861</v>
      </c>
      <c r="T168" s="62">
        <f t="shared" si="142"/>
        <v>534.19872447444368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-8.8675733422860506E-14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252.84702735189455</v>
      </c>
      <c r="AO168" s="62">
        <f t="shared" si="144"/>
        <v>283.48738729114024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-7.626113074366004E-14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221.98516361836096</v>
      </c>
      <c r="BJ168" s="62">
        <f t="shared" si="146"/>
        <v>249.72262393661117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-9.0449248091317723E-14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257.24784840892409</v>
      </c>
      <c r="CE168" s="62">
        <f t="shared" si="148"/>
        <v>288.30197520356643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2.6602720026858149E-14</v>
      </c>
      <c r="CV168" s="14">
        <f t="shared" si="173"/>
        <v>4.6624771586320878E-13</v>
      </c>
      <c r="CW168" s="22">
        <f t="shared" si="174"/>
        <v>8.583811758418665E-13</v>
      </c>
      <c r="CX168" s="62">
        <f t="shared" si="122"/>
        <v>293.33333333333417</v>
      </c>
      <c r="CY168" s="62">
        <f ca="1">AVERAGE(OFFSET($CX$3,0,0,'Données projet'!$E$13+1,1))-AVERAGE(OFFSET($H$3,0,0,'Données projet'!$E$13+1,1))</f>
        <v>199.0086462069545</v>
      </c>
      <c r="CZ168" s="62">
        <f t="shared" si="150"/>
        <v>254.08208375594057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-3.4106051316484809E-13</v>
      </c>
      <c r="DP168" s="18">
        <f>DO168*VLOOKUP('Données projet'!$B$14,Paramètres!$A$1:$I$89,3,0)*VLOOKUP('Données projet'!$B$14,Paramètres!$A$1:$I$89,5,0)</f>
        <v>-1.9065282685915009E-13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534.78683721545372</v>
      </c>
      <c r="DU168" s="62">
        <f t="shared" si="152"/>
        <v>710.59298755711075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>
        <f>EJ168*VLOOKUP('Données projet'!$B$15,Paramètres!$A$1:$I$89,3,0)*VLOOKUP('Données projet'!$B$15,Paramètres!$A$1:$I$89,5,0)</f>
        <v>0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292.87204407272162</v>
      </c>
      <c r="EP168" s="62">
        <f t="shared" si="154"/>
        <v>326.06531673481805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-1.6671037883497774E-13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451.25506262546861</v>
      </c>
      <c r="T169" s="62">
        <f t="shared" si="142"/>
        <v>534.19872447444368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-8.8675733422860506E-14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252.84702735189455</v>
      </c>
      <c r="AO169" s="62">
        <f t="shared" si="144"/>
        <v>283.48738729114024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-7.626113074366004E-14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221.98516361836096</v>
      </c>
      <c r="BJ169" s="62">
        <f t="shared" si="146"/>
        <v>249.72262393661117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-9.0449248091317723E-14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257.24784840892409</v>
      </c>
      <c r="CE169" s="62">
        <f t="shared" si="148"/>
        <v>288.30197520356643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2.6602720026858149E-14</v>
      </c>
      <c r="CV169" s="14">
        <f t="shared" si="173"/>
        <v>4.6624771586320878E-13</v>
      </c>
      <c r="CW169" s="22">
        <f t="shared" si="174"/>
        <v>8.583811758418665E-13</v>
      </c>
      <c r="CX169" s="62">
        <f t="shared" si="122"/>
        <v>293.33333333333417</v>
      </c>
      <c r="CY169" s="62">
        <f ca="1">AVERAGE(OFFSET($CX$3,0,0,'Données projet'!$E$13+1,1))-AVERAGE(OFFSET($H$3,0,0,'Données projet'!$E$13+1,1))</f>
        <v>199.0086462069545</v>
      </c>
      <c r="CZ169" s="62">
        <f t="shared" si="150"/>
        <v>254.08208375594057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-3.4106051316484809E-13</v>
      </c>
      <c r="DP169" s="18">
        <f>DO169*VLOOKUP('Données projet'!$B$14,Paramètres!$A$1:$I$89,3,0)*VLOOKUP('Données projet'!$B$14,Paramètres!$A$1:$I$89,5,0)</f>
        <v>-1.9065282685915009E-13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534.78683721545372</v>
      </c>
      <c r="DU169" s="62">
        <f t="shared" si="152"/>
        <v>710.59298755711075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>
        <f>EJ169*VLOOKUP('Données projet'!$B$15,Paramètres!$A$1:$I$89,3,0)*VLOOKUP('Données projet'!$B$15,Paramètres!$A$1:$I$89,5,0)</f>
        <v>0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292.87204407272162</v>
      </c>
      <c r="EP169" s="62">
        <f t="shared" si="154"/>
        <v>326.06531673481805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-1.6671037883497774E-13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451.25506262546861</v>
      </c>
      <c r="T170" s="62">
        <f t="shared" si="142"/>
        <v>534.19872447444368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-8.8675733422860506E-14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252.84702735189455</v>
      </c>
      <c r="AO170" s="62">
        <f t="shared" si="144"/>
        <v>283.48738729114024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-7.626113074366004E-14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221.98516361836096</v>
      </c>
      <c r="BJ170" s="62">
        <f t="shared" si="146"/>
        <v>249.72262393661117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-9.0449248091317723E-14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257.24784840892409</v>
      </c>
      <c r="CE170" s="62">
        <f t="shared" si="148"/>
        <v>288.30197520356643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2.6602720026858149E-14</v>
      </c>
      <c r="CV170" s="14">
        <f t="shared" si="173"/>
        <v>4.6624771586320878E-13</v>
      </c>
      <c r="CW170" s="22">
        <f t="shared" si="174"/>
        <v>8.583811758418665E-13</v>
      </c>
      <c r="CX170" s="62">
        <f t="shared" si="122"/>
        <v>293.33333333333417</v>
      </c>
      <c r="CY170" s="62">
        <f ca="1">AVERAGE(OFFSET($CX$3,0,0,'Données projet'!$E$13+1,1))-AVERAGE(OFFSET($H$3,0,0,'Données projet'!$E$13+1,1))</f>
        <v>199.0086462069545</v>
      </c>
      <c r="CZ170" s="62">
        <f t="shared" si="150"/>
        <v>254.08208375594057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-3.4106051316484809E-13</v>
      </c>
      <c r="DP170" s="18">
        <f>DO170*VLOOKUP('Données projet'!$B$14,Paramètres!$A$1:$I$89,3,0)*VLOOKUP('Données projet'!$B$14,Paramètres!$A$1:$I$89,5,0)</f>
        <v>-1.9065282685915009E-13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534.78683721545372</v>
      </c>
      <c r="DU170" s="62">
        <f t="shared" si="152"/>
        <v>710.59298755711075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>
        <f>EJ170*VLOOKUP('Données projet'!$B$15,Paramètres!$A$1:$I$89,3,0)*VLOOKUP('Données projet'!$B$15,Paramètres!$A$1:$I$89,5,0)</f>
        <v>0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292.87204407272162</v>
      </c>
      <c r="EP170" s="62">
        <f t="shared" si="154"/>
        <v>326.06531673481805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-1.6671037883497774E-13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451.25506262546861</v>
      </c>
      <c r="T171" s="62">
        <f t="shared" si="142"/>
        <v>534.19872447444368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-8.8675733422860506E-14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252.84702735189455</v>
      </c>
      <c r="AO171" s="62">
        <f t="shared" si="144"/>
        <v>283.48738729114024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-7.626113074366004E-14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221.98516361836096</v>
      </c>
      <c r="BJ171" s="62">
        <f t="shared" si="146"/>
        <v>249.72262393661117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-9.0449248091317723E-14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257.24784840892409</v>
      </c>
      <c r="CE171" s="62">
        <f t="shared" si="148"/>
        <v>288.30197520356643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2.6602720026858149E-14</v>
      </c>
      <c r="CV171" s="14">
        <f t="shared" si="173"/>
        <v>4.6624771586320878E-13</v>
      </c>
      <c r="CW171" s="22">
        <f t="shared" si="174"/>
        <v>8.583811758418665E-13</v>
      </c>
      <c r="CX171" s="62">
        <f t="shared" si="122"/>
        <v>293.33333333333417</v>
      </c>
      <c r="CY171" s="62">
        <f ca="1">AVERAGE(OFFSET($CX$3,0,0,'Données projet'!$E$13+1,1))-AVERAGE(OFFSET($H$3,0,0,'Données projet'!$E$13+1,1))</f>
        <v>199.0086462069545</v>
      </c>
      <c r="CZ171" s="62">
        <f t="shared" si="150"/>
        <v>254.08208375594057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-3.4106051316484809E-13</v>
      </c>
      <c r="DP171" s="18">
        <f>DO171*VLOOKUP('Données projet'!$B$14,Paramètres!$A$1:$I$89,3,0)*VLOOKUP('Données projet'!$B$14,Paramètres!$A$1:$I$89,5,0)</f>
        <v>-1.9065282685915009E-13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534.78683721545372</v>
      </c>
      <c r="DU171" s="62">
        <f t="shared" si="152"/>
        <v>710.59298755711075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>
        <f>EJ171*VLOOKUP('Données projet'!$B$15,Paramètres!$A$1:$I$89,3,0)*VLOOKUP('Données projet'!$B$15,Paramètres!$A$1:$I$89,5,0)</f>
        <v>0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292.87204407272162</v>
      </c>
      <c r="EP171" s="62">
        <f t="shared" si="154"/>
        <v>326.06531673481805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-1.6671037883497774E-13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451.25506262546861</v>
      </c>
      <c r="T172" s="62">
        <f t="shared" si="142"/>
        <v>534.19872447444368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-8.8675733422860506E-14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252.84702735189455</v>
      </c>
      <c r="AO172" s="62">
        <f t="shared" si="144"/>
        <v>283.48738729114024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-7.626113074366004E-14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221.98516361836096</v>
      </c>
      <c r="BJ172" s="62">
        <f t="shared" si="146"/>
        <v>249.72262393661117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-9.0449248091317723E-14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257.24784840892409</v>
      </c>
      <c r="CE172" s="62">
        <f t="shared" si="148"/>
        <v>288.30197520356643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2.6602720026858149E-14</v>
      </c>
      <c r="CV172" s="14">
        <f t="shared" si="173"/>
        <v>4.6624771586320878E-13</v>
      </c>
      <c r="CW172" s="22">
        <f t="shared" si="174"/>
        <v>8.583811758418665E-13</v>
      </c>
      <c r="CX172" s="62">
        <f t="shared" si="122"/>
        <v>293.33333333333417</v>
      </c>
      <c r="CY172" s="62">
        <f ca="1">AVERAGE(OFFSET($CX$3,0,0,'Données projet'!$E$13+1,1))-AVERAGE(OFFSET($H$3,0,0,'Données projet'!$E$13+1,1))</f>
        <v>199.0086462069545</v>
      </c>
      <c r="CZ172" s="62">
        <f t="shared" si="150"/>
        <v>254.08208375594057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-3.4106051316484809E-13</v>
      </c>
      <c r="DP172" s="18">
        <f>DO172*VLOOKUP('Données projet'!$B$14,Paramètres!$A$1:$I$89,3,0)*VLOOKUP('Données projet'!$B$14,Paramètres!$A$1:$I$89,5,0)</f>
        <v>-1.9065282685915009E-13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534.78683721545372</v>
      </c>
      <c r="DU172" s="62">
        <f t="shared" si="152"/>
        <v>710.59298755711075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>
        <f>EJ172*VLOOKUP('Données projet'!$B$15,Paramètres!$A$1:$I$89,3,0)*VLOOKUP('Données projet'!$B$15,Paramètres!$A$1:$I$89,5,0)</f>
        <v>0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292.87204407272162</v>
      </c>
      <c r="EP172" s="62">
        <f t="shared" si="154"/>
        <v>326.06531673481805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-1.6671037883497774E-13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451.25506262546861</v>
      </c>
      <c r="T173" s="62">
        <f t="shared" si="142"/>
        <v>534.19872447444368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-8.8675733422860506E-14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252.84702735189455</v>
      </c>
      <c r="AO173" s="62">
        <f t="shared" si="144"/>
        <v>283.48738729114024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-7.626113074366004E-14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221.98516361836096</v>
      </c>
      <c r="BJ173" s="62">
        <f t="shared" si="146"/>
        <v>249.72262393661117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-9.0449248091317723E-14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257.24784840892409</v>
      </c>
      <c r="CE173" s="62">
        <f t="shared" si="148"/>
        <v>288.30197520356643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2.6602720026858149E-14</v>
      </c>
      <c r="CV173" s="14">
        <f t="shared" si="173"/>
        <v>4.6624771586320878E-13</v>
      </c>
      <c r="CW173" s="22">
        <f t="shared" si="174"/>
        <v>8.583811758418665E-13</v>
      </c>
      <c r="CX173" s="62">
        <f t="shared" si="122"/>
        <v>293.33333333333417</v>
      </c>
      <c r="CY173" s="62">
        <f ca="1">AVERAGE(OFFSET($CX$3,0,0,'Données projet'!$E$13+1,1))-AVERAGE(OFFSET($H$3,0,0,'Données projet'!$E$13+1,1))</f>
        <v>199.0086462069545</v>
      </c>
      <c r="CZ173" s="62">
        <f t="shared" si="150"/>
        <v>254.08208375594057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-3.4106051316484809E-13</v>
      </c>
      <c r="DP173" s="18">
        <f>DO173*VLOOKUP('Données projet'!$B$14,Paramètres!$A$1:$I$89,3,0)*VLOOKUP('Données projet'!$B$14,Paramètres!$A$1:$I$89,5,0)</f>
        <v>-1.9065282685915009E-13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534.78683721545372</v>
      </c>
      <c r="DU173" s="62">
        <f t="shared" si="152"/>
        <v>710.59298755711075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>
        <f>EJ173*VLOOKUP('Données projet'!$B$15,Paramètres!$A$1:$I$89,3,0)*VLOOKUP('Données projet'!$B$15,Paramètres!$A$1:$I$89,5,0)</f>
        <v>0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292.87204407272162</v>
      </c>
      <c r="EP173" s="62">
        <f t="shared" si="154"/>
        <v>326.06531673481805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-1.6671037883497774E-13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451.25506262546861</v>
      </c>
      <c r="T174" s="62">
        <f t="shared" si="142"/>
        <v>534.19872447444368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-8.8675733422860506E-14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252.84702735189455</v>
      </c>
      <c r="AO174" s="62">
        <f t="shared" si="144"/>
        <v>283.48738729114024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-7.626113074366004E-14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221.98516361836096</v>
      </c>
      <c r="BJ174" s="62">
        <f t="shared" si="146"/>
        <v>249.72262393661117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-9.0449248091317723E-14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257.24784840892409</v>
      </c>
      <c r="CE174" s="62">
        <f t="shared" si="148"/>
        <v>288.30197520356643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2.6602720026858149E-14</v>
      </c>
      <c r="CV174" s="14">
        <f t="shared" si="173"/>
        <v>4.6624771586320878E-13</v>
      </c>
      <c r="CW174" s="22">
        <f t="shared" si="174"/>
        <v>8.583811758418665E-13</v>
      </c>
      <c r="CX174" s="62">
        <f t="shared" si="122"/>
        <v>293.33333333333417</v>
      </c>
      <c r="CY174" s="62">
        <f ca="1">AVERAGE(OFFSET($CX$3,0,0,'Données projet'!$E$13+1,1))-AVERAGE(OFFSET($H$3,0,0,'Données projet'!$E$13+1,1))</f>
        <v>199.0086462069545</v>
      </c>
      <c r="CZ174" s="62">
        <f t="shared" si="150"/>
        <v>254.08208375594057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-3.4106051316484809E-13</v>
      </c>
      <c r="DP174" s="18">
        <f>DO174*VLOOKUP('Données projet'!$B$14,Paramètres!$A$1:$I$89,3,0)*VLOOKUP('Données projet'!$B$14,Paramètres!$A$1:$I$89,5,0)</f>
        <v>-1.9065282685915009E-13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534.78683721545372</v>
      </c>
      <c r="DU174" s="62">
        <f t="shared" si="152"/>
        <v>710.59298755711075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>
        <f>EJ174*VLOOKUP('Données projet'!$B$15,Paramètres!$A$1:$I$89,3,0)*VLOOKUP('Données projet'!$B$15,Paramètres!$A$1:$I$89,5,0)</f>
        <v>0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292.87204407272162</v>
      </c>
      <c r="EP174" s="62">
        <f t="shared" si="154"/>
        <v>326.06531673481805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-1.6671037883497774E-13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451.25506262546861</v>
      </c>
      <c r="T175" s="62">
        <f t="shared" si="142"/>
        <v>534.19872447444368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-8.8675733422860506E-14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252.84702735189455</v>
      </c>
      <c r="AO175" s="62">
        <f t="shared" si="144"/>
        <v>283.48738729114024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-7.626113074366004E-14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221.98516361836096</v>
      </c>
      <c r="BJ175" s="62">
        <f t="shared" si="146"/>
        <v>249.72262393661117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-9.0449248091317723E-14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257.24784840892409</v>
      </c>
      <c r="CE175" s="62">
        <f t="shared" si="148"/>
        <v>288.30197520356643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2.6602720026858149E-14</v>
      </c>
      <c r="CV175" s="14">
        <f t="shared" si="173"/>
        <v>4.6624771586320878E-13</v>
      </c>
      <c r="CW175" s="22">
        <f t="shared" si="174"/>
        <v>8.583811758418665E-13</v>
      </c>
      <c r="CX175" s="62">
        <f t="shared" si="122"/>
        <v>293.33333333333417</v>
      </c>
      <c r="CY175" s="62">
        <f ca="1">AVERAGE(OFFSET($CX$3,0,0,'Données projet'!$E$13+1,1))-AVERAGE(OFFSET($H$3,0,0,'Données projet'!$E$13+1,1))</f>
        <v>199.0086462069545</v>
      </c>
      <c r="CZ175" s="62">
        <f t="shared" si="150"/>
        <v>254.08208375594057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-3.4106051316484809E-13</v>
      </c>
      <c r="DP175" s="18">
        <f>DO175*VLOOKUP('Données projet'!$B$14,Paramètres!$A$1:$I$89,3,0)*VLOOKUP('Données projet'!$B$14,Paramètres!$A$1:$I$89,5,0)</f>
        <v>-1.9065282685915009E-13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534.78683721545372</v>
      </c>
      <c r="DU175" s="62">
        <f t="shared" si="152"/>
        <v>710.59298755711075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>
        <f>EJ175*VLOOKUP('Données projet'!$B$15,Paramètres!$A$1:$I$89,3,0)*VLOOKUP('Données projet'!$B$15,Paramètres!$A$1:$I$89,5,0)</f>
        <v>0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292.87204407272162</v>
      </c>
      <c r="EP175" s="62">
        <f t="shared" si="154"/>
        <v>326.06531673481805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-1.6671037883497774E-13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451.25506262546861</v>
      </c>
      <c r="T176" s="62">
        <f t="shared" si="142"/>
        <v>534.19872447444368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-8.8675733422860506E-14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252.84702735189455</v>
      </c>
      <c r="AO176" s="62">
        <f t="shared" si="144"/>
        <v>283.48738729114024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-7.626113074366004E-14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221.98516361836096</v>
      </c>
      <c r="BJ176" s="62">
        <f t="shared" si="146"/>
        <v>249.72262393661117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-9.0449248091317723E-14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257.24784840892409</v>
      </c>
      <c r="CE176" s="62">
        <f t="shared" si="148"/>
        <v>288.30197520356643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2.6602720026858149E-14</v>
      </c>
      <c r="CV176" s="14">
        <f t="shared" si="173"/>
        <v>4.6624771586320878E-13</v>
      </c>
      <c r="CW176" s="22">
        <f t="shared" si="174"/>
        <v>8.583811758418665E-13</v>
      </c>
      <c r="CX176" s="62">
        <f t="shared" si="122"/>
        <v>293.33333333333417</v>
      </c>
      <c r="CY176" s="62">
        <f ca="1">AVERAGE(OFFSET($CX$3,0,0,'Données projet'!$E$13+1,1))-AVERAGE(OFFSET($H$3,0,0,'Données projet'!$E$13+1,1))</f>
        <v>199.0086462069545</v>
      </c>
      <c r="CZ176" s="62">
        <f t="shared" si="150"/>
        <v>254.08208375594057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-3.4106051316484809E-13</v>
      </c>
      <c r="DP176" s="18">
        <f>DO176*VLOOKUP('Données projet'!$B$14,Paramètres!$A$1:$I$89,3,0)*VLOOKUP('Données projet'!$B$14,Paramètres!$A$1:$I$89,5,0)</f>
        <v>-1.9065282685915009E-13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534.78683721545372</v>
      </c>
      <c r="DU176" s="62">
        <f t="shared" si="152"/>
        <v>710.59298755711075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>
        <f>EJ176*VLOOKUP('Données projet'!$B$15,Paramètres!$A$1:$I$89,3,0)*VLOOKUP('Données projet'!$B$15,Paramètres!$A$1:$I$89,5,0)</f>
        <v>0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292.87204407272162</v>
      </c>
      <c r="EP176" s="62">
        <f t="shared" si="154"/>
        <v>326.06531673481805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-1.6671037883497774E-13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451.25506262546861</v>
      </c>
      <c r="T177" s="62">
        <f t="shared" si="142"/>
        <v>534.19872447444368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-8.8675733422860506E-14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252.84702735189455</v>
      </c>
      <c r="AO177" s="62">
        <f t="shared" si="144"/>
        <v>283.48738729114024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-7.626113074366004E-14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221.98516361836096</v>
      </c>
      <c r="BJ177" s="62">
        <f t="shared" si="146"/>
        <v>249.72262393661117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-9.0449248091317723E-14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257.24784840892409</v>
      </c>
      <c r="CE177" s="62">
        <f t="shared" si="148"/>
        <v>288.30197520356643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2.6602720026858149E-14</v>
      </c>
      <c r="CV177" s="14">
        <f t="shared" si="173"/>
        <v>4.6624771586320878E-13</v>
      </c>
      <c r="CW177" s="22">
        <f t="shared" si="174"/>
        <v>8.583811758418665E-13</v>
      </c>
      <c r="CX177" s="62">
        <f t="shared" si="122"/>
        <v>293.33333333333417</v>
      </c>
      <c r="CY177" s="62">
        <f ca="1">AVERAGE(OFFSET($CX$3,0,0,'Données projet'!$E$13+1,1))-AVERAGE(OFFSET($H$3,0,0,'Données projet'!$E$13+1,1))</f>
        <v>199.0086462069545</v>
      </c>
      <c r="CZ177" s="62">
        <f t="shared" si="150"/>
        <v>254.08208375594057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-3.4106051316484809E-13</v>
      </c>
      <c r="DP177" s="18">
        <f>DO177*VLOOKUP('Données projet'!$B$14,Paramètres!$A$1:$I$89,3,0)*VLOOKUP('Données projet'!$B$14,Paramètres!$A$1:$I$89,5,0)</f>
        <v>-1.9065282685915009E-13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534.78683721545372</v>
      </c>
      <c r="DU177" s="62">
        <f t="shared" si="152"/>
        <v>710.59298755711075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>
        <f>EJ177*VLOOKUP('Données projet'!$B$15,Paramètres!$A$1:$I$89,3,0)*VLOOKUP('Données projet'!$B$15,Paramètres!$A$1:$I$89,5,0)</f>
        <v>0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292.87204407272162</v>
      </c>
      <c r="EP177" s="62">
        <f t="shared" si="154"/>
        <v>326.06531673481805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-1.6671037883497774E-13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451.25506262546861</v>
      </c>
      <c r="T178" s="62">
        <f t="shared" si="142"/>
        <v>534.19872447444368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-8.8675733422860506E-14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252.84702735189455</v>
      </c>
      <c r="AO178" s="62">
        <f t="shared" si="144"/>
        <v>283.48738729114024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-7.626113074366004E-14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221.98516361836096</v>
      </c>
      <c r="BJ178" s="62">
        <f t="shared" si="146"/>
        <v>249.72262393661117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-9.0449248091317723E-14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257.24784840892409</v>
      </c>
      <c r="CE178" s="62">
        <f t="shared" si="148"/>
        <v>288.30197520356643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2.6602720026858149E-14</v>
      </c>
      <c r="CV178" s="14">
        <f t="shared" si="173"/>
        <v>4.6624771586320878E-13</v>
      </c>
      <c r="CW178" s="22">
        <f t="shared" si="174"/>
        <v>8.583811758418665E-13</v>
      </c>
      <c r="CX178" s="62">
        <f t="shared" si="122"/>
        <v>293.33333333333417</v>
      </c>
      <c r="CY178" s="62">
        <f ca="1">AVERAGE(OFFSET($CX$3,0,0,'Données projet'!$E$13+1,1))-AVERAGE(OFFSET($H$3,0,0,'Données projet'!$E$13+1,1))</f>
        <v>199.0086462069545</v>
      </c>
      <c r="CZ178" s="62">
        <f t="shared" si="150"/>
        <v>254.08208375594057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-3.4106051316484809E-13</v>
      </c>
      <c r="DP178" s="18">
        <f>DO178*VLOOKUP('Données projet'!$B$14,Paramètres!$A$1:$I$89,3,0)*VLOOKUP('Données projet'!$B$14,Paramètres!$A$1:$I$89,5,0)</f>
        <v>-1.9065282685915009E-13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534.78683721545372</v>
      </c>
      <c r="DU178" s="62">
        <f t="shared" si="152"/>
        <v>710.59298755711075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>
        <f>EJ178*VLOOKUP('Données projet'!$B$15,Paramètres!$A$1:$I$89,3,0)*VLOOKUP('Données projet'!$B$15,Paramètres!$A$1:$I$89,5,0)</f>
        <v>0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292.87204407272162</v>
      </c>
      <c r="EP178" s="62">
        <f t="shared" si="154"/>
        <v>326.06531673481805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-1.6671037883497774E-13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451.25506262546861</v>
      </c>
      <c r="T179" s="62">
        <f t="shared" si="142"/>
        <v>534.19872447444368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-8.8675733422860506E-14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252.84702735189455</v>
      </c>
      <c r="AO179" s="62">
        <f t="shared" si="144"/>
        <v>283.48738729114024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-7.626113074366004E-14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221.98516361836096</v>
      </c>
      <c r="BJ179" s="62">
        <f t="shared" si="146"/>
        <v>249.72262393661117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-9.0449248091317723E-14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257.24784840892409</v>
      </c>
      <c r="CE179" s="62">
        <f t="shared" si="148"/>
        <v>288.30197520356643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2.6602720026858149E-14</v>
      </c>
      <c r="CV179" s="14">
        <f t="shared" si="173"/>
        <v>4.6624771586320878E-13</v>
      </c>
      <c r="CW179" s="22">
        <f t="shared" si="174"/>
        <v>8.583811758418665E-13</v>
      </c>
      <c r="CX179" s="62">
        <f t="shared" si="122"/>
        <v>293.33333333333417</v>
      </c>
      <c r="CY179" s="62">
        <f ca="1">AVERAGE(OFFSET($CX$3,0,0,'Données projet'!$E$13+1,1))-AVERAGE(OFFSET($H$3,0,0,'Données projet'!$E$13+1,1))</f>
        <v>199.0086462069545</v>
      </c>
      <c r="CZ179" s="62">
        <f t="shared" si="150"/>
        <v>254.08208375594057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-3.4106051316484809E-13</v>
      </c>
      <c r="DP179" s="18">
        <f>DO179*VLOOKUP('Données projet'!$B$14,Paramètres!$A$1:$I$89,3,0)*VLOOKUP('Données projet'!$B$14,Paramètres!$A$1:$I$89,5,0)</f>
        <v>-1.9065282685915009E-13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534.78683721545372</v>
      </c>
      <c r="DU179" s="62">
        <f t="shared" si="152"/>
        <v>710.59298755711075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>
        <f>EJ179*VLOOKUP('Données projet'!$B$15,Paramètres!$A$1:$I$89,3,0)*VLOOKUP('Données projet'!$B$15,Paramètres!$A$1:$I$89,5,0)</f>
        <v>0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292.87204407272162</v>
      </c>
      <c r="EP179" s="62">
        <f t="shared" si="154"/>
        <v>326.06531673481805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-1.6671037883497774E-13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451.25506262546861</v>
      </c>
      <c r="T180" s="62">
        <f t="shared" si="142"/>
        <v>534.19872447444368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-8.8675733422860506E-14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252.84702735189455</v>
      </c>
      <c r="AO180" s="62">
        <f t="shared" si="144"/>
        <v>283.48738729114024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-7.626113074366004E-14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221.98516361836096</v>
      </c>
      <c r="BJ180" s="62">
        <f t="shared" si="146"/>
        <v>249.72262393661117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-9.0449248091317723E-14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257.24784840892409</v>
      </c>
      <c r="CE180" s="62">
        <f t="shared" si="148"/>
        <v>288.30197520356643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2.6602720026858149E-14</v>
      </c>
      <c r="CV180" s="14">
        <f t="shared" si="173"/>
        <v>4.6624771586320878E-13</v>
      </c>
      <c r="CW180" s="22">
        <f t="shared" si="174"/>
        <v>8.583811758418665E-13</v>
      </c>
      <c r="CX180" s="62">
        <f t="shared" si="122"/>
        <v>293.33333333333417</v>
      </c>
      <c r="CY180" s="62">
        <f ca="1">AVERAGE(OFFSET($CX$3,0,0,'Données projet'!$E$13+1,1))-AVERAGE(OFFSET($H$3,0,0,'Données projet'!$E$13+1,1))</f>
        <v>199.0086462069545</v>
      </c>
      <c r="CZ180" s="62">
        <f t="shared" si="150"/>
        <v>254.08208375594057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-3.4106051316484809E-13</v>
      </c>
      <c r="DP180" s="18">
        <f>DO180*VLOOKUP('Données projet'!$B$14,Paramètres!$A$1:$I$89,3,0)*VLOOKUP('Données projet'!$B$14,Paramètres!$A$1:$I$89,5,0)</f>
        <v>-1.9065282685915009E-13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534.78683721545372</v>
      </c>
      <c r="DU180" s="62">
        <f t="shared" si="152"/>
        <v>710.59298755711075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>
        <f>EJ180*VLOOKUP('Données projet'!$B$15,Paramètres!$A$1:$I$89,3,0)*VLOOKUP('Données projet'!$B$15,Paramètres!$A$1:$I$89,5,0)</f>
        <v>0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292.87204407272162</v>
      </c>
      <c r="EP180" s="62">
        <f t="shared" si="154"/>
        <v>326.06531673481805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-1.6671037883497774E-13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451.25506262546861</v>
      </c>
      <c r="T181" s="62">
        <f t="shared" si="142"/>
        <v>534.19872447444368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-8.8675733422860506E-14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252.84702735189455</v>
      </c>
      <c r="AO181" s="62">
        <f t="shared" si="144"/>
        <v>283.48738729114024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-7.626113074366004E-14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221.98516361836096</v>
      </c>
      <c r="BJ181" s="62">
        <f t="shared" si="146"/>
        <v>249.72262393661117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-9.0449248091317723E-14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257.24784840892409</v>
      </c>
      <c r="CE181" s="62">
        <f t="shared" si="148"/>
        <v>288.30197520356643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2.6602720026858149E-14</v>
      </c>
      <c r="CV181" s="14">
        <f t="shared" si="173"/>
        <v>4.6624771586320878E-13</v>
      </c>
      <c r="CW181" s="22">
        <f t="shared" si="174"/>
        <v>8.583811758418665E-13</v>
      </c>
      <c r="CX181" s="62">
        <f t="shared" si="122"/>
        <v>293.33333333333417</v>
      </c>
      <c r="CY181" s="62">
        <f ca="1">AVERAGE(OFFSET($CX$3,0,0,'Données projet'!$E$13+1,1))-AVERAGE(OFFSET($H$3,0,0,'Données projet'!$E$13+1,1))</f>
        <v>199.0086462069545</v>
      </c>
      <c r="CZ181" s="62">
        <f t="shared" si="150"/>
        <v>254.08208375594057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-3.4106051316484809E-13</v>
      </c>
      <c r="DP181" s="18">
        <f>DO181*VLOOKUP('Données projet'!$B$14,Paramètres!$A$1:$I$89,3,0)*VLOOKUP('Données projet'!$B$14,Paramètres!$A$1:$I$89,5,0)</f>
        <v>-1.9065282685915009E-13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534.78683721545372</v>
      </c>
      <c r="DU181" s="62">
        <f t="shared" si="152"/>
        <v>710.59298755711075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>
        <f>EJ181*VLOOKUP('Données projet'!$B$15,Paramètres!$A$1:$I$89,3,0)*VLOOKUP('Données projet'!$B$15,Paramètres!$A$1:$I$89,5,0)</f>
        <v>0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292.87204407272162</v>
      </c>
      <c r="EP181" s="62">
        <f t="shared" si="154"/>
        <v>326.06531673481805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-1.6671037883497774E-13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451.25506262546861</v>
      </c>
      <c r="T182" s="62">
        <f t="shared" si="142"/>
        <v>534.19872447444368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-8.8675733422860506E-14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252.84702735189455</v>
      </c>
      <c r="AO182" s="62">
        <f t="shared" si="144"/>
        <v>283.48738729114024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-7.626113074366004E-14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221.98516361836096</v>
      </c>
      <c r="BJ182" s="62">
        <f t="shared" si="146"/>
        <v>249.72262393661117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-9.0449248091317723E-14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257.24784840892409</v>
      </c>
      <c r="CE182" s="62">
        <f t="shared" si="148"/>
        <v>288.30197520356643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2.6602720026858149E-14</v>
      </c>
      <c r="CV182" s="14">
        <f t="shared" si="173"/>
        <v>4.6624771586320878E-13</v>
      </c>
      <c r="CW182" s="22">
        <f t="shared" si="174"/>
        <v>8.583811758418665E-13</v>
      </c>
      <c r="CX182" s="62">
        <f t="shared" si="122"/>
        <v>293.33333333333417</v>
      </c>
      <c r="CY182" s="62">
        <f ca="1">AVERAGE(OFFSET($CX$3,0,0,'Données projet'!$E$13+1,1))-AVERAGE(OFFSET($H$3,0,0,'Données projet'!$E$13+1,1))</f>
        <v>199.0086462069545</v>
      </c>
      <c r="CZ182" s="62">
        <f t="shared" si="150"/>
        <v>254.08208375594057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-3.4106051316484809E-13</v>
      </c>
      <c r="DP182" s="18">
        <f>DO182*VLOOKUP('Données projet'!$B$14,Paramètres!$A$1:$I$89,3,0)*VLOOKUP('Données projet'!$B$14,Paramètres!$A$1:$I$89,5,0)</f>
        <v>-1.9065282685915009E-13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534.78683721545372</v>
      </c>
      <c r="DU182" s="62">
        <f t="shared" si="152"/>
        <v>710.59298755711075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>
        <f>EJ182*VLOOKUP('Données projet'!$B$15,Paramètres!$A$1:$I$89,3,0)*VLOOKUP('Données projet'!$B$15,Paramètres!$A$1:$I$89,5,0)</f>
        <v>0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292.87204407272162</v>
      </c>
      <c r="EP182" s="62">
        <f t="shared" si="154"/>
        <v>326.06531673481805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-1.6671037883497774E-13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451.25506262546861</v>
      </c>
      <c r="T183" s="62">
        <f t="shared" si="142"/>
        <v>534.19872447444368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-8.8675733422860506E-14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252.84702735189455</v>
      </c>
      <c r="AO183" s="62">
        <f t="shared" si="144"/>
        <v>283.48738729114024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-7.626113074366004E-14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221.98516361836096</v>
      </c>
      <c r="BJ183" s="62">
        <f t="shared" si="146"/>
        <v>249.72262393661117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-9.0449248091317723E-14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257.24784840892409</v>
      </c>
      <c r="CE183" s="62">
        <f t="shared" si="148"/>
        <v>288.30197520356643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2.6602720026858149E-14</v>
      </c>
      <c r="CV183" s="14">
        <f t="shared" si="173"/>
        <v>4.6624771586320878E-13</v>
      </c>
      <c r="CW183" s="22">
        <f t="shared" si="174"/>
        <v>8.583811758418665E-13</v>
      </c>
      <c r="CX183" s="62">
        <f t="shared" si="122"/>
        <v>293.33333333333417</v>
      </c>
      <c r="CY183" s="62">
        <f ca="1">AVERAGE(OFFSET($CX$3,0,0,'Données projet'!$E$13+1,1))-AVERAGE(OFFSET($H$3,0,0,'Données projet'!$E$13+1,1))</f>
        <v>199.0086462069545</v>
      </c>
      <c r="CZ183" s="62">
        <f t="shared" si="150"/>
        <v>254.08208375594057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-3.4106051316484809E-13</v>
      </c>
      <c r="DP183" s="18">
        <f>DO183*VLOOKUP('Données projet'!$B$14,Paramètres!$A$1:$I$89,3,0)*VLOOKUP('Données projet'!$B$14,Paramètres!$A$1:$I$89,5,0)</f>
        <v>-1.9065282685915009E-13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534.78683721545372</v>
      </c>
      <c r="DU183" s="62">
        <f t="shared" si="152"/>
        <v>710.59298755711075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>
        <f>EJ183*VLOOKUP('Données projet'!$B$15,Paramètres!$A$1:$I$89,3,0)*VLOOKUP('Données projet'!$B$15,Paramètres!$A$1:$I$89,5,0)</f>
        <v>0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292.87204407272162</v>
      </c>
      <c r="EP183" s="62">
        <f t="shared" si="154"/>
        <v>326.06531673481805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-1.6671037883497774E-13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451.25506262546861</v>
      </c>
      <c r="T184" s="62">
        <f t="shared" si="142"/>
        <v>534.19872447444368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-8.8675733422860506E-14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252.84702735189455</v>
      </c>
      <c r="AO184" s="62">
        <f t="shared" si="144"/>
        <v>283.48738729114024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-7.626113074366004E-14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221.98516361836096</v>
      </c>
      <c r="BJ184" s="62">
        <f t="shared" si="146"/>
        <v>249.72262393661117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-9.0449248091317723E-14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257.24784840892409</v>
      </c>
      <c r="CE184" s="62">
        <f t="shared" si="148"/>
        <v>288.30197520356643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2.6602720026858149E-14</v>
      </c>
      <c r="CV184" s="14">
        <f t="shared" si="173"/>
        <v>4.6624771586320878E-13</v>
      </c>
      <c r="CW184" s="22">
        <f t="shared" si="174"/>
        <v>8.583811758418665E-13</v>
      </c>
      <c r="CX184" s="62">
        <f t="shared" si="122"/>
        <v>293.33333333333417</v>
      </c>
      <c r="CY184" s="62">
        <f ca="1">AVERAGE(OFFSET($CX$3,0,0,'Données projet'!$E$13+1,1))-AVERAGE(OFFSET($H$3,0,0,'Données projet'!$E$13+1,1))</f>
        <v>199.0086462069545</v>
      </c>
      <c r="CZ184" s="62">
        <f t="shared" si="150"/>
        <v>254.08208375594057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-3.4106051316484809E-13</v>
      </c>
      <c r="DP184" s="18">
        <f>DO184*VLOOKUP('Données projet'!$B$14,Paramètres!$A$1:$I$89,3,0)*VLOOKUP('Données projet'!$B$14,Paramètres!$A$1:$I$89,5,0)</f>
        <v>-1.9065282685915009E-13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534.78683721545372</v>
      </c>
      <c r="DU184" s="62">
        <f t="shared" si="152"/>
        <v>710.59298755711075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>
        <f>EJ184*VLOOKUP('Données projet'!$B$15,Paramètres!$A$1:$I$89,3,0)*VLOOKUP('Données projet'!$B$15,Paramètres!$A$1:$I$89,5,0)</f>
        <v>0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292.87204407272162</v>
      </c>
      <c r="EP184" s="62">
        <f t="shared" si="154"/>
        <v>326.06531673481805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-1.6671037883497774E-13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451.25506262546861</v>
      </c>
      <c r="T185" s="62">
        <f t="shared" si="142"/>
        <v>534.19872447444368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-8.8675733422860506E-14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252.84702735189455</v>
      </c>
      <c r="AO185" s="62">
        <f t="shared" si="144"/>
        <v>283.48738729114024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-7.626113074366004E-14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221.98516361836096</v>
      </c>
      <c r="BJ185" s="62">
        <f t="shared" si="146"/>
        <v>249.72262393661117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-9.0449248091317723E-14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257.24784840892409</v>
      </c>
      <c r="CE185" s="62">
        <f t="shared" si="148"/>
        <v>288.30197520356643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2.6602720026858149E-14</v>
      </c>
      <c r="CV185" s="14">
        <f t="shared" si="173"/>
        <v>4.6624771586320878E-13</v>
      </c>
      <c r="CW185" s="22">
        <f t="shared" si="174"/>
        <v>8.583811758418665E-13</v>
      </c>
      <c r="CX185" s="62">
        <f t="shared" si="122"/>
        <v>293.33333333333417</v>
      </c>
      <c r="CY185" s="62">
        <f ca="1">AVERAGE(OFFSET($CX$3,0,0,'Données projet'!$E$13+1,1))-AVERAGE(OFFSET($H$3,0,0,'Données projet'!$E$13+1,1))</f>
        <v>199.0086462069545</v>
      </c>
      <c r="CZ185" s="62">
        <f t="shared" si="150"/>
        <v>254.08208375594057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-3.4106051316484809E-13</v>
      </c>
      <c r="DP185" s="18">
        <f>DO185*VLOOKUP('Données projet'!$B$14,Paramètres!$A$1:$I$89,3,0)*VLOOKUP('Données projet'!$B$14,Paramètres!$A$1:$I$89,5,0)</f>
        <v>-1.9065282685915009E-13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534.78683721545372</v>
      </c>
      <c r="DU185" s="62">
        <f t="shared" si="152"/>
        <v>710.59298755711075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>
        <f>EJ185*VLOOKUP('Données projet'!$B$15,Paramètres!$A$1:$I$89,3,0)*VLOOKUP('Données projet'!$B$15,Paramètres!$A$1:$I$89,5,0)</f>
        <v>0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292.87204407272162</v>
      </c>
      <c r="EP185" s="62">
        <f t="shared" si="154"/>
        <v>326.06531673481805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-1.6671037883497774E-13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451.25506262546861</v>
      </c>
      <c r="T186" s="62">
        <f t="shared" si="142"/>
        <v>534.19872447444368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-8.8675733422860506E-14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252.84702735189455</v>
      </c>
      <c r="AO186" s="62">
        <f t="shared" si="144"/>
        <v>283.48738729114024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-7.626113074366004E-14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221.98516361836096</v>
      </c>
      <c r="BJ186" s="62">
        <f t="shared" si="146"/>
        <v>249.72262393661117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-9.0449248091317723E-14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257.24784840892409</v>
      </c>
      <c r="CE186" s="62">
        <f t="shared" si="148"/>
        <v>288.30197520356643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2.6602720026858149E-14</v>
      </c>
      <c r="CV186" s="14">
        <f t="shared" si="173"/>
        <v>4.6624771586320878E-13</v>
      </c>
      <c r="CW186" s="22">
        <f t="shared" si="174"/>
        <v>8.583811758418665E-13</v>
      </c>
      <c r="CX186" s="62">
        <f t="shared" si="122"/>
        <v>293.33333333333417</v>
      </c>
      <c r="CY186" s="62">
        <f ca="1">AVERAGE(OFFSET($CX$3,0,0,'Données projet'!$E$13+1,1))-AVERAGE(OFFSET($H$3,0,0,'Données projet'!$E$13+1,1))</f>
        <v>199.0086462069545</v>
      </c>
      <c r="CZ186" s="62">
        <f t="shared" si="150"/>
        <v>254.08208375594057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-3.4106051316484809E-13</v>
      </c>
      <c r="DP186" s="18">
        <f>DO186*VLOOKUP('Données projet'!$B$14,Paramètres!$A$1:$I$89,3,0)*VLOOKUP('Données projet'!$B$14,Paramètres!$A$1:$I$89,5,0)</f>
        <v>-1.9065282685915009E-13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534.78683721545372</v>
      </c>
      <c r="DU186" s="62">
        <f t="shared" si="152"/>
        <v>710.59298755711075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>
        <f>EJ186*VLOOKUP('Données projet'!$B$15,Paramètres!$A$1:$I$89,3,0)*VLOOKUP('Données projet'!$B$15,Paramètres!$A$1:$I$89,5,0)</f>
        <v>0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292.87204407272162</v>
      </c>
      <c r="EP186" s="62">
        <f t="shared" si="154"/>
        <v>326.06531673481805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-1.6671037883497774E-13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451.25506262546861</v>
      </c>
      <c r="T187" s="62">
        <f t="shared" si="142"/>
        <v>534.19872447444368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-8.8675733422860506E-14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252.84702735189455</v>
      </c>
      <c r="AO187" s="62">
        <f t="shared" si="144"/>
        <v>283.48738729114024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-7.626113074366004E-14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221.98516361836096</v>
      </c>
      <c r="BJ187" s="62">
        <f t="shared" si="146"/>
        <v>249.72262393661117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-9.0449248091317723E-14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257.24784840892409</v>
      </c>
      <c r="CE187" s="62">
        <f t="shared" si="148"/>
        <v>288.30197520356643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2.6602720026858149E-14</v>
      </c>
      <c r="CV187" s="14">
        <f t="shared" si="173"/>
        <v>4.6624771586320878E-13</v>
      </c>
      <c r="CW187" s="22">
        <f t="shared" si="174"/>
        <v>8.583811758418665E-13</v>
      </c>
      <c r="CX187" s="62">
        <f t="shared" si="122"/>
        <v>293.33333333333417</v>
      </c>
      <c r="CY187" s="62">
        <f ca="1">AVERAGE(OFFSET($CX$3,0,0,'Données projet'!$E$13+1,1))-AVERAGE(OFFSET($H$3,0,0,'Données projet'!$E$13+1,1))</f>
        <v>199.0086462069545</v>
      </c>
      <c r="CZ187" s="62">
        <f t="shared" si="150"/>
        <v>254.08208375594057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-3.4106051316484809E-13</v>
      </c>
      <c r="DP187" s="18">
        <f>DO187*VLOOKUP('Données projet'!$B$14,Paramètres!$A$1:$I$89,3,0)*VLOOKUP('Données projet'!$B$14,Paramètres!$A$1:$I$89,5,0)</f>
        <v>-1.9065282685915009E-13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534.78683721545372</v>
      </c>
      <c r="DU187" s="62">
        <f t="shared" si="152"/>
        <v>710.59298755711075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>
        <f>EJ187*VLOOKUP('Données projet'!$B$15,Paramètres!$A$1:$I$89,3,0)*VLOOKUP('Données projet'!$B$15,Paramètres!$A$1:$I$89,5,0)</f>
        <v>0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292.87204407272162</v>
      </c>
      <c r="EP187" s="62">
        <f t="shared" si="154"/>
        <v>326.06531673481805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-1.6671037883497774E-13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451.25506262546861</v>
      </c>
      <c r="T188" s="62">
        <f t="shared" si="142"/>
        <v>534.19872447444368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-8.8675733422860506E-14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252.84702735189455</v>
      </c>
      <c r="AO188" s="62">
        <f t="shared" si="144"/>
        <v>283.48738729114024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-7.626113074366004E-14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221.98516361836096</v>
      </c>
      <c r="BJ188" s="62">
        <f t="shared" si="146"/>
        <v>249.72262393661117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-9.0449248091317723E-14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257.24784840892409</v>
      </c>
      <c r="CE188" s="62">
        <f t="shared" si="148"/>
        <v>288.30197520356643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2.6602720026858149E-14</v>
      </c>
      <c r="CV188" s="14">
        <f t="shared" si="173"/>
        <v>4.6624771586320878E-13</v>
      </c>
      <c r="CW188" s="22">
        <f t="shared" si="174"/>
        <v>8.583811758418665E-13</v>
      </c>
      <c r="CX188" s="62">
        <f t="shared" si="122"/>
        <v>293.33333333333417</v>
      </c>
      <c r="CY188" s="62">
        <f ca="1">AVERAGE(OFFSET($CX$3,0,0,'Données projet'!$E$13+1,1))-AVERAGE(OFFSET($H$3,0,0,'Données projet'!$E$13+1,1))</f>
        <v>199.0086462069545</v>
      </c>
      <c r="CZ188" s="62">
        <f t="shared" si="150"/>
        <v>254.08208375594057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-3.4106051316484809E-13</v>
      </c>
      <c r="DP188" s="18">
        <f>DO188*VLOOKUP('Données projet'!$B$14,Paramètres!$A$1:$I$89,3,0)*VLOOKUP('Données projet'!$B$14,Paramètres!$A$1:$I$89,5,0)</f>
        <v>-1.9065282685915009E-13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534.78683721545372</v>
      </c>
      <c r="DU188" s="62">
        <f t="shared" si="152"/>
        <v>710.59298755711075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>
        <f>EJ188*VLOOKUP('Données projet'!$B$15,Paramètres!$A$1:$I$89,3,0)*VLOOKUP('Données projet'!$B$15,Paramètres!$A$1:$I$89,5,0)</f>
        <v>0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292.87204407272162</v>
      </c>
      <c r="EP188" s="62">
        <f t="shared" si="154"/>
        <v>326.06531673481805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-1.6671037883497774E-13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451.25506262546861</v>
      </c>
      <c r="T189" s="62">
        <f t="shared" si="142"/>
        <v>534.19872447444368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-8.8675733422860506E-14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252.84702735189455</v>
      </c>
      <c r="AO189" s="62">
        <f t="shared" si="144"/>
        <v>283.48738729114024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-7.626113074366004E-14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221.98516361836096</v>
      </c>
      <c r="BJ189" s="62">
        <f t="shared" si="146"/>
        <v>249.72262393661117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-9.0449248091317723E-14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257.24784840892409</v>
      </c>
      <c r="CE189" s="62">
        <f t="shared" si="148"/>
        <v>288.30197520356643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2.6602720026858149E-14</v>
      </c>
      <c r="CV189" s="14">
        <f t="shared" si="173"/>
        <v>4.6624771586320878E-13</v>
      </c>
      <c r="CW189" s="22">
        <f t="shared" si="174"/>
        <v>8.583811758418665E-13</v>
      </c>
      <c r="CX189" s="62">
        <f t="shared" si="122"/>
        <v>293.33333333333417</v>
      </c>
      <c r="CY189" s="62">
        <f ca="1">AVERAGE(OFFSET($CX$3,0,0,'Données projet'!$E$13+1,1))-AVERAGE(OFFSET($H$3,0,0,'Données projet'!$E$13+1,1))</f>
        <v>199.0086462069545</v>
      </c>
      <c r="CZ189" s="62">
        <f t="shared" si="150"/>
        <v>254.08208375594057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-3.4106051316484809E-13</v>
      </c>
      <c r="DP189" s="18">
        <f>DO189*VLOOKUP('Données projet'!$B$14,Paramètres!$A$1:$I$89,3,0)*VLOOKUP('Données projet'!$B$14,Paramètres!$A$1:$I$89,5,0)</f>
        <v>-1.9065282685915009E-13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534.78683721545372</v>
      </c>
      <c r="DU189" s="62">
        <f t="shared" si="152"/>
        <v>710.59298755711075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>
        <f>EJ189*VLOOKUP('Données projet'!$B$15,Paramètres!$A$1:$I$89,3,0)*VLOOKUP('Données projet'!$B$15,Paramètres!$A$1:$I$89,5,0)</f>
        <v>0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292.87204407272162</v>
      </c>
      <c r="EP189" s="62">
        <f t="shared" si="154"/>
        <v>326.06531673481805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-1.6671037883497774E-13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451.25506262546861</v>
      </c>
      <c r="T190" s="62">
        <f t="shared" si="142"/>
        <v>534.19872447444368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-8.8675733422860506E-14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252.84702735189455</v>
      </c>
      <c r="AO190" s="62">
        <f t="shared" si="144"/>
        <v>283.48738729114024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-7.626113074366004E-14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221.98516361836096</v>
      </c>
      <c r="BJ190" s="62">
        <f t="shared" si="146"/>
        <v>249.72262393661117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-9.0449248091317723E-14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257.24784840892409</v>
      </c>
      <c r="CE190" s="62">
        <f t="shared" si="148"/>
        <v>288.30197520356643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2.6602720026858149E-14</v>
      </c>
      <c r="CV190" s="14">
        <f t="shared" si="173"/>
        <v>4.6624771586320878E-13</v>
      </c>
      <c r="CW190" s="22">
        <f t="shared" si="174"/>
        <v>8.583811758418665E-13</v>
      </c>
      <c r="CX190" s="62">
        <f t="shared" si="122"/>
        <v>293.33333333333417</v>
      </c>
      <c r="CY190" s="62">
        <f ca="1">AVERAGE(OFFSET($CX$3,0,0,'Données projet'!$E$13+1,1))-AVERAGE(OFFSET($H$3,0,0,'Données projet'!$E$13+1,1))</f>
        <v>199.0086462069545</v>
      </c>
      <c r="CZ190" s="62">
        <f t="shared" si="150"/>
        <v>254.08208375594057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-3.4106051316484809E-13</v>
      </c>
      <c r="DP190" s="18">
        <f>DO190*VLOOKUP('Données projet'!$B$14,Paramètres!$A$1:$I$89,3,0)*VLOOKUP('Données projet'!$B$14,Paramètres!$A$1:$I$89,5,0)</f>
        <v>-1.9065282685915009E-13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534.78683721545372</v>
      </c>
      <c r="DU190" s="62">
        <f t="shared" si="152"/>
        <v>710.59298755711075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>
        <f>EJ190*VLOOKUP('Données projet'!$B$15,Paramètres!$A$1:$I$89,3,0)*VLOOKUP('Données projet'!$B$15,Paramètres!$A$1:$I$89,5,0)</f>
        <v>0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292.87204407272162</v>
      </c>
      <c r="EP190" s="62">
        <f t="shared" si="154"/>
        <v>326.06531673481805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-1.6671037883497774E-13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451.25506262546861</v>
      </c>
      <c r="T191" s="62">
        <f t="shared" si="142"/>
        <v>534.19872447444368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-8.8675733422860506E-14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252.84702735189455</v>
      </c>
      <c r="AO191" s="62">
        <f t="shared" si="144"/>
        <v>283.48738729114024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-7.626113074366004E-14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221.98516361836096</v>
      </c>
      <c r="BJ191" s="62">
        <f t="shared" si="146"/>
        <v>249.72262393661117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-9.0449248091317723E-14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257.24784840892409</v>
      </c>
      <c r="CE191" s="62">
        <f t="shared" si="148"/>
        <v>288.30197520356643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2.6602720026858149E-14</v>
      </c>
      <c r="CV191" s="14">
        <f t="shared" si="173"/>
        <v>4.6624771586320878E-13</v>
      </c>
      <c r="CW191" s="22">
        <f t="shared" si="174"/>
        <v>8.583811758418665E-13</v>
      </c>
      <c r="CX191" s="62">
        <f t="shared" si="122"/>
        <v>293.33333333333417</v>
      </c>
      <c r="CY191" s="62">
        <f ca="1">AVERAGE(OFFSET($CX$3,0,0,'Données projet'!$E$13+1,1))-AVERAGE(OFFSET($H$3,0,0,'Données projet'!$E$13+1,1))</f>
        <v>199.0086462069545</v>
      </c>
      <c r="CZ191" s="62">
        <f t="shared" si="150"/>
        <v>254.08208375594057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-3.4106051316484809E-13</v>
      </c>
      <c r="DP191" s="18">
        <f>DO191*VLOOKUP('Données projet'!$B$14,Paramètres!$A$1:$I$89,3,0)*VLOOKUP('Données projet'!$B$14,Paramètres!$A$1:$I$89,5,0)</f>
        <v>-1.9065282685915009E-13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534.78683721545372</v>
      </c>
      <c r="DU191" s="62">
        <f t="shared" si="152"/>
        <v>710.59298755711075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>
        <f>EJ191*VLOOKUP('Données projet'!$B$15,Paramètres!$A$1:$I$89,3,0)*VLOOKUP('Données projet'!$B$15,Paramètres!$A$1:$I$89,5,0)</f>
        <v>0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292.87204407272162</v>
      </c>
      <c r="EP191" s="62">
        <f t="shared" si="154"/>
        <v>326.06531673481805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-1.6671037883497774E-13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451.25506262546861</v>
      </c>
      <c r="T192" s="62">
        <f t="shared" si="142"/>
        <v>534.19872447444368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-8.8675733422860506E-14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252.84702735189455</v>
      </c>
      <c r="AO192" s="62">
        <f t="shared" si="144"/>
        <v>283.48738729114024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-7.626113074366004E-14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221.98516361836096</v>
      </c>
      <c r="BJ192" s="62">
        <f t="shared" si="146"/>
        <v>249.72262393661117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-9.0449248091317723E-14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257.24784840892409</v>
      </c>
      <c r="CE192" s="62">
        <f t="shared" si="148"/>
        <v>288.30197520356643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2.6602720026858149E-14</v>
      </c>
      <c r="CV192" s="14">
        <f t="shared" si="173"/>
        <v>4.6624771586320878E-13</v>
      </c>
      <c r="CW192" s="22">
        <f t="shared" si="174"/>
        <v>8.583811758418665E-13</v>
      </c>
      <c r="CX192" s="62">
        <f t="shared" si="122"/>
        <v>293.33333333333417</v>
      </c>
      <c r="CY192" s="62">
        <f ca="1">AVERAGE(OFFSET($CX$3,0,0,'Données projet'!$E$13+1,1))-AVERAGE(OFFSET($H$3,0,0,'Données projet'!$E$13+1,1))</f>
        <v>199.0086462069545</v>
      </c>
      <c r="CZ192" s="62">
        <f t="shared" si="150"/>
        <v>254.08208375594057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-3.4106051316484809E-13</v>
      </c>
      <c r="DP192" s="18">
        <f>DO192*VLOOKUP('Données projet'!$B$14,Paramètres!$A$1:$I$89,3,0)*VLOOKUP('Données projet'!$B$14,Paramètres!$A$1:$I$89,5,0)</f>
        <v>-1.9065282685915009E-13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534.78683721545372</v>
      </c>
      <c r="DU192" s="62">
        <f t="shared" si="152"/>
        <v>710.59298755711075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>
        <f>EJ192*VLOOKUP('Données projet'!$B$15,Paramètres!$A$1:$I$89,3,0)*VLOOKUP('Données projet'!$B$15,Paramètres!$A$1:$I$89,5,0)</f>
        <v>0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292.87204407272162</v>
      </c>
      <c r="EP192" s="62">
        <f t="shared" si="154"/>
        <v>326.06531673481805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-1.6671037883497774E-13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451.25506262546861</v>
      </c>
      <c r="T193" s="62">
        <f t="shared" si="142"/>
        <v>534.19872447444368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-8.8675733422860506E-14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252.84702735189455</v>
      </c>
      <c r="AO193" s="62">
        <f t="shared" si="144"/>
        <v>283.48738729114024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-7.626113074366004E-14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221.98516361836096</v>
      </c>
      <c r="BJ193" s="62">
        <f t="shared" si="146"/>
        <v>249.72262393661117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-9.0449248091317723E-14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257.24784840892409</v>
      </c>
      <c r="CE193" s="62">
        <f t="shared" si="148"/>
        <v>288.30197520356643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2.6602720026858149E-14</v>
      </c>
      <c r="CV193" s="14">
        <f t="shared" si="173"/>
        <v>4.6624771586320878E-13</v>
      </c>
      <c r="CW193" s="22">
        <f t="shared" si="174"/>
        <v>8.583811758418665E-13</v>
      </c>
      <c r="CX193" s="62">
        <f t="shared" si="122"/>
        <v>293.33333333333417</v>
      </c>
      <c r="CY193" s="62">
        <f ca="1">AVERAGE(OFFSET($CX$3,0,0,'Données projet'!$E$13+1,1))-AVERAGE(OFFSET($H$3,0,0,'Données projet'!$E$13+1,1))</f>
        <v>199.0086462069545</v>
      </c>
      <c r="CZ193" s="62">
        <f t="shared" si="150"/>
        <v>254.08208375594057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-3.4106051316484809E-13</v>
      </c>
      <c r="DP193" s="18">
        <f>DO193*VLOOKUP('Données projet'!$B$14,Paramètres!$A$1:$I$89,3,0)*VLOOKUP('Données projet'!$B$14,Paramètres!$A$1:$I$89,5,0)</f>
        <v>-1.9065282685915009E-13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534.78683721545372</v>
      </c>
      <c r="DU193" s="62">
        <f t="shared" si="152"/>
        <v>710.59298755711075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>
        <f>EJ193*VLOOKUP('Données projet'!$B$15,Paramètres!$A$1:$I$89,3,0)*VLOOKUP('Données projet'!$B$15,Paramètres!$A$1:$I$89,5,0)</f>
        <v>0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292.87204407272162</v>
      </c>
      <c r="EP193" s="62">
        <f t="shared" si="154"/>
        <v>326.06531673481805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-1.6671037883497774E-13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451.25506262546861</v>
      </c>
      <c r="T194" s="62">
        <f t="shared" si="142"/>
        <v>534.19872447444368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-8.8675733422860506E-14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252.84702735189455</v>
      </c>
      <c r="AO194" s="62">
        <f t="shared" si="144"/>
        <v>283.48738729114024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-7.626113074366004E-14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221.98516361836096</v>
      </c>
      <c r="BJ194" s="62">
        <f t="shared" si="146"/>
        <v>249.72262393661117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-9.0449248091317723E-14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257.24784840892409</v>
      </c>
      <c r="CE194" s="62">
        <f t="shared" si="148"/>
        <v>288.30197520356643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2.6602720026858149E-14</v>
      </c>
      <c r="CV194" s="14">
        <f t="shared" si="173"/>
        <v>4.6624771586320878E-13</v>
      </c>
      <c r="CW194" s="22">
        <f t="shared" si="174"/>
        <v>8.583811758418665E-13</v>
      </c>
      <c r="CX194" s="62">
        <f t="shared" si="122"/>
        <v>293.33333333333417</v>
      </c>
      <c r="CY194" s="62">
        <f ca="1">AVERAGE(OFFSET($CX$3,0,0,'Données projet'!$E$13+1,1))-AVERAGE(OFFSET($H$3,0,0,'Données projet'!$E$13+1,1))</f>
        <v>199.0086462069545</v>
      </c>
      <c r="CZ194" s="62">
        <f t="shared" si="150"/>
        <v>254.08208375594057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-3.4106051316484809E-13</v>
      </c>
      <c r="DP194" s="18">
        <f>DO194*VLOOKUP('Données projet'!$B$14,Paramètres!$A$1:$I$89,3,0)*VLOOKUP('Données projet'!$B$14,Paramètres!$A$1:$I$89,5,0)</f>
        <v>-1.9065282685915009E-13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534.78683721545372</v>
      </c>
      <c r="DU194" s="62">
        <f t="shared" si="152"/>
        <v>710.59298755711075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>
        <f>EJ194*VLOOKUP('Données projet'!$B$15,Paramètres!$A$1:$I$89,3,0)*VLOOKUP('Données projet'!$B$15,Paramètres!$A$1:$I$89,5,0)</f>
        <v>0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292.87204407272162</v>
      </c>
      <c r="EP194" s="62">
        <f t="shared" si="154"/>
        <v>326.06531673481805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-1.6671037883497774E-13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451.25506262546861</v>
      </c>
      <c r="T195" s="62">
        <f t="shared" si="142"/>
        <v>534.19872447444368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-8.8675733422860506E-14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252.84702735189455</v>
      </c>
      <c r="AO195" s="62">
        <f t="shared" si="144"/>
        <v>283.48738729114024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-7.626113074366004E-14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221.98516361836096</v>
      </c>
      <c r="BJ195" s="62">
        <f t="shared" si="146"/>
        <v>249.72262393661117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-9.0449248091317723E-14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257.24784840892409</v>
      </c>
      <c r="CE195" s="62">
        <f t="shared" si="148"/>
        <v>288.30197520356643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2.6602720026858149E-14</v>
      </c>
      <c r="CV195" s="14">
        <f t="shared" si="173"/>
        <v>4.6624771586320878E-13</v>
      </c>
      <c r="CW195" s="22">
        <f t="shared" si="174"/>
        <v>8.583811758418665E-13</v>
      </c>
      <c r="CX195" s="62">
        <f t="shared" si="122"/>
        <v>293.33333333333417</v>
      </c>
      <c r="CY195" s="62">
        <f ca="1">AVERAGE(OFFSET($CX$3,0,0,'Données projet'!$E$13+1,1))-AVERAGE(OFFSET($H$3,0,0,'Données projet'!$E$13+1,1))</f>
        <v>199.0086462069545</v>
      </c>
      <c r="CZ195" s="62">
        <f t="shared" si="150"/>
        <v>254.08208375594057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-3.4106051316484809E-13</v>
      </c>
      <c r="DP195" s="18">
        <f>DO195*VLOOKUP('Données projet'!$B$14,Paramètres!$A$1:$I$89,3,0)*VLOOKUP('Données projet'!$B$14,Paramètres!$A$1:$I$89,5,0)</f>
        <v>-1.9065282685915009E-13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534.78683721545372</v>
      </c>
      <c r="DU195" s="62">
        <f t="shared" si="152"/>
        <v>710.59298755711075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>
        <f>EJ195*VLOOKUP('Données projet'!$B$15,Paramètres!$A$1:$I$89,3,0)*VLOOKUP('Données projet'!$B$15,Paramètres!$A$1:$I$89,5,0)</f>
        <v>0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292.87204407272162</v>
      </c>
      <c r="EP195" s="62">
        <f t="shared" si="154"/>
        <v>326.06531673481805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-1.6671037883497774E-13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451.25506262546861</v>
      </c>
      <c r="T196" s="62">
        <f t="shared" si="142"/>
        <v>534.19872447444368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-8.8675733422860506E-14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252.84702735189455</v>
      </c>
      <c r="AO196" s="62">
        <f t="shared" si="144"/>
        <v>283.48738729114024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-7.626113074366004E-14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221.98516361836096</v>
      </c>
      <c r="BJ196" s="62">
        <f t="shared" si="146"/>
        <v>249.72262393661117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-9.0449248091317723E-14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257.24784840892409</v>
      </c>
      <c r="CE196" s="62">
        <f t="shared" si="148"/>
        <v>288.30197520356643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2.6602720026858149E-14</v>
      </c>
      <c r="CV196" s="14">
        <f t="shared" si="173"/>
        <v>4.6624771586320878E-13</v>
      </c>
      <c r="CW196" s="22">
        <f t="shared" si="174"/>
        <v>8.583811758418665E-13</v>
      </c>
      <c r="CX196" s="62">
        <f t="shared" ref="CX196:CX203" si="196">CW196+(CO196+CP196)*44/12</f>
        <v>293.33333333333417</v>
      </c>
      <c r="CY196" s="62">
        <f ca="1">AVERAGE(OFFSET($CX$3,0,0,'Données projet'!$E$13+1,1))-AVERAGE(OFFSET($H$3,0,0,'Données projet'!$E$13+1,1))</f>
        <v>199.0086462069545</v>
      </c>
      <c r="CZ196" s="62">
        <f t="shared" si="150"/>
        <v>254.08208375594057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-3.4106051316484809E-13</v>
      </c>
      <c r="DP196" s="18">
        <f>DO196*VLOOKUP('Données projet'!$B$14,Paramètres!$A$1:$I$89,3,0)*VLOOKUP('Données projet'!$B$14,Paramètres!$A$1:$I$89,5,0)</f>
        <v>-1.9065282685915009E-13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534.78683721545372</v>
      </c>
      <c r="DU196" s="62">
        <f t="shared" si="152"/>
        <v>710.59298755711075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>
        <f>EJ196*VLOOKUP('Données projet'!$B$15,Paramètres!$A$1:$I$89,3,0)*VLOOKUP('Données projet'!$B$15,Paramètres!$A$1:$I$89,5,0)</f>
        <v>0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292.87204407272162</v>
      </c>
      <c r="EP196" s="62">
        <f t="shared" si="154"/>
        <v>326.06531673481805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-1.6671037883497774E-13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451.25506262546861</v>
      </c>
      <c r="T197" s="62">
        <f t="shared" ref="T197:T203" si="204">$T$3</f>
        <v>534.19872447444368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-8.8675733422860506E-14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252.84702735189455</v>
      </c>
      <c r="AO197" s="62">
        <f t="shared" ref="AO197:AO203" si="205">$AO$3</f>
        <v>283.48738729114024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-7.626113074366004E-14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221.98516361836096</v>
      </c>
      <c r="BJ197" s="62">
        <f t="shared" ref="BJ197:BJ203" si="206">$BJ$3</f>
        <v>249.72262393661117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-9.0449248091317723E-14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257.24784840892409</v>
      </c>
      <c r="CE197" s="62">
        <f t="shared" ref="CE197:CE203" si="207">$CE$3</f>
        <v>288.30197520356643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2.6602720026858149E-14</v>
      </c>
      <c r="CV197" s="14">
        <f t="shared" si="173"/>
        <v>4.6624771586320878E-13</v>
      </c>
      <c r="CW197" s="22">
        <f t="shared" si="174"/>
        <v>8.583811758418665E-13</v>
      </c>
      <c r="CX197" s="62">
        <f t="shared" si="196"/>
        <v>293.33333333333417</v>
      </c>
      <c r="CY197" s="62">
        <f ca="1">AVERAGE(OFFSET($CX$3,0,0,'Données projet'!$E$13+1,1))-AVERAGE(OFFSET($H$3,0,0,'Données projet'!$E$13+1,1))</f>
        <v>199.0086462069545</v>
      </c>
      <c r="CZ197" s="62">
        <f t="shared" ref="CZ197:CZ203" si="208">$CZ$3</f>
        <v>254.08208375594057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-3.4106051316484809E-13</v>
      </c>
      <c r="DP197" s="18">
        <f>DO197*VLOOKUP('Données projet'!$B$14,Paramètres!$A$1:$I$89,3,0)*VLOOKUP('Données projet'!$B$14,Paramètres!$A$1:$I$89,5,0)</f>
        <v>-1.9065282685915009E-13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534.78683721545372</v>
      </c>
      <c r="DU197" s="62">
        <f t="shared" ref="DU197:DU203" si="209">$DU$3</f>
        <v>710.59298755711075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>
        <f>EJ197*VLOOKUP('Données projet'!$B$15,Paramètres!$A$1:$I$89,3,0)*VLOOKUP('Données projet'!$B$15,Paramètres!$A$1:$I$89,5,0)</f>
        <v>0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292.87204407272162</v>
      </c>
      <c r="EP197" s="62">
        <f t="shared" ref="EP197:EP203" si="210">$EP$3</f>
        <v>326.06531673481805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-1.6671037883497774E-13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451.25506262546861</v>
      </c>
      <c r="T198" s="62">
        <f t="shared" si="204"/>
        <v>534.19872447444368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-8.8675733422860506E-14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252.84702735189455</v>
      </c>
      <c r="AO198" s="62">
        <f t="shared" si="205"/>
        <v>283.48738729114024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-7.626113074366004E-14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221.98516361836096</v>
      </c>
      <c r="BJ198" s="62">
        <f t="shared" si="206"/>
        <v>249.72262393661117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-9.0449248091317723E-14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257.24784840892409</v>
      </c>
      <c r="CE198" s="62">
        <f t="shared" si="207"/>
        <v>288.30197520356643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2.6602720026858149E-14</v>
      </c>
      <c r="CV198" s="14">
        <f t="shared" si="173"/>
        <v>4.6624771586320878E-13</v>
      </c>
      <c r="CW198" s="22">
        <f t="shared" si="174"/>
        <v>8.583811758418665E-13</v>
      </c>
      <c r="CX198" s="62">
        <f t="shared" si="196"/>
        <v>293.33333333333417</v>
      </c>
      <c r="CY198" s="62">
        <f ca="1">AVERAGE(OFFSET($CX$3,0,0,'Données projet'!$E$13+1,1))-AVERAGE(OFFSET($H$3,0,0,'Données projet'!$E$13+1,1))</f>
        <v>199.0086462069545</v>
      </c>
      <c r="CZ198" s="62">
        <f t="shared" si="208"/>
        <v>254.08208375594057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-3.4106051316484809E-13</v>
      </c>
      <c r="DP198" s="18">
        <f>DO198*VLOOKUP('Données projet'!$B$14,Paramètres!$A$1:$I$89,3,0)*VLOOKUP('Données projet'!$B$14,Paramètres!$A$1:$I$89,5,0)</f>
        <v>-1.9065282685915009E-13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534.78683721545372</v>
      </c>
      <c r="DU198" s="62">
        <f t="shared" si="209"/>
        <v>710.59298755711075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>
        <f>EJ198*VLOOKUP('Données projet'!$B$15,Paramètres!$A$1:$I$89,3,0)*VLOOKUP('Données projet'!$B$15,Paramètres!$A$1:$I$89,5,0)</f>
        <v>0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292.87204407272162</v>
      </c>
      <c r="EP198" s="62">
        <f t="shared" si="210"/>
        <v>326.06531673481805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-1.6671037883497774E-13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451.25506262546861</v>
      </c>
      <c r="T199" s="62">
        <f t="shared" si="204"/>
        <v>534.19872447444368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-8.8675733422860506E-14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252.84702735189455</v>
      </c>
      <c r="AO199" s="62">
        <f t="shared" si="205"/>
        <v>283.48738729114024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-7.626113074366004E-14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221.98516361836096</v>
      </c>
      <c r="BJ199" s="62">
        <f t="shared" si="206"/>
        <v>249.72262393661117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-9.0449248091317723E-14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257.24784840892409</v>
      </c>
      <c r="CE199" s="62">
        <f t="shared" si="207"/>
        <v>288.30197520356643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2.6602720026858149E-14</v>
      </c>
      <c r="CV199" s="14">
        <f t="shared" si="173"/>
        <v>4.6624771586320878E-13</v>
      </c>
      <c r="CW199" s="22">
        <f t="shared" si="174"/>
        <v>8.583811758418665E-13</v>
      </c>
      <c r="CX199" s="62">
        <f t="shared" si="196"/>
        <v>293.33333333333417</v>
      </c>
      <c r="CY199" s="62">
        <f ca="1">AVERAGE(OFFSET($CX$3,0,0,'Données projet'!$E$13+1,1))-AVERAGE(OFFSET($H$3,0,0,'Données projet'!$E$13+1,1))</f>
        <v>199.0086462069545</v>
      </c>
      <c r="CZ199" s="62">
        <f t="shared" si="208"/>
        <v>254.08208375594057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-3.4106051316484809E-13</v>
      </c>
      <c r="DP199" s="18">
        <f>DO199*VLOOKUP('Données projet'!$B$14,Paramètres!$A$1:$I$89,3,0)*VLOOKUP('Données projet'!$B$14,Paramètres!$A$1:$I$89,5,0)</f>
        <v>-1.9065282685915009E-13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534.78683721545372</v>
      </c>
      <c r="DU199" s="62">
        <f t="shared" si="209"/>
        <v>710.59298755711075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>
        <f>EJ199*VLOOKUP('Données projet'!$B$15,Paramètres!$A$1:$I$89,3,0)*VLOOKUP('Données projet'!$B$15,Paramètres!$A$1:$I$89,5,0)</f>
        <v>0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292.87204407272162</v>
      </c>
      <c r="EP199" s="62">
        <f t="shared" si="210"/>
        <v>326.06531673481805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-1.6671037883497774E-13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451.25506262546861</v>
      </c>
      <c r="T200" s="62">
        <f t="shared" si="204"/>
        <v>534.19872447444368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-8.8675733422860506E-14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252.84702735189455</v>
      </c>
      <c r="AO200" s="62">
        <f t="shared" si="205"/>
        <v>283.48738729114024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-7.626113074366004E-14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221.98516361836096</v>
      </c>
      <c r="BJ200" s="62">
        <f t="shared" si="206"/>
        <v>249.72262393661117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-9.0449248091317723E-14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257.24784840892409</v>
      </c>
      <c r="CE200" s="62">
        <f t="shared" si="207"/>
        <v>288.30197520356643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2.6602720026858149E-14</v>
      </c>
      <c r="CV200" s="14">
        <f t="shared" si="173"/>
        <v>4.6624771586320878E-13</v>
      </c>
      <c r="CW200" s="22">
        <f t="shared" si="174"/>
        <v>8.583811758418665E-13</v>
      </c>
      <c r="CX200" s="62">
        <f t="shared" si="196"/>
        <v>293.33333333333417</v>
      </c>
      <c r="CY200" s="62">
        <f ca="1">AVERAGE(OFFSET($CX$3,0,0,'Données projet'!$E$13+1,1))-AVERAGE(OFFSET($H$3,0,0,'Données projet'!$E$13+1,1))</f>
        <v>199.0086462069545</v>
      </c>
      <c r="CZ200" s="62">
        <f t="shared" si="208"/>
        <v>254.08208375594057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-3.4106051316484809E-13</v>
      </c>
      <c r="DP200" s="18">
        <f>DO200*VLOOKUP('Données projet'!$B$14,Paramètres!$A$1:$I$89,3,0)*VLOOKUP('Données projet'!$B$14,Paramètres!$A$1:$I$89,5,0)</f>
        <v>-1.9065282685915009E-13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534.78683721545372</v>
      </c>
      <c r="DU200" s="62">
        <f t="shared" si="209"/>
        <v>710.59298755711075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>
        <f>EJ200*VLOOKUP('Données projet'!$B$15,Paramètres!$A$1:$I$89,3,0)*VLOOKUP('Données projet'!$B$15,Paramètres!$A$1:$I$89,5,0)</f>
        <v>0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292.87204407272162</v>
      </c>
      <c r="EP200" s="62">
        <f t="shared" si="210"/>
        <v>326.06531673481805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-1.6671037883497774E-13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451.25506262546861</v>
      </c>
      <c r="T201" s="62">
        <f t="shared" si="204"/>
        <v>534.19872447444368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-8.8675733422860506E-14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252.84702735189455</v>
      </c>
      <c r="AO201" s="62">
        <f t="shared" si="205"/>
        <v>283.48738729114024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-7.626113074366004E-14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221.98516361836096</v>
      </c>
      <c r="BJ201" s="62">
        <f t="shared" si="206"/>
        <v>249.72262393661117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-9.0449248091317723E-14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257.24784840892409</v>
      </c>
      <c r="CE201" s="62">
        <f t="shared" si="207"/>
        <v>288.30197520356643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2.6602720026858149E-14</v>
      </c>
      <c r="CV201" s="14">
        <f t="shared" si="173"/>
        <v>4.6624771586320878E-13</v>
      </c>
      <c r="CW201" s="22">
        <f t="shared" si="174"/>
        <v>8.583811758418665E-13</v>
      </c>
      <c r="CX201" s="62">
        <f t="shared" si="196"/>
        <v>293.33333333333417</v>
      </c>
      <c r="CY201" s="62">
        <f ca="1">AVERAGE(OFFSET($CX$3,0,0,'Données projet'!$E$13+1,1))-AVERAGE(OFFSET($H$3,0,0,'Données projet'!$E$13+1,1))</f>
        <v>199.0086462069545</v>
      </c>
      <c r="CZ201" s="62">
        <f t="shared" si="208"/>
        <v>254.08208375594057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-3.4106051316484809E-13</v>
      </c>
      <c r="DP201" s="18">
        <f>DO201*VLOOKUP('Données projet'!$B$14,Paramètres!$A$1:$I$89,3,0)*VLOOKUP('Données projet'!$B$14,Paramètres!$A$1:$I$89,5,0)</f>
        <v>-1.9065282685915009E-13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534.78683721545372</v>
      </c>
      <c r="DU201" s="62">
        <f t="shared" si="209"/>
        <v>710.59298755711075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>
        <f>EJ201*VLOOKUP('Données projet'!$B$15,Paramètres!$A$1:$I$89,3,0)*VLOOKUP('Données projet'!$B$15,Paramètres!$A$1:$I$89,5,0)</f>
        <v>0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292.87204407272162</v>
      </c>
      <c r="EP201" s="62">
        <f t="shared" si="210"/>
        <v>326.06531673481805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-1.6671037883497774E-13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451.25506262546861</v>
      </c>
      <c r="T202" s="62">
        <f t="shared" si="204"/>
        <v>534.19872447444368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-8.8675733422860506E-14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252.84702735189455</v>
      </c>
      <c r="AO202" s="62">
        <f t="shared" si="205"/>
        <v>283.48738729114024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-7.626113074366004E-14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221.98516361836096</v>
      </c>
      <c r="BJ202" s="62">
        <f t="shared" si="206"/>
        <v>249.72262393661117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-9.0449248091317723E-14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257.24784840892409</v>
      </c>
      <c r="CE202" s="62">
        <f t="shared" si="207"/>
        <v>288.30197520356643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2.6602720026858149E-14</v>
      </c>
      <c r="CV202" s="14">
        <f t="shared" si="173"/>
        <v>4.6624771586320878E-13</v>
      </c>
      <c r="CW202" s="22">
        <f t="shared" si="174"/>
        <v>8.583811758418665E-13</v>
      </c>
      <c r="CX202" s="62">
        <f t="shared" si="196"/>
        <v>293.33333333333417</v>
      </c>
      <c r="CY202" s="62">
        <f ca="1">AVERAGE(OFFSET($CX$3,0,0,'Données projet'!$E$13+1,1))-AVERAGE(OFFSET($H$3,0,0,'Données projet'!$E$13+1,1))</f>
        <v>199.0086462069545</v>
      </c>
      <c r="CZ202" s="62">
        <f t="shared" si="208"/>
        <v>254.08208375594057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-3.4106051316484809E-13</v>
      </c>
      <c r="DP202" s="18">
        <f>DO202*VLOOKUP('Données projet'!$B$14,Paramètres!$A$1:$I$89,3,0)*VLOOKUP('Données projet'!$B$14,Paramètres!$A$1:$I$89,5,0)</f>
        <v>-1.9065282685915009E-13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534.78683721545372</v>
      </c>
      <c r="DU202" s="62">
        <f t="shared" si="209"/>
        <v>710.59298755711075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>
        <f>EJ202*VLOOKUP('Données projet'!$B$15,Paramètres!$A$1:$I$89,3,0)*VLOOKUP('Données projet'!$B$15,Paramètres!$A$1:$I$89,5,0)</f>
        <v>0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292.87204407272162</v>
      </c>
      <c r="EP202" s="62">
        <f t="shared" si="210"/>
        <v>326.06531673481805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-1.6671037883497774E-13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451.25506262546861</v>
      </c>
      <c r="T203" s="62">
        <f t="shared" si="204"/>
        <v>534.19872447444368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-8.8675733422860506E-14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252.84702735189455</v>
      </c>
      <c r="AO203" s="62">
        <f t="shared" si="205"/>
        <v>283.48738729114024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-7.626113074366004E-14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221.98516361836096</v>
      </c>
      <c r="BJ203" s="62">
        <f t="shared" si="206"/>
        <v>249.72262393661117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-9.0449248091317723E-14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257.24784840892409</v>
      </c>
      <c r="CE203" s="62">
        <f t="shared" si="207"/>
        <v>288.30197520356643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2.6602720026858149E-14</v>
      </c>
      <c r="CV203" s="14">
        <f t="shared" si="173"/>
        <v>4.6624771586320878E-13</v>
      </c>
      <c r="CW203" s="22">
        <f t="shared" si="174"/>
        <v>8.583811758418665E-13</v>
      </c>
      <c r="CX203" s="62">
        <f t="shared" si="196"/>
        <v>293.33333333333417</v>
      </c>
      <c r="CY203" s="62">
        <f ca="1">AVERAGE(OFFSET($CX$3,0,0,'Données projet'!$E$13+1,1))-AVERAGE(OFFSET($H$3,0,0,'Données projet'!$E$13+1,1))</f>
        <v>199.0086462069545</v>
      </c>
      <c r="CZ203" s="62">
        <f t="shared" si="208"/>
        <v>254.08208375594057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-3.4106051316484809E-13</v>
      </c>
      <c r="DP203" s="18">
        <f>DO203*VLOOKUP('Données projet'!$B$14,Paramètres!$A$1:$I$89,3,0)*VLOOKUP('Données projet'!$B$14,Paramètres!$A$1:$I$89,5,0)</f>
        <v>-1.9065282685915009E-13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534.78683721545372</v>
      </c>
      <c r="DU203" s="62">
        <f t="shared" si="209"/>
        <v>710.59298755711075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>
        <f>EJ203*VLOOKUP('Données projet'!$B$15,Paramètres!$A$1:$I$89,3,0)*VLOOKUP('Données projet'!$B$15,Paramètres!$A$1:$I$89,5,0)</f>
        <v>0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292.87204407272162</v>
      </c>
      <c r="EP203" s="62">
        <f t="shared" si="210"/>
        <v>326.06531673481805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1.2582929395612836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1.2788040393997409</v>
      </c>
      <c r="BA205" s="88">
        <f>EXP(LN('Données projet'!B88)/'Données projet'!A88)</f>
        <v>1.2788040393997409</v>
      </c>
      <c r="BV205" s="88">
        <f>EXP(LN('Données projet'!B114)/'Données projet'!A114)</f>
        <v>1.2788040393997409</v>
      </c>
      <c r="CQ205" s="88">
        <f>EXP(LN('Données projet'!B140)/'Données projet'!A140)</f>
        <v>1.2880503926580862</v>
      </c>
      <c r="DL205" s="88">
        <f>EXP(LN('Données projet'!B166)/'Données projet'!A166)</f>
        <v>1.418286993802653</v>
      </c>
      <c r="EG205" s="88">
        <f>EXP(LN('Données projet'!B192)/'Données projet'!A192)</f>
        <v>1.4046593066234723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R13" sqref="R13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Châtaignier</v>
      </c>
      <c r="B6" s="155">
        <f>'Données projet'!D9</f>
        <v>0.16</v>
      </c>
      <c r="C6" s="156">
        <f ca="1">IF(OR('Données projet'!B9="",'Données projet'!C9="",'Données projet'!C9=0%),0,Calculateur!S3)</f>
        <v>451.25506262546861</v>
      </c>
      <c r="D6" s="156">
        <f>IF(OR('Données projet'!B9="",'Données projet'!C9="",'Données projet'!C9=0%),0,Calculateur!T3)</f>
        <v>534.19872447444368</v>
      </c>
      <c r="E6" s="156">
        <f ca="1">MIN(C6,D6)</f>
        <v>451.25506262546861</v>
      </c>
      <c r="F6" s="156">
        <f ca="1">E6*B6</f>
        <v>72.200810020074982</v>
      </c>
      <c r="G6" s="156">
        <f ca="1">F6*(100%-'Données projet'!$C$24)*(100%-'Données projet'!$C$25)*(100%-'Données projet'!$C$26)*(100%-'Données projet'!$C$27)</f>
        <v>51.984583214453991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3.08</v>
      </c>
      <c r="K6" s="160">
        <f>J6*(100%-'Données projet'!$C$24)*(100%-'Données projet'!$C$25)*(100%-'Données projet'!$C$26)*(100%-'Données projet'!$C$27)</f>
        <v>2.2176000000000005</v>
      </c>
      <c r="L6" s="161">
        <f ca="1">G6+I6+K6</f>
        <v>54.202183214453989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Merisier</v>
      </c>
      <c r="B7" s="163">
        <f>'Données projet'!D10</f>
        <v>0.16</v>
      </c>
      <c r="C7" s="156">
        <f ca="1">IF(OR('Données projet'!B10="",'Données projet'!C10="",'Données projet'!C10=0%),0,Calculateur!AN3)</f>
        <v>252.84702735189455</v>
      </c>
      <c r="D7" s="156">
        <f>IF(OR('Données projet'!B10="",'Données projet'!C10="",'Données projet'!C10=0%),0,Calculateur!AO3)</f>
        <v>283.48738729114024</v>
      </c>
      <c r="E7" s="156">
        <f t="shared" ref="E7:E15" ca="1" si="0">MIN(C7,D7)</f>
        <v>252.84702735189455</v>
      </c>
      <c r="F7" s="156">
        <f t="shared" ref="F7:F15" ca="1" si="1">E7*B7</f>
        <v>40.455524376303131</v>
      </c>
      <c r="G7" s="156">
        <f ca="1">F7*(100%-'Données projet'!$C$24)*(100%-'Données projet'!$C$25)*(100%-'Données projet'!$C$26)*(100%-'Données projet'!$C$27)</f>
        <v>29.127977550938255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2.2000000000000002</v>
      </c>
      <c r="K7" s="160">
        <f>J7*(100%-'Données projet'!$C$24)*(100%-'Données projet'!$C$25)*(100%-'Données projet'!$C$26)*(100%-'Données projet'!$C$27)</f>
        <v>1.5840000000000003</v>
      </c>
      <c r="L7" s="161">
        <f t="shared" ref="L7:L15" ca="1" si="2">G7+I7+K7</f>
        <v>30.711977550938254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Tilleul</v>
      </c>
      <c r="B8" s="163">
        <f>'Données projet'!D11</f>
        <v>0.16</v>
      </c>
      <c r="C8" s="156">
        <f ca="1">IF(OR('Données projet'!B11="",'Données projet'!C11="",'Données projet'!C11=0%),0,Calculateur!BI3)</f>
        <v>221.98516361836096</v>
      </c>
      <c r="D8" s="156">
        <f>IF(OR('Données projet'!B11="",'Données projet'!C11="",'Données projet'!C11=0%),0,Calculateur!BJ3)</f>
        <v>249.72262393661117</v>
      </c>
      <c r="E8" s="156">
        <f t="shared" ca="1" si="0"/>
        <v>221.98516361836096</v>
      </c>
      <c r="F8" s="156">
        <f t="shared" ca="1" si="1"/>
        <v>35.517626178937753</v>
      </c>
      <c r="G8" s="156">
        <f ca="1">F8*(100%-'Données projet'!$C$24)*(100%-'Données projet'!$C$25)*(100%-'Données projet'!$C$26)*(100%-'Données projet'!$C$27)</f>
        <v>25.572690848835183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2.2000000000000002</v>
      </c>
      <c r="K8" s="160">
        <f>J8*(100%-'Données projet'!$C$24)*(100%-'Données projet'!$C$25)*(100%-'Données projet'!$C$26)*(100%-'Données projet'!$C$27)</f>
        <v>1.5840000000000003</v>
      </c>
      <c r="L8" s="161">
        <f t="shared" ca="1" si="2"/>
        <v>27.156690848835183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>Erable plane</v>
      </c>
      <c r="B9" s="163">
        <f>'Données projet'!D12</f>
        <v>0.08</v>
      </c>
      <c r="C9" s="156">
        <f ca="1">IF(OR('Données projet'!B12="",'Données projet'!C12="",'Données projet'!C12=0%),0,Calculateur!CD3)</f>
        <v>257.24784840892409</v>
      </c>
      <c r="D9" s="156">
        <f>IF(OR('Données projet'!B12="",'Données projet'!C12="",'Données projet'!C12=0%),0,Calculateur!CE3)</f>
        <v>288.30197520356643</v>
      </c>
      <c r="E9" s="156">
        <f t="shared" ca="1" si="0"/>
        <v>257.24784840892409</v>
      </c>
      <c r="F9" s="156">
        <f t="shared" ca="1" si="1"/>
        <v>20.579827872713928</v>
      </c>
      <c r="G9" s="156">
        <f ca="1">F9*(100%-'Données projet'!$C$24)*(100%-'Données projet'!$C$25)*(100%-'Données projet'!$C$26)*(100%-'Données projet'!$C$27)</f>
        <v>14.817476068354029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1.1000000000000001</v>
      </c>
      <c r="K9" s="160">
        <f>J9*(100%-'Données projet'!$C$24)*(100%-'Données projet'!$C$25)*(100%-'Données projet'!$C$26)*(100%-'Données projet'!$C$27)</f>
        <v>0.79200000000000015</v>
      </c>
      <c r="L9" s="161">
        <f t="shared" ca="1" si="2"/>
        <v>15.609476068354029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>Cèdre de l'Atlas</v>
      </c>
      <c r="B10" s="163">
        <f>'Données projet'!D13</f>
        <v>0.17</v>
      </c>
      <c r="C10" s="156">
        <f ca="1">IF(OR('Données projet'!B13="",'Données projet'!C13="",'Données projet'!C13=0%),0,Calculateur!CY3)</f>
        <v>199.0086462069545</v>
      </c>
      <c r="D10" s="156">
        <f>IF(OR('Données projet'!B13="",'Données projet'!C13="",'Données projet'!C13=0%),0,Calculateur!CZ3)</f>
        <v>254.08208375594057</v>
      </c>
      <c r="E10" s="156">
        <f t="shared" ca="1" si="0"/>
        <v>199.0086462069545</v>
      </c>
      <c r="F10" s="156">
        <f t="shared" ca="1" si="1"/>
        <v>33.83146985518227</v>
      </c>
      <c r="G10" s="156">
        <f ca="1">F10*(100%-'Données projet'!$C$24)*(100%-'Données projet'!$C$25)*(100%-'Données projet'!$C$26)*(100%-'Données projet'!$C$27)</f>
        <v>24.358658295731235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6.7617500000000001</v>
      </c>
      <c r="K10" s="160">
        <f>J10*(100%-'Données projet'!$C$24)*(100%-'Données projet'!$C$25)*(100%-'Données projet'!$C$26)*(100%-'Données projet'!$C$27)</f>
        <v>4.8684600000000007</v>
      </c>
      <c r="L10" s="161">
        <f t="shared" ca="1" si="2"/>
        <v>29.227118295731238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>Douglas</v>
      </c>
      <c r="B11" s="163">
        <f>'Données projet'!D14</f>
        <v>0.19</v>
      </c>
      <c r="C11" s="156">
        <f ca="1">IF(OR('Données projet'!B14="",'Données projet'!C14="",'Données projet'!C14=0%),0,Calculateur!DT3)</f>
        <v>534.78683721545372</v>
      </c>
      <c r="D11" s="156">
        <f>IF(OR('Données projet'!B14="",'Données projet'!C14="",'Données projet'!C14=0%),0,Calculateur!DU3)</f>
        <v>710.59298755711075</v>
      </c>
      <c r="E11" s="156">
        <f t="shared" ca="1" si="0"/>
        <v>534.78683721545372</v>
      </c>
      <c r="F11" s="156">
        <f t="shared" ca="1" si="1"/>
        <v>101.60949907093621</v>
      </c>
      <c r="G11" s="156">
        <f ca="1">F11*(100%-'Données projet'!$C$24)*(100%-'Données projet'!$C$25)*(100%-'Données projet'!$C$26)*(100%-'Données projet'!$C$27)</f>
        <v>73.158839331074077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10.130800000000001</v>
      </c>
      <c r="K11" s="160">
        <f>J11*(100%-'Données projet'!$C$24)*(100%-'Données projet'!$C$25)*(100%-'Données projet'!$C$26)*(100%-'Données projet'!$C$27)</f>
        <v>7.294176000000002</v>
      </c>
      <c r="L11" s="161">
        <f t="shared" ca="1" si="2"/>
        <v>80.453015331074084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>Pin maritime</v>
      </c>
      <c r="B12" s="163">
        <f>'Données projet'!D15</f>
        <v>0.08</v>
      </c>
      <c r="C12" s="156">
        <f ca="1">IF(OR('Données projet'!B15="",'Données projet'!C15="",'Données projet'!C15=0%),0,Calculateur!EO3)</f>
        <v>292.87204407272162</v>
      </c>
      <c r="D12" s="156">
        <f>IF(OR('Données projet'!B15="",'Données projet'!C15="",'Données projet'!C15=0%),0,Calculateur!EP3)</f>
        <v>326.06531673481805</v>
      </c>
      <c r="E12" s="156">
        <f t="shared" ca="1" si="0"/>
        <v>292.87204407272162</v>
      </c>
      <c r="F12" s="156">
        <f t="shared" ca="1" si="1"/>
        <v>23.42976352581773</v>
      </c>
      <c r="G12" s="156">
        <f ca="1">F12*(100%-'Données projet'!$C$24)*(100%-'Données projet'!$C$25)*(100%-'Données projet'!$C$26)*(100%-'Données projet'!$C$27)</f>
        <v>16.869429738588767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6.2775999999999996</v>
      </c>
      <c r="K12" s="160">
        <f>J12*(100%-'Données projet'!$C$24)*(100%-'Données projet'!$C$25)*(100%-'Données projet'!$C$26)*(100%-'Données projet'!$C$27)</f>
        <v>4.5198720000000003</v>
      </c>
      <c r="L12" s="161">
        <f t="shared" ca="1" si="2"/>
        <v>21.389301738588767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327.624520899966</v>
      </c>
      <c r="G16" s="175">
        <f t="shared" ca="1" si="3"/>
        <v>235.88965504797554</v>
      </c>
      <c r="H16" s="176">
        <f t="shared" si="3"/>
        <v>0</v>
      </c>
      <c r="I16" s="176">
        <f t="shared" si="3"/>
        <v>0</v>
      </c>
      <c r="J16" s="177">
        <f t="shared" si="3"/>
        <v>31.750150000000001</v>
      </c>
      <c r="K16" s="177">
        <f t="shared" si="3"/>
        <v>22.860108000000004</v>
      </c>
      <c r="L16" s="178">
        <f t="shared" ca="1" si="3"/>
        <v>258.74976304797553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Châtaignier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Merisier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Tilleul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>Erable plane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>Cèdre de l'Atlas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>Douglas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>Pin maritime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Châtaignier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0.16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Merisier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0.16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Tilleul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0.16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plane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0.08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Châtaignier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Cèdre de l'Atlas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0.17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Douglas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0.19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Pin maritime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0.08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20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30</v>
      </c>
      <c r="B24" s="193">
        <f>'Données projet'!D37</f>
        <v>62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40</v>
      </c>
      <c r="B25" s="193">
        <f>'Données projet'!D38</f>
        <v>109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50</v>
      </c>
      <c r="B26" s="193">
        <f>'Données projet'!D39</f>
        <v>164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60</v>
      </c>
      <c r="B27" s="193">
        <f>'Données projet'!D40</f>
        <v>558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Merisier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15</v>
      </c>
      <c r="B54" s="193">
        <f>'Données projet'!D62</f>
        <v>3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20</v>
      </c>
      <c r="B55" s="193">
        <f>'Données projet'!D63</f>
        <v>25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25</v>
      </c>
      <c r="B56" s="193">
        <f>'Données projet'!D64</f>
        <v>27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31</v>
      </c>
      <c r="B57" s="193">
        <f>'Données projet'!D65</f>
        <v>36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37</v>
      </c>
      <c r="B58" s="193">
        <f>'Données projet'!D66</f>
        <v>36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44</v>
      </c>
      <c r="B59" s="193">
        <f>'Données projet'!D67</f>
        <v>43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52</v>
      </c>
      <c r="B60" s="193">
        <f>'Données projet'!D68</f>
        <v>48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60</v>
      </c>
      <c r="B61" s="193">
        <f>'Données projet'!D69</f>
        <v>297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Tilleul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15</v>
      </c>
      <c r="B85" s="193">
        <f>'Données projet'!D88</f>
        <v>3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20</v>
      </c>
      <c r="B86" s="193">
        <f>'Données projet'!D89</f>
        <v>25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25</v>
      </c>
      <c r="B87" s="193">
        <f>'Données projet'!D90</f>
        <v>27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31</v>
      </c>
      <c r="B88" s="193">
        <f>'Données projet'!D91</f>
        <v>36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37</v>
      </c>
      <c r="B89" s="193">
        <f>'Données projet'!D92</f>
        <v>36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44</v>
      </c>
      <c r="B90" s="193">
        <f>'Données projet'!D93</f>
        <v>43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52</v>
      </c>
      <c r="B91" s="193">
        <f>'Données projet'!D94</f>
        <v>48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60</v>
      </c>
      <c r="B92" s="193">
        <f>'Données projet'!D95</f>
        <v>297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>Erable plane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15</v>
      </c>
      <c r="B116" s="193">
        <f>'Données projet'!D114</f>
        <v>3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20</v>
      </c>
      <c r="B117" s="193">
        <f>'Données projet'!D115</f>
        <v>25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25</v>
      </c>
      <c r="B118" s="193">
        <f>'Données projet'!D116</f>
        <v>27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31</v>
      </c>
      <c r="B119" s="193">
        <f>'Données projet'!D117</f>
        <v>36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37</v>
      </c>
      <c r="B120" s="193">
        <f>'Données projet'!D118</f>
        <v>36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44</v>
      </c>
      <c r="B121" s="193">
        <f>'Données projet'!D119</f>
        <v>43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52</v>
      </c>
      <c r="B122" s="193">
        <f>'Données projet'!D120</f>
        <v>48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60</v>
      </c>
      <c r="B123" s="193">
        <f>'Données projet'!D121</f>
        <v>297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>Cèdre de l'Atlas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20</v>
      </c>
      <c r="B147" s="187">
        <f>'Données projet'!D140</f>
        <v>39.5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30</v>
      </c>
      <c r="B148" s="187">
        <f>'Données projet'!D141</f>
        <v>53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40</v>
      </c>
      <c r="B149" s="187">
        <f>'Données projet'!D142</f>
        <v>64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50</v>
      </c>
      <c r="B150" s="187">
        <f>'Données projet'!D143</f>
        <v>77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60</v>
      </c>
      <c r="B151" s="187">
        <f>'Données projet'!D144</f>
        <v>366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>Douglas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15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20</v>
      </c>
      <c r="B179" s="193">
        <f>'Données projet'!D167</f>
        <v>11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25</v>
      </c>
      <c r="B180" s="193">
        <f>'Données projet'!D168</f>
        <v>46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30</v>
      </c>
      <c r="B181" s="193">
        <f>'Données projet'!D169</f>
        <v>67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35</v>
      </c>
      <c r="B182" s="193">
        <f>'Données projet'!D170</f>
        <v>72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40</v>
      </c>
      <c r="B183" s="193">
        <f>'Données projet'!D171</f>
        <v>79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45</v>
      </c>
      <c r="B184" s="193">
        <f>'Données projet'!D172</f>
        <v>82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50</v>
      </c>
      <c r="B185" s="193">
        <f>'Données projet'!D173</f>
        <v>75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55</v>
      </c>
      <c r="B186" s="193">
        <f>'Données projet'!D174</f>
        <v>66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60</v>
      </c>
      <c r="B187" s="193">
        <f>'Données projet'!D175</f>
        <v>723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>Pin maritime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12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16</v>
      </c>
      <c r="B210" s="193">
        <f>'Données projet'!D193</f>
        <v>20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20</v>
      </c>
      <c r="B211" s="193">
        <f>'Données projet'!D194</f>
        <v>31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24</v>
      </c>
      <c r="B212" s="193">
        <f>'Données projet'!D195</f>
        <v>41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28</v>
      </c>
      <c r="B213" s="193">
        <f>'Données projet'!D196</f>
        <v>41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34</v>
      </c>
      <c r="B214" s="193">
        <f>'Données projet'!D197</f>
        <v>55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40</v>
      </c>
      <c r="B215" s="193">
        <f>'Données projet'!D198</f>
        <v>47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46</v>
      </c>
      <c r="B216" s="193">
        <f>'Données projet'!D199</f>
        <v>32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54</v>
      </c>
      <c r="B217" s="193">
        <f>'Données projet'!D200</f>
        <v>17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62</v>
      </c>
      <c r="B218" s="193">
        <f>'Données projet'!D201</f>
        <v>336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2022-01-03T18:53:00Z</dcterms:modified>
</cp:coreProperties>
</file>